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ingDataAnalysis\Transfer Entropy\EyeHeadDirc\"/>
    </mc:Choice>
  </mc:AlternateContent>
  <xr:revisionPtr revIDLastSave="0" documentId="8_{237E312E-C939-448E-82CC-21D88CC741F2}" xr6:coauthVersionLast="45" xr6:coauthVersionMax="45" xr10:uidLastSave="{00000000-0000-0000-0000-000000000000}"/>
  <bookViews>
    <workbookView xWindow="1305" yWindow="1305" windowWidth="17280" windowHeight="8970"/>
  </bookViews>
  <sheets>
    <sheet name="TxtToExcel_Tem_Tx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</calcChain>
</file>

<file path=xl/sharedStrings.xml><?xml version="1.0" encoding="utf-8"?>
<sst xmlns="http://schemas.openxmlformats.org/spreadsheetml/2006/main" count="6747" uniqueCount="117">
  <si>
    <t>SystemTime</t>
  </si>
  <si>
    <t>Timestamp</t>
  </si>
  <si>
    <t>NowSsceneName</t>
  </si>
  <si>
    <t>PupilRadiusH</t>
  </si>
  <si>
    <t>GazePointX</t>
  </si>
  <si>
    <t>Hitname</t>
  </si>
  <si>
    <t>HitPointX</t>
  </si>
  <si>
    <t>HitPointY</t>
  </si>
  <si>
    <t>HitPointZ</t>
  </si>
  <si>
    <t>CameraPosX</t>
  </si>
  <si>
    <t>CameraPosY</t>
  </si>
  <si>
    <t>CameraPosZ</t>
  </si>
  <si>
    <t>CarDirX</t>
  </si>
  <si>
    <t>CarDirY</t>
  </si>
  <si>
    <t>CarDirZ</t>
  </si>
  <si>
    <t>CameraDirX</t>
  </si>
  <si>
    <t>CameraDirY</t>
  </si>
  <si>
    <t>CameraDirZ</t>
  </si>
  <si>
    <t>EyeDirX</t>
  </si>
  <si>
    <t>EyeDirY</t>
  </si>
  <si>
    <t>EyeDirZ</t>
  </si>
  <si>
    <t>HeadLocalDirX</t>
  </si>
  <si>
    <t>HeadLocalDirY</t>
  </si>
  <si>
    <t>HeadLocalDirZ</t>
  </si>
  <si>
    <t>EyeLocalDirX</t>
  </si>
  <si>
    <t>EyeLocalDirY</t>
  </si>
  <si>
    <t>EyeLocalDirZ</t>
  </si>
  <si>
    <t>speed</t>
  </si>
  <si>
    <t>VecX</t>
  </si>
  <si>
    <t>VecY</t>
  </si>
  <si>
    <t>VecZ</t>
  </si>
  <si>
    <t>LocalVecX</t>
  </si>
  <si>
    <t>LocalVecY</t>
  </si>
  <si>
    <t>LocalVecZ</t>
  </si>
  <si>
    <t>Theta</t>
  </si>
  <si>
    <t>Phi</t>
  </si>
  <si>
    <t>r</t>
  </si>
  <si>
    <t>Testhuanghun_on</t>
  </si>
  <si>
    <t>Kooper</t>
  </si>
  <si>
    <t>mcp_road_part_02</t>
  </si>
  <si>
    <t>mcp_roads_cross_02 (1)</t>
  </si>
  <si>
    <t>mcp_roads_turn_01 (1)</t>
  </si>
  <si>
    <t>Building 07 (16)</t>
  </si>
  <si>
    <t>Building 18 (9)</t>
  </si>
  <si>
    <t>Tree 05 (3)</t>
  </si>
  <si>
    <t>Building 02 (7)</t>
  </si>
  <si>
    <t>Plane_01</t>
  </si>
  <si>
    <t>Floor 01</t>
  </si>
  <si>
    <t>Pilar Small (26)</t>
  </si>
  <si>
    <t>Wall Small 03 (22)</t>
  </si>
  <si>
    <t>Tree 04 (23)</t>
  </si>
  <si>
    <t>Box001</t>
  </si>
  <si>
    <t>mcp_bus_stop_night_LOD_0</t>
  </si>
  <si>
    <t>FAR</t>
  </si>
  <si>
    <t>Building 15 (22)</t>
  </si>
  <si>
    <t>Plane_01 (1)</t>
  </si>
  <si>
    <t>Building 15 (24)</t>
  </si>
  <si>
    <t>Tree 02 (7)</t>
  </si>
  <si>
    <t>Building 15 (34)</t>
  </si>
  <si>
    <t>Building 18 (2)</t>
  </si>
  <si>
    <t>mcp_roads_T_cross_01</t>
  </si>
  <si>
    <t>Building 24</t>
  </si>
  <si>
    <t>Building 18 (11)</t>
  </si>
  <si>
    <t>mcp_road_part_01</t>
  </si>
  <si>
    <t>Building 07 (11)</t>
  </si>
  <si>
    <t>Building 15 (33)</t>
  </si>
  <si>
    <t>mcp_roads_cross_01</t>
  </si>
  <si>
    <t>Pilar 02 (4)</t>
  </si>
  <si>
    <t>Wall Small 03 (10)</t>
  </si>
  <si>
    <t>Floor 02</t>
  </si>
  <si>
    <t>Building 02 (8)</t>
  </si>
  <si>
    <t>Building 18 (5)</t>
  </si>
  <si>
    <t>Building 01</t>
  </si>
  <si>
    <t>Building 11 (3)</t>
  </si>
  <si>
    <t>Tree 05 (15)</t>
  </si>
  <si>
    <t>Stand 03 (2)</t>
  </si>
  <si>
    <t>Building 07 (18)</t>
  </si>
  <si>
    <t>Building 15 (35)</t>
  </si>
  <si>
    <t>mcp_roads_cross_02</t>
  </si>
  <si>
    <t>Building 24 (1)</t>
  </si>
  <si>
    <t>Canopi 01 (4)</t>
  </si>
  <si>
    <t>Building 09 (4)</t>
  </si>
  <si>
    <t>Building 15 (7)</t>
  </si>
  <si>
    <t>Building 15 (30)</t>
  </si>
  <si>
    <t>Building 13 (1)</t>
  </si>
  <si>
    <t>mcp_roads_turn_01</t>
  </si>
  <si>
    <t>Building 18 (7)</t>
  </si>
  <si>
    <t>Building 30 (4)</t>
  </si>
  <si>
    <t>mcp_road_part_02 (2)</t>
  </si>
  <si>
    <t>mcp_road_part_02 (1)</t>
  </si>
  <si>
    <t>Building 23 (4)</t>
  </si>
  <si>
    <t>Building 07 (17)</t>
  </si>
  <si>
    <t>Shurbs (2)</t>
  </si>
  <si>
    <t>Tree 04 (6)</t>
  </si>
  <si>
    <t>Shurbs (1)</t>
  </si>
  <si>
    <t>Tree 04 (4)</t>
  </si>
  <si>
    <t>Building 04 (3)</t>
  </si>
  <si>
    <t>Shurbs (3)</t>
  </si>
  <si>
    <t>Building 07 (14)</t>
  </si>
  <si>
    <t>Building 07 (15)</t>
  </si>
  <si>
    <t>mcp_road_part_02 (6)</t>
  </si>
  <si>
    <t>mcp_road_part_02 (9)</t>
  </si>
  <si>
    <t>mcp_road_part_02 (8)</t>
  </si>
  <si>
    <t>mcp_road_part_02 (12)</t>
  </si>
  <si>
    <t>mcp_road_part_02 (10)</t>
  </si>
  <si>
    <t>mcp_road_part_02 (11)</t>
  </si>
  <si>
    <t>Canopi 01 (7)</t>
  </si>
  <si>
    <t>Tree 02 (3)</t>
  </si>
  <si>
    <t>Tong (3)</t>
  </si>
  <si>
    <t>Stand 02 (19)</t>
  </si>
  <si>
    <t>mcp_building_24_fountain_marble</t>
  </si>
  <si>
    <t>Building 15 (19)</t>
  </si>
  <si>
    <t>Building 18 (4)</t>
  </si>
  <si>
    <t>Building 03</t>
  </si>
  <si>
    <t>Building 14 (9)</t>
  </si>
  <si>
    <t>Building 15 (9)</t>
  </si>
  <si>
    <t>Building 04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</si>
</sst>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56"/>
  <sheetViews>
    <sheetView tabSelected="1" workbookViewId="0"/>
  </sheetViews>
  <sheetFormatPr defaultRowHeight="14.25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tr">
        <f>"20200111150441579"</f>
        <v>20200111150441579</v>
      </c>
      <c r="B2" t="str">
        <f>"1578726281573164"</f>
        <v>1578726281573164</v>
      </c>
      <c r="C2" t="s">
        <v>37</v>
      </c>
      <c r="D2">
        <v>4.2618879999999999</v>
      </c>
      <c r="E2">
        <v>0.51895539999999996</v>
      </c>
      <c r="F2" t="s">
        <v>38</v>
      </c>
      <c r="G2">
        <v>-476.42950000000002</v>
      </c>
      <c r="H2">
        <v>1.00169</v>
      </c>
      <c r="I2">
        <v>367.50650000000002</v>
      </c>
      <c r="J2">
        <v>-477.13830000000002</v>
      </c>
      <c r="K2">
        <v>1.105</v>
      </c>
      <c r="L2">
        <v>367.51859999999999</v>
      </c>
      <c r="M2">
        <v>0.99986039999999998</v>
      </c>
      <c r="N2">
        <v>0</v>
      </c>
      <c r="O2">
        <v>-3.3003939999999999E-4</v>
      </c>
      <c r="P2">
        <v>0.989492499999999</v>
      </c>
      <c r="Q2">
        <v>0.14411079999999901</v>
      </c>
      <c r="R2">
        <v>1.1703939999999999E-2</v>
      </c>
      <c r="S2">
        <v>3.0996090000000001</v>
      </c>
      <c r="T2">
        <v>-0.4572949</v>
      </c>
      <c r="U2">
        <v>-5.3314210000000001E-2</v>
      </c>
      <c r="V2">
        <v>-1.1992050000000001E-2</v>
      </c>
      <c r="W2">
        <v>0.1606283</v>
      </c>
      <c r="X2">
        <v>0.98694210000000004</v>
      </c>
      <c r="Y2">
        <v>1.6690679999999999E-2</v>
      </c>
      <c r="Z2">
        <v>-1.1760639999999899E-3</v>
      </c>
      <c r="AA2">
        <v>0.99985999999999997</v>
      </c>
      <c r="AB2">
        <v>1</v>
      </c>
      <c r="AC2">
        <v>0.70879999999999599</v>
      </c>
      <c r="AD2">
        <v>-0.103309999999999</v>
      </c>
      <c r="AE2">
        <v>-1.2099999999975301E-2</v>
      </c>
      <c r="AF2">
        <v>1.16192664081526E-2</v>
      </c>
      <c r="AG2">
        <v>-0.103309999999999</v>
      </c>
      <c r="AH2">
        <v>0.69406353108116003</v>
      </c>
      <c r="AI2">
        <v>98.465036033445898</v>
      </c>
      <c r="AJ2">
        <v>89.040905170459894</v>
      </c>
      <c r="AK2">
        <v>0.70180634695670296</v>
      </c>
    </row>
    <row r="3" spans="1:37" x14ac:dyDescent="0.2">
      <c r="A3" t="str">
        <f>"20200111150441603"</f>
        <v>20200111150441603</v>
      </c>
      <c r="B3" t="str">
        <f>"1578726281592685"</f>
        <v>1578726281592685</v>
      </c>
      <c r="C3" t="s">
        <v>37</v>
      </c>
      <c r="D3">
        <v>4.3510580000000001</v>
      </c>
      <c r="E3">
        <v>0.5195959</v>
      </c>
      <c r="F3" t="s">
        <v>38</v>
      </c>
      <c r="G3">
        <v>-476.44670000000002</v>
      </c>
      <c r="H3">
        <v>0.9870911</v>
      </c>
      <c r="I3">
        <v>367.5027</v>
      </c>
      <c r="J3">
        <v>-477.1515</v>
      </c>
      <c r="K3">
        <v>1.1051759999999999</v>
      </c>
      <c r="L3">
        <v>367.51839999999999</v>
      </c>
      <c r="M3">
        <v>0.99983860000000002</v>
      </c>
      <c r="N3">
        <v>0</v>
      </c>
      <c r="O3">
        <v>-5.5059070000000002E-4</v>
      </c>
      <c r="P3">
        <v>0.98971279999999995</v>
      </c>
      <c r="Q3">
        <v>0.142591</v>
      </c>
      <c r="R3">
        <v>1.16864999999999E-2</v>
      </c>
      <c r="S3">
        <v>3.1099549999999998</v>
      </c>
      <c r="T3">
        <v>-0.53046969999999904</v>
      </c>
      <c r="U3">
        <v>-7.0373539999999998E-2</v>
      </c>
      <c r="V3">
        <v>-1.2182729999999999E-2</v>
      </c>
      <c r="W3">
        <v>0.16035060000000001</v>
      </c>
      <c r="X3">
        <v>0.98698490000000005</v>
      </c>
      <c r="Y3">
        <v>2.176589E-2</v>
      </c>
      <c r="Z3">
        <v>-1.749535E-3</v>
      </c>
      <c r="AA3">
        <v>0.99976160000000003</v>
      </c>
      <c r="AB3">
        <v>1</v>
      </c>
      <c r="AC3">
        <v>0.704799999999977</v>
      </c>
      <c r="AD3">
        <v>-0.11808489999999899</v>
      </c>
      <c r="AE3">
        <v>-1.5699999999981101E-2</v>
      </c>
      <c r="AF3">
        <v>1.48939975700682E-2</v>
      </c>
      <c r="AG3">
        <v>-0.11808489999999899</v>
      </c>
      <c r="AH3">
        <v>0.68557339453420596</v>
      </c>
      <c r="AI3">
        <v>99.770616710686696</v>
      </c>
      <c r="AJ3">
        <v>88.7554520177858</v>
      </c>
      <c r="AK3">
        <v>0.69582810669358597</v>
      </c>
    </row>
    <row r="4" spans="1:37" x14ac:dyDescent="0.2">
      <c r="A4" t="str">
        <f>"20200111150441625"</f>
        <v>20200111150441625</v>
      </c>
      <c r="B4" t="str">
        <f>"1578726281613181"</f>
        <v>1578726281613181</v>
      </c>
      <c r="C4" t="s">
        <v>37</v>
      </c>
      <c r="D4">
        <v>4.3706569999999996</v>
      </c>
      <c r="E4">
        <v>0.5195784</v>
      </c>
      <c r="F4" t="s">
        <v>38</v>
      </c>
      <c r="G4">
        <v>-476.46129999999999</v>
      </c>
      <c r="H4">
        <v>0.9823984</v>
      </c>
      <c r="I4">
        <v>367.50209999999998</v>
      </c>
      <c r="J4">
        <v>-477.16609999999997</v>
      </c>
      <c r="K4">
        <v>1.1052919999999999</v>
      </c>
      <c r="L4">
        <v>367.5181</v>
      </c>
      <c r="M4">
        <v>0.9998186</v>
      </c>
      <c r="N4">
        <v>0</v>
      </c>
      <c r="O4">
        <v>-7.9682600000000004E-4</v>
      </c>
      <c r="P4">
        <v>0.99022299999999996</v>
      </c>
      <c r="Q4">
        <v>0.1391192</v>
      </c>
      <c r="R4">
        <v>1.021589E-2</v>
      </c>
      <c r="S4">
        <v>3.1118769999999998</v>
      </c>
      <c r="T4">
        <v>-0.55388389999999998</v>
      </c>
      <c r="U4">
        <v>-7.1899409999999997E-2</v>
      </c>
      <c r="V4">
        <v>-1.09502E-2</v>
      </c>
      <c r="W4">
        <v>0.157946</v>
      </c>
      <c r="X4">
        <v>0.98738709999999996</v>
      </c>
      <c r="Y4">
        <v>2.1969320000000001E-2</v>
      </c>
      <c r="Z4">
        <v>-1.7989359999999999E-3</v>
      </c>
      <c r="AA4">
        <v>0.99975709999999995</v>
      </c>
      <c r="AB4">
        <v>1</v>
      </c>
      <c r="AC4">
        <v>0.704799999999977</v>
      </c>
      <c r="AD4">
        <v>-0.12289359999999901</v>
      </c>
      <c r="AE4">
        <v>-1.6000000000019499E-2</v>
      </c>
      <c r="AF4">
        <v>1.4982986342840199E-2</v>
      </c>
      <c r="AG4">
        <v>-0.12289359999999901</v>
      </c>
      <c r="AH4">
        <v>0.68402629521698999</v>
      </c>
      <c r="AI4">
        <v>100.182828516634</v>
      </c>
      <c r="AJ4">
        <v>88.745187672380894</v>
      </c>
      <c r="AK4">
        <v>0.69513976964995305</v>
      </c>
    </row>
    <row r="5" spans="1:37" x14ac:dyDescent="0.2">
      <c r="A5" t="str">
        <f>"20200111150441648"</f>
        <v>20200111150441648</v>
      </c>
      <c r="B5" t="str">
        <f>"1578726281643437"</f>
        <v>1578726281643437</v>
      </c>
      <c r="C5" t="s">
        <v>37</v>
      </c>
      <c r="D5">
        <v>4.346266</v>
      </c>
      <c r="E5">
        <v>0.51962129999999995</v>
      </c>
      <c r="F5" t="s">
        <v>38</v>
      </c>
      <c r="G5">
        <v>-476.47750000000002</v>
      </c>
      <c r="H5">
        <v>0.97918649999999996</v>
      </c>
      <c r="I5">
        <v>367.5009</v>
      </c>
      <c r="J5">
        <v>-477.18520000000001</v>
      </c>
      <c r="K5">
        <v>1.1053959999999901</v>
      </c>
      <c r="L5">
        <v>367.51780000000002</v>
      </c>
      <c r="M5">
        <v>0.99979640000000003</v>
      </c>
      <c r="N5">
        <v>0</v>
      </c>
      <c r="O5">
        <v>-1.116131E-3</v>
      </c>
      <c r="P5">
        <v>0.99060139999999997</v>
      </c>
      <c r="Q5">
        <v>0.13647390000000001</v>
      </c>
      <c r="R5">
        <v>9.1652179999999993E-3</v>
      </c>
      <c r="S5">
        <v>3.1105040000000002</v>
      </c>
      <c r="T5">
        <v>-0.57017249999999997</v>
      </c>
      <c r="U5">
        <v>-7.5164789999999995E-2</v>
      </c>
      <c r="V5">
        <v>-1.0212590000000001E-2</v>
      </c>
      <c r="W5">
        <v>0.15641169999999999</v>
      </c>
      <c r="X5">
        <v>0.98763909999999999</v>
      </c>
      <c r="Y5">
        <v>2.2682609999999999E-2</v>
      </c>
      <c r="Z5">
        <v>-1.8585400000000001E-3</v>
      </c>
      <c r="AA5">
        <v>0.99974099999999999</v>
      </c>
      <c r="AB5">
        <v>1</v>
      </c>
      <c r="AC5">
        <v>0.70769999999998801</v>
      </c>
      <c r="AD5">
        <v>-0.126209499999999</v>
      </c>
      <c r="AE5">
        <v>-1.6900000000020999E-2</v>
      </c>
      <c r="AF5">
        <v>1.5613645319865E-2</v>
      </c>
      <c r="AG5">
        <v>-0.126209499999999</v>
      </c>
      <c r="AH5">
        <v>0.68591579403713498</v>
      </c>
      <c r="AI5">
        <v>100.423247907205</v>
      </c>
      <c r="AJ5">
        <v>88.695989333227004</v>
      </c>
      <c r="AK5">
        <v>0.69760526110402699</v>
      </c>
    </row>
    <row r="6" spans="1:37" x14ac:dyDescent="0.2">
      <c r="A6" t="str">
        <f>"20200111150441668"</f>
        <v>20200111150441668</v>
      </c>
      <c r="B6" t="str">
        <f>"1578726281662956"</f>
        <v>1578726281662956</v>
      </c>
      <c r="C6" t="s">
        <v>37</v>
      </c>
      <c r="D6">
        <v>4.2950589999999904</v>
      </c>
      <c r="E6">
        <v>0.51974889999999996</v>
      </c>
      <c r="F6" t="s">
        <v>38</v>
      </c>
      <c r="G6">
        <v>-476.49699999999899</v>
      </c>
      <c r="H6">
        <v>0.97426579999999996</v>
      </c>
      <c r="I6">
        <v>367.50020000000001</v>
      </c>
      <c r="J6">
        <v>-477.20519999999999</v>
      </c>
      <c r="K6">
        <v>1.1054649999999999</v>
      </c>
      <c r="L6">
        <v>367.51749999999998</v>
      </c>
      <c r="M6">
        <v>0.99977629999999995</v>
      </c>
      <c r="N6">
        <v>0</v>
      </c>
      <c r="O6">
        <v>-1.4488529999999999E-3</v>
      </c>
      <c r="P6">
        <v>0.99074799999999996</v>
      </c>
      <c r="Q6">
        <v>0.13552210000000001</v>
      </c>
      <c r="R6">
        <v>7.2509200000000001E-3</v>
      </c>
      <c r="S6">
        <v>3.1109009999999899</v>
      </c>
      <c r="T6">
        <v>-0.59287590000000001</v>
      </c>
      <c r="U6">
        <v>-7.9467769999999993E-2</v>
      </c>
      <c r="V6">
        <v>-8.625509E-3</v>
      </c>
      <c r="W6">
        <v>0.15640560000000001</v>
      </c>
      <c r="X6">
        <v>0.98765519999999996</v>
      </c>
      <c r="Y6">
        <v>2.3687880000000001E-2</v>
      </c>
      <c r="Z6">
        <v>-1.9630569999999998E-3</v>
      </c>
      <c r="AA6">
        <v>0.99971749999999904</v>
      </c>
      <c r="AB6">
        <v>2</v>
      </c>
      <c r="AC6">
        <v>0.70820000000003303</v>
      </c>
      <c r="AD6">
        <v>-0.13119919999999899</v>
      </c>
      <c r="AE6">
        <v>-1.7299999999977399E-2</v>
      </c>
      <c r="AF6">
        <v>1.5734002661032101E-2</v>
      </c>
      <c r="AG6">
        <v>-0.13119919999999899</v>
      </c>
      <c r="AH6">
        <v>0.68473795956802097</v>
      </c>
      <c r="AI6">
        <v>100.843900706173</v>
      </c>
      <c r="AJ6">
        <v>88.683681364586107</v>
      </c>
      <c r="AK6">
        <v>0.69737139473436505</v>
      </c>
    </row>
    <row r="7" spans="1:37" x14ac:dyDescent="0.2">
      <c r="A7" t="str">
        <f>"20200111150441691"</f>
        <v>20200111150441691</v>
      </c>
      <c r="B7" t="str">
        <f>"1578726281683453"</f>
        <v>1578726281683453</v>
      </c>
      <c r="C7" t="s">
        <v>37</v>
      </c>
      <c r="D7">
        <v>4.3591579999999999</v>
      </c>
      <c r="E7">
        <v>0.52078019999999903</v>
      </c>
      <c r="F7" t="s">
        <v>38</v>
      </c>
      <c r="G7">
        <v>-476.51690000000002</v>
      </c>
      <c r="H7">
        <v>0.97385909999999998</v>
      </c>
      <c r="I7">
        <v>367.49829999999997</v>
      </c>
      <c r="J7">
        <v>-477.2303</v>
      </c>
      <c r="K7">
        <v>1.105537</v>
      </c>
      <c r="L7">
        <v>367.51710000000003</v>
      </c>
      <c r="M7">
        <v>0.99975409999999998</v>
      </c>
      <c r="N7">
        <v>0</v>
      </c>
      <c r="O7">
        <v>-1.8661299999999999E-3</v>
      </c>
      <c r="P7">
        <v>0.99076960000000003</v>
      </c>
      <c r="Q7">
        <v>0.13542870000000001</v>
      </c>
      <c r="R7">
        <v>5.9127969999999896E-3</v>
      </c>
      <c r="S7">
        <v>3.1100159999999999</v>
      </c>
      <c r="T7">
        <v>-0.59498790000000001</v>
      </c>
      <c r="U7">
        <v>-8.5784910000000006E-2</v>
      </c>
      <c r="V7">
        <v>-7.6989819999999896E-3</v>
      </c>
      <c r="W7">
        <v>0.1572981</v>
      </c>
      <c r="X7">
        <v>0.98752119999999999</v>
      </c>
      <c r="Y7">
        <v>2.528267E-2</v>
      </c>
      <c r="Z7">
        <v>-2.0424549999999999E-3</v>
      </c>
      <c r="AA7">
        <v>0.99967830000000002</v>
      </c>
      <c r="AB7">
        <v>2</v>
      </c>
      <c r="AC7">
        <v>0.71339999999997805</v>
      </c>
      <c r="AD7">
        <v>-0.13167789999999899</v>
      </c>
      <c r="AE7">
        <v>-1.8800000000055599E-2</v>
      </c>
      <c r="AF7">
        <v>1.68932093920999E-2</v>
      </c>
      <c r="AG7">
        <v>-0.13167789999999899</v>
      </c>
      <c r="AH7">
        <v>0.68994443448368004</v>
      </c>
      <c r="AI7">
        <v>100.80196367504701</v>
      </c>
      <c r="AJ7">
        <v>88.597399735258307</v>
      </c>
      <c r="AK7">
        <v>0.70260072057106604</v>
      </c>
    </row>
    <row r="8" spans="1:37" x14ac:dyDescent="0.2">
      <c r="A8" t="str">
        <f>"20200111150441715"</f>
        <v>20200111150441715</v>
      </c>
      <c r="B8" t="str">
        <f>"1578726281702973"</f>
        <v>1578726281702973</v>
      </c>
      <c r="C8" t="s">
        <v>37</v>
      </c>
      <c r="D8">
        <v>4.4302140000000003</v>
      </c>
      <c r="E8">
        <v>0.52046720000000002</v>
      </c>
      <c r="F8" t="s">
        <v>38</v>
      </c>
      <c r="G8">
        <v>-476.54090000000002</v>
      </c>
      <c r="H8">
        <v>0.97049459999999999</v>
      </c>
      <c r="I8">
        <v>367.49529999999999</v>
      </c>
      <c r="J8">
        <v>-477.25869999999998</v>
      </c>
      <c r="K8">
        <v>1.1055839999999999</v>
      </c>
      <c r="L8">
        <v>367.51659999999998</v>
      </c>
      <c r="M8">
        <v>0.99973269999999903</v>
      </c>
      <c r="N8">
        <v>0</v>
      </c>
      <c r="O8">
        <v>-2.33527E-3</v>
      </c>
      <c r="P8">
        <v>0.99082269999999995</v>
      </c>
      <c r="Q8">
        <v>0.13503950000000001</v>
      </c>
      <c r="R8">
        <v>5.892586E-3</v>
      </c>
      <c r="S8">
        <v>3.1118160000000001</v>
      </c>
      <c r="T8">
        <v>-0.60957280000000003</v>
      </c>
      <c r="U8">
        <v>-9.7595210000000002E-2</v>
      </c>
      <c r="V8">
        <v>-8.1433100000000008E-3</v>
      </c>
      <c r="W8">
        <v>0.1577991</v>
      </c>
      <c r="X8">
        <v>0.98743769999999997</v>
      </c>
      <c r="Y8">
        <v>2.8515470000000001E-2</v>
      </c>
      <c r="Z8">
        <v>-2.3128350000000001E-3</v>
      </c>
      <c r="AA8">
        <v>0.99959069999999905</v>
      </c>
      <c r="AB8">
        <v>2</v>
      </c>
      <c r="AC8">
        <v>0.71779999999995403</v>
      </c>
      <c r="AD8">
        <v>-0.1350894</v>
      </c>
      <c r="AE8">
        <v>-2.1299999999996499E-2</v>
      </c>
      <c r="AF8">
        <v>1.8952552603596001E-2</v>
      </c>
      <c r="AG8">
        <v>-0.1350894</v>
      </c>
      <c r="AH8">
        <v>0.69331298475300596</v>
      </c>
      <c r="AI8">
        <v>101.02170299386501</v>
      </c>
      <c r="AJ8">
        <v>88.434140231587705</v>
      </c>
      <c r="AK8">
        <v>0.706605434503355</v>
      </c>
    </row>
    <row r="9" spans="1:37" x14ac:dyDescent="0.2">
      <c r="A9" t="str">
        <f>"20200111150441740"</f>
        <v>20200111150441740</v>
      </c>
      <c r="B9" t="str">
        <f>"1578726281733228"</f>
        <v>1578726281733228</v>
      </c>
      <c r="C9" t="s">
        <v>37</v>
      </c>
      <c r="D9">
        <v>4.4787869999999996</v>
      </c>
      <c r="E9">
        <v>0.52058800000000005</v>
      </c>
      <c r="F9" t="s">
        <v>38</v>
      </c>
      <c r="G9">
        <v>-476.59140000000002</v>
      </c>
      <c r="H9">
        <v>0.9742712</v>
      </c>
      <c r="I9">
        <v>367.49599999999998</v>
      </c>
      <c r="J9">
        <v>-477.29320000000001</v>
      </c>
      <c r="K9">
        <v>1.105607</v>
      </c>
      <c r="L9">
        <v>367.51609999999999</v>
      </c>
      <c r="M9">
        <v>0.99971069999999995</v>
      </c>
      <c r="N9">
        <v>0</v>
      </c>
      <c r="O9">
        <v>-2.9083579999999898E-3</v>
      </c>
      <c r="P9">
        <v>0.99101039999999996</v>
      </c>
      <c r="Q9">
        <v>0.13363699999999901</v>
      </c>
      <c r="R9">
        <v>6.294778E-3</v>
      </c>
      <c r="S9">
        <v>3.1118160000000001</v>
      </c>
      <c r="T9">
        <v>-0.61237600000000003</v>
      </c>
      <c r="U9">
        <v>-9.5977779999999999E-2</v>
      </c>
      <c r="V9">
        <v>-9.1140430000000005E-3</v>
      </c>
      <c r="W9">
        <v>0.15726129999999999</v>
      </c>
      <c r="X9">
        <v>0.98751499999999903</v>
      </c>
      <c r="Y9">
        <v>2.7450189999999999E-2</v>
      </c>
      <c r="Z9">
        <v>-2.107771E-3</v>
      </c>
      <c r="AA9">
        <v>0.99962099999999898</v>
      </c>
      <c r="AB9">
        <v>3</v>
      </c>
      <c r="AC9">
        <v>0.70179999999999099</v>
      </c>
      <c r="AD9">
        <v>-0.1313358</v>
      </c>
      <c r="AE9">
        <v>-2.0100000000013499E-2</v>
      </c>
      <c r="AF9">
        <v>1.7447696870873899E-2</v>
      </c>
      <c r="AG9">
        <v>-0.1313358</v>
      </c>
      <c r="AH9">
        <v>0.67812572865983001</v>
      </c>
      <c r="AI9">
        <v>100.957500095689</v>
      </c>
      <c r="AJ9">
        <v>88.526145162363804</v>
      </c>
      <c r="AK9">
        <v>0.690947189268589</v>
      </c>
    </row>
    <row r="10" spans="1:37" x14ac:dyDescent="0.2">
      <c r="A10" t="str">
        <f>"20200111150441760"</f>
        <v>20200111150441760</v>
      </c>
      <c r="B10" t="str">
        <f>"1578726281752749"</f>
        <v>1578726281752749</v>
      </c>
      <c r="C10" t="s">
        <v>37</v>
      </c>
      <c r="D10">
        <v>4.5335510000000001</v>
      </c>
      <c r="E10">
        <v>0.52109709999999998</v>
      </c>
      <c r="F10" t="s">
        <v>38</v>
      </c>
      <c r="G10">
        <v>-476.62299999999999</v>
      </c>
      <c r="H10">
        <v>0.97118559999999998</v>
      </c>
      <c r="I10">
        <v>367.49520000000001</v>
      </c>
      <c r="J10">
        <v>-477.32589999999999</v>
      </c>
      <c r="K10">
        <v>1.105604</v>
      </c>
      <c r="L10">
        <v>367.51560000000001</v>
      </c>
      <c r="M10">
        <v>0.9996931</v>
      </c>
      <c r="N10">
        <v>0</v>
      </c>
      <c r="O10">
        <v>-3.4541239999999998E-3</v>
      </c>
      <c r="P10">
        <v>0.99112119999999904</v>
      </c>
      <c r="Q10">
        <v>0.1327304</v>
      </c>
      <c r="R10">
        <v>7.8595009999999996E-3</v>
      </c>
      <c r="S10">
        <v>3.1120299999999999</v>
      </c>
      <c r="T10">
        <v>-0.62448359999999903</v>
      </c>
      <c r="U10">
        <v>-9.5855709999999997E-2</v>
      </c>
      <c r="V10">
        <v>-1.1220269999999999E-2</v>
      </c>
      <c r="W10">
        <v>0.15701029999999999</v>
      </c>
      <c r="X10">
        <v>0.9875332</v>
      </c>
      <c r="Y10">
        <v>2.686709E-2</v>
      </c>
      <c r="Z10">
        <v>-1.9821299999999999E-3</v>
      </c>
      <c r="AA10">
        <v>0.99963709999999995</v>
      </c>
      <c r="AB10">
        <v>3</v>
      </c>
      <c r="AC10">
        <v>0.70289999999994202</v>
      </c>
      <c r="AD10">
        <v>-0.13441839999999999</v>
      </c>
      <c r="AE10">
        <v>-2.0399999999994999E-2</v>
      </c>
      <c r="AF10">
        <v>1.73377286189977E-2</v>
      </c>
      <c r="AG10">
        <v>-0.13441839999999999</v>
      </c>
      <c r="AH10">
        <v>0.67818560692896601</v>
      </c>
      <c r="AI10">
        <v>101.207327062923</v>
      </c>
      <c r="AJ10">
        <v>88.535559676974501</v>
      </c>
      <c r="AK10">
        <v>0.69159570598568398</v>
      </c>
    </row>
    <row r="11" spans="1:37" x14ac:dyDescent="0.2">
      <c r="A11" t="str">
        <f>"20200111150441782"</f>
        <v>20200111150441782</v>
      </c>
      <c r="B11" t="str">
        <f>"1578726281773244"</f>
        <v>1578726281773244</v>
      </c>
      <c r="C11" t="s">
        <v>37</v>
      </c>
      <c r="D11">
        <v>4.4857930000000001</v>
      </c>
      <c r="E11">
        <v>0.52136839999999995</v>
      </c>
      <c r="F11" t="s">
        <v>38</v>
      </c>
      <c r="G11">
        <v>-476.65710000000001</v>
      </c>
      <c r="H11">
        <v>0.96826919999999905</v>
      </c>
      <c r="I11">
        <v>367.4948</v>
      </c>
      <c r="J11">
        <v>-477.36290000000002</v>
      </c>
      <c r="K11">
        <v>1.105594</v>
      </c>
      <c r="L11">
        <v>367.51499999999999</v>
      </c>
      <c r="M11">
        <v>0.99967589999999995</v>
      </c>
      <c r="N11">
        <v>0</v>
      </c>
      <c r="O11">
        <v>-4.074729E-3</v>
      </c>
      <c r="P11">
        <v>0.99121769999999998</v>
      </c>
      <c r="Q11">
        <v>0.13189110000000001</v>
      </c>
      <c r="R11">
        <v>9.6059200000000004E-3</v>
      </c>
      <c r="S11">
        <v>3.1133120000000001</v>
      </c>
      <c r="T11">
        <v>-0.63937060000000001</v>
      </c>
      <c r="U11">
        <v>-9.6679689999999999E-2</v>
      </c>
      <c r="V11">
        <v>-1.358323E-2</v>
      </c>
      <c r="W11">
        <v>0.15676679999999901</v>
      </c>
      <c r="X11">
        <v>0.98754219999999904</v>
      </c>
      <c r="Y11">
        <v>2.649692E-2</v>
      </c>
      <c r="Z11">
        <v>-1.8638400000000001E-3</v>
      </c>
      <c r="AA11">
        <v>0.99964709999999901</v>
      </c>
      <c r="AB11">
        <v>3</v>
      </c>
      <c r="AC11">
        <v>0.70580000000000997</v>
      </c>
      <c r="AD11">
        <v>-0.1373248</v>
      </c>
      <c r="AE11">
        <v>-2.0199999999988401E-2</v>
      </c>
      <c r="AF11">
        <v>1.66916193008056E-2</v>
      </c>
      <c r="AG11">
        <v>-0.1373248</v>
      </c>
      <c r="AH11">
        <v>0.68014979927260699</v>
      </c>
      <c r="AI11">
        <v>101.411430297748</v>
      </c>
      <c r="AJ11">
        <v>88.594181141340499</v>
      </c>
      <c r="AK11">
        <v>0.69407525550223403</v>
      </c>
    </row>
    <row r="12" spans="1:37" x14ac:dyDescent="0.2">
      <c r="A12" t="str">
        <f>"20200111150441803"</f>
        <v>20200111150441803</v>
      </c>
      <c r="B12" t="str">
        <f>"1578726281792765"</f>
        <v>1578726281792765</v>
      </c>
      <c r="C12" t="s">
        <v>37</v>
      </c>
      <c r="D12">
        <v>4.559736</v>
      </c>
      <c r="E12">
        <v>0.52152319999999996</v>
      </c>
      <c r="F12" t="s">
        <v>38</v>
      </c>
      <c r="G12">
        <v>-476.69330000000002</v>
      </c>
      <c r="H12">
        <v>0.96634209999999998</v>
      </c>
      <c r="I12">
        <v>367.49380000000002</v>
      </c>
      <c r="J12">
        <v>-477.40309999999999</v>
      </c>
      <c r="K12">
        <v>1.105577</v>
      </c>
      <c r="L12">
        <v>367.51440000000002</v>
      </c>
      <c r="M12">
        <v>0.99965959999999998</v>
      </c>
      <c r="N12">
        <v>0</v>
      </c>
      <c r="O12">
        <v>-4.7529670000000003E-3</v>
      </c>
      <c r="P12">
        <v>0.99140039999999996</v>
      </c>
      <c r="Q12">
        <v>0.13036500000000001</v>
      </c>
      <c r="R12">
        <v>1.142572E-2</v>
      </c>
      <c r="S12">
        <v>3.1137389999999998</v>
      </c>
      <c r="T12">
        <v>-0.64818569999999998</v>
      </c>
      <c r="U12">
        <v>-9.5947270000000001E-2</v>
      </c>
      <c r="V12">
        <v>-1.6078229999999999E-2</v>
      </c>
      <c r="W12">
        <v>0.15576319999999999</v>
      </c>
      <c r="X12">
        <v>0.98766359999999997</v>
      </c>
      <c r="Y12">
        <v>2.560047E-2</v>
      </c>
      <c r="Z12">
        <v>-1.656748E-3</v>
      </c>
      <c r="AA12">
        <v>0.99967090000000003</v>
      </c>
      <c r="AB12">
        <v>4</v>
      </c>
      <c r="AC12">
        <v>0.70979999999997201</v>
      </c>
      <c r="AD12">
        <v>-0.13923489999999999</v>
      </c>
      <c r="AE12">
        <v>-2.06000000000017E-2</v>
      </c>
      <c r="AF12">
        <v>1.65872752737856E-2</v>
      </c>
      <c r="AG12">
        <v>-0.13923489999999999</v>
      </c>
      <c r="AH12">
        <v>0.68360749803350496</v>
      </c>
      <c r="AI12">
        <v>101.509046976877</v>
      </c>
      <c r="AJ12">
        <v>88.610029262735793</v>
      </c>
      <c r="AK12">
        <v>0.69784002926648403</v>
      </c>
    </row>
    <row r="13" spans="1:37" x14ac:dyDescent="0.2">
      <c r="A13" t="str">
        <f>"20200111150441825"</f>
        <v>20200111150441825</v>
      </c>
      <c r="B13" t="str">
        <f>"1578726281823020"</f>
        <v>1578726281823020</v>
      </c>
      <c r="C13" t="s">
        <v>37</v>
      </c>
      <c r="D13">
        <v>4.5782419999999897</v>
      </c>
      <c r="E13">
        <v>0.5221983</v>
      </c>
      <c r="F13" t="s">
        <v>38</v>
      </c>
      <c r="G13">
        <v>-476.7319</v>
      </c>
      <c r="H13">
        <v>0.96456730000000002</v>
      </c>
      <c r="I13">
        <v>367.49369999999999</v>
      </c>
      <c r="J13">
        <v>-477.44699999999898</v>
      </c>
      <c r="K13">
        <v>1.105553</v>
      </c>
      <c r="L13">
        <v>367.5138</v>
      </c>
      <c r="M13">
        <v>0.99964390000000003</v>
      </c>
      <c r="N13">
        <v>0</v>
      </c>
      <c r="O13">
        <v>-5.4939309999999996E-3</v>
      </c>
      <c r="P13">
        <v>0.9917009</v>
      </c>
      <c r="Q13">
        <v>0.12792039999999999</v>
      </c>
      <c r="R13">
        <v>1.288653E-2</v>
      </c>
      <c r="S13">
        <v>3.1131289999999998</v>
      </c>
      <c r="T13">
        <v>-0.6541167</v>
      </c>
      <c r="U13">
        <v>-9.5275879999999993E-2</v>
      </c>
      <c r="V13">
        <v>-1.8279050000000002E-2</v>
      </c>
      <c r="W13">
        <v>0.15378269999999999</v>
      </c>
      <c r="X13">
        <v>0.98793560000000002</v>
      </c>
      <c r="Y13">
        <v>2.467807E-2</v>
      </c>
      <c r="Z13">
        <v>-1.4220459999999999E-3</v>
      </c>
      <c r="AA13">
        <v>0.99969449999999904</v>
      </c>
      <c r="AB13">
        <v>4</v>
      </c>
      <c r="AC13">
        <v>0.715099999999949</v>
      </c>
      <c r="AD13">
        <v>-0.14098569999999999</v>
      </c>
      <c r="AE13">
        <v>-2.0100000000013499E-2</v>
      </c>
      <c r="AF13">
        <v>1.5565105374900899E-2</v>
      </c>
      <c r="AG13">
        <v>-0.14098569999999999</v>
      </c>
      <c r="AH13">
        <v>0.688460217946817</v>
      </c>
      <c r="AI13">
        <v>101.570377015242</v>
      </c>
      <c r="AJ13">
        <v>88.704844638383804</v>
      </c>
      <c r="AK13">
        <v>0.70292013188213698</v>
      </c>
    </row>
    <row r="14" spans="1:37" x14ac:dyDescent="0.2">
      <c r="A14" t="str">
        <f>"20200111150441850"</f>
        <v>20200111150441850</v>
      </c>
      <c r="B14" t="str">
        <f>"1578726281843517"</f>
        <v>1578726281843517</v>
      </c>
      <c r="C14" t="s">
        <v>37</v>
      </c>
      <c r="D14">
        <v>4.4994740000000002</v>
      </c>
      <c r="E14">
        <v>0.52197179999999999</v>
      </c>
      <c r="F14" t="s">
        <v>38</v>
      </c>
      <c r="G14">
        <v>-476.77390000000003</v>
      </c>
      <c r="H14">
        <v>0.96122160000000001</v>
      </c>
      <c r="I14">
        <v>367.49259999999998</v>
      </c>
      <c r="J14">
        <v>-477.49529999999999</v>
      </c>
      <c r="K14">
        <v>1.105548</v>
      </c>
      <c r="L14">
        <v>367.51310000000001</v>
      </c>
      <c r="M14">
        <v>0.99962809999999902</v>
      </c>
      <c r="N14">
        <v>0</v>
      </c>
      <c r="O14">
        <v>-6.3108599999999997E-3</v>
      </c>
      <c r="P14">
        <v>0.99211079999999996</v>
      </c>
      <c r="Q14">
        <v>0.1245631</v>
      </c>
      <c r="R14">
        <v>1.414699E-2</v>
      </c>
      <c r="S14">
        <v>3.1124879999999999</v>
      </c>
      <c r="T14">
        <v>-0.66765949999999996</v>
      </c>
      <c r="U14">
        <v>-9.6923830000000002E-2</v>
      </c>
      <c r="V14">
        <v>-2.035733E-2</v>
      </c>
      <c r="W14">
        <v>0.150843899999999</v>
      </c>
      <c r="X14">
        <v>0.98834789999999995</v>
      </c>
      <c r="Y14">
        <v>2.4403459999999998E-2</v>
      </c>
      <c r="Z14">
        <v>-1.2487139999999999E-3</v>
      </c>
      <c r="AA14">
        <v>0.99970139999999996</v>
      </c>
      <c r="AB14">
        <v>4</v>
      </c>
      <c r="AC14">
        <v>0.72139999999995996</v>
      </c>
      <c r="AD14">
        <v>-0.14432639999999899</v>
      </c>
      <c r="AE14">
        <v>-2.0500000000026799E-2</v>
      </c>
      <c r="AF14">
        <v>1.5332148760078001E-2</v>
      </c>
      <c r="AG14">
        <v>-0.14432639999999899</v>
      </c>
      <c r="AH14">
        <v>0.69376884238369896</v>
      </c>
      <c r="AI14">
        <v>101.748974189924</v>
      </c>
      <c r="AJ14">
        <v>88.733981135656194</v>
      </c>
      <c r="AK14">
        <v>0.70878797336367105</v>
      </c>
    </row>
    <row r="15" spans="1:37" x14ac:dyDescent="0.2">
      <c r="A15" t="str">
        <f>"20200111150441869"</f>
        <v>20200111150441869</v>
      </c>
      <c r="B15" t="str">
        <f>"1578726281863036"</f>
        <v>1578726281863036</v>
      </c>
      <c r="C15" t="s">
        <v>37</v>
      </c>
      <c r="D15">
        <v>4.5344350000000002</v>
      </c>
      <c r="E15">
        <v>0.49433850000000001</v>
      </c>
      <c r="F15" t="s">
        <v>38</v>
      </c>
      <c r="G15">
        <v>-476.8177</v>
      </c>
      <c r="H15">
        <v>0.95921650000000003</v>
      </c>
      <c r="I15">
        <v>367.49369999999999</v>
      </c>
      <c r="J15">
        <v>-477.54289999999997</v>
      </c>
      <c r="K15">
        <v>1.1055489999999999</v>
      </c>
      <c r="L15">
        <v>367.51249999999999</v>
      </c>
      <c r="M15">
        <v>0.999613999999999</v>
      </c>
      <c r="N15">
        <v>0</v>
      </c>
      <c r="O15">
        <v>-7.1112939999999998E-3</v>
      </c>
      <c r="P15">
        <v>0.99231259999999999</v>
      </c>
      <c r="Q15">
        <v>0.1227012</v>
      </c>
      <c r="R15">
        <v>1.613726E-2</v>
      </c>
      <c r="S15">
        <v>3.1094059999999999</v>
      </c>
      <c r="T15">
        <v>-0.67134300000000002</v>
      </c>
      <c r="U15">
        <v>-8.932495E-2</v>
      </c>
      <c r="V15">
        <v>-2.3147959999999999E-2</v>
      </c>
      <c r="W15">
        <v>0.14931259999999999</v>
      </c>
      <c r="X15">
        <v>0.98851909999999898</v>
      </c>
      <c r="Y15">
        <v>2.1277750000000002E-2</v>
      </c>
      <c r="Z15">
        <v>-7.5230580000000004E-4</v>
      </c>
      <c r="AA15">
        <v>0.99977329999999998</v>
      </c>
      <c r="AB15">
        <v>5</v>
      </c>
      <c r="AC15">
        <v>0.72519999999997198</v>
      </c>
      <c r="AD15">
        <v>-0.14633249999999901</v>
      </c>
      <c r="AE15">
        <v>-1.87999999999988E-2</v>
      </c>
      <c r="AF15">
        <v>1.3107236108728E-2</v>
      </c>
      <c r="AG15">
        <v>-0.14633249999999901</v>
      </c>
      <c r="AH15">
        <v>0.69695708564240499</v>
      </c>
      <c r="AI15">
        <v>101.85549906828901</v>
      </c>
      <c r="AJ15">
        <v>88.922601107301304</v>
      </c>
      <c r="AK15">
        <v>0.71227394970040403</v>
      </c>
    </row>
    <row r="16" spans="1:37" x14ac:dyDescent="0.2">
      <c r="A16" t="str">
        <f>"20200111150441892"</f>
        <v>20200111150441892</v>
      </c>
      <c r="B16" t="str">
        <f>"1578726281883532"</f>
        <v>1578726281883532</v>
      </c>
      <c r="C16" t="s">
        <v>37</v>
      </c>
      <c r="D16">
        <v>4.6240030000000001</v>
      </c>
      <c r="E16">
        <v>0.49009399999999997</v>
      </c>
      <c r="F16" t="s">
        <v>38</v>
      </c>
      <c r="G16">
        <v>-476.82389999999998</v>
      </c>
      <c r="H16">
        <v>1.015058</v>
      </c>
      <c r="I16">
        <v>367.54140000000001</v>
      </c>
      <c r="J16">
        <v>-477.5958</v>
      </c>
      <c r="K16">
        <v>1.1055520000000001</v>
      </c>
      <c r="L16">
        <v>367.51190000000003</v>
      </c>
      <c r="M16">
        <v>0.99959900000000002</v>
      </c>
      <c r="N16">
        <v>0</v>
      </c>
      <c r="O16">
        <v>-7.9964659999999903E-3</v>
      </c>
      <c r="P16">
        <v>0.99234809999999996</v>
      </c>
      <c r="Q16">
        <v>0.1218529</v>
      </c>
      <c r="R16">
        <v>1.9925080000000001E-2</v>
      </c>
      <c r="S16">
        <v>3.0690309999999998</v>
      </c>
      <c r="T16">
        <v>-0.38695619999999997</v>
      </c>
      <c r="U16">
        <v>0.12573239999999999</v>
      </c>
      <c r="V16">
        <v>-2.7820750000000002E-2</v>
      </c>
      <c r="W16">
        <v>0.14876239999999999</v>
      </c>
      <c r="X16">
        <v>0.98848150000000001</v>
      </c>
      <c r="Y16">
        <v>-4.8478739999999999E-2</v>
      </c>
      <c r="Z16">
        <v>4.0471279999999997E-3</v>
      </c>
      <c r="AA16">
        <v>0.99881600000000004</v>
      </c>
      <c r="AB16">
        <v>5</v>
      </c>
      <c r="AC16">
        <v>0.77190000000001602</v>
      </c>
      <c r="AD16">
        <v>-9.0494000000000005E-2</v>
      </c>
      <c r="AE16">
        <v>2.94999999999845E-2</v>
      </c>
      <c r="AF16">
        <v>-3.5190844407555003E-2</v>
      </c>
      <c r="AG16">
        <v>-9.0494000000000005E-2</v>
      </c>
      <c r="AH16">
        <v>0.76119264139767195</v>
      </c>
      <c r="AI16">
        <v>96.772592034321093</v>
      </c>
      <c r="AJ16">
        <v>92.646967543039494</v>
      </c>
      <c r="AK16">
        <v>0.76736027841169996</v>
      </c>
    </row>
    <row r="17" spans="1:37" x14ac:dyDescent="0.2">
      <c r="A17" t="str">
        <f>"20200111150441915"</f>
        <v>20200111150441915</v>
      </c>
      <c r="B17" t="str">
        <f>"1578726281903055"</f>
        <v>1578726281903055</v>
      </c>
      <c r="C17" t="s">
        <v>37</v>
      </c>
      <c r="D17">
        <v>4.5928909999999998</v>
      </c>
      <c r="E17">
        <v>0.48736879999999999</v>
      </c>
      <c r="F17" t="s">
        <v>39</v>
      </c>
      <c r="G17">
        <v>-468.09039999999999</v>
      </c>
      <c r="H17" s="1">
        <v>-1.081087E-6</v>
      </c>
      <c r="I17">
        <v>368.04020000000003</v>
      </c>
      <c r="J17">
        <v>-477.65300000000002</v>
      </c>
      <c r="K17">
        <v>1.105558</v>
      </c>
      <c r="L17">
        <v>367.51130000000001</v>
      </c>
      <c r="M17">
        <v>0.99958409999999998</v>
      </c>
      <c r="N17">
        <v>0</v>
      </c>
      <c r="O17">
        <v>-8.942162E-3</v>
      </c>
      <c r="P17">
        <v>0.99226559999999897</v>
      </c>
      <c r="Q17">
        <v>0.1218578</v>
      </c>
      <c r="R17">
        <v>2.3662269999999999E-2</v>
      </c>
      <c r="S17">
        <v>3.063507</v>
      </c>
      <c r="T17">
        <v>-0.35630859999999998</v>
      </c>
      <c r="U17">
        <v>0.17031859999999999</v>
      </c>
      <c r="V17">
        <v>-3.250244E-2</v>
      </c>
      <c r="W17">
        <v>0.1490194</v>
      </c>
      <c r="X17">
        <v>0.98829999999999996</v>
      </c>
      <c r="Y17">
        <v>-6.3949809999999996E-2</v>
      </c>
      <c r="Z17">
        <v>4.7397919999999996E-3</v>
      </c>
      <c r="AA17">
        <v>0.99794189999999905</v>
      </c>
      <c r="AB17">
        <v>5</v>
      </c>
      <c r="AC17">
        <v>9.56260000000003</v>
      </c>
      <c r="AD17">
        <v>-1.105559081087</v>
      </c>
      <c r="AE17">
        <v>0.52890000000002102</v>
      </c>
      <c r="AF17">
        <v>-0.60634147315766695</v>
      </c>
      <c r="AG17">
        <v>-1.105559081087</v>
      </c>
      <c r="AH17">
        <v>9.4318020670802998</v>
      </c>
      <c r="AI17">
        <v>96.6718327806785</v>
      </c>
      <c r="AJ17">
        <v>93.6783073277212</v>
      </c>
      <c r="AK17">
        <v>9.5157133782194805</v>
      </c>
    </row>
    <row r="18" spans="1:37" x14ac:dyDescent="0.2">
      <c r="A18" t="str">
        <f>"20200111150441938"</f>
        <v>20200111150441938</v>
      </c>
      <c r="B18" t="str">
        <f>"1578726281933308"</f>
        <v>1578726281933308</v>
      </c>
      <c r="C18" t="s">
        <v>37</v>
      </c>
      <c r="D18">
        <v>4.6092089999999999</v>
      </c>
      <c r="E18">
        <v>0.48705169999999998</v>
      </c>
      <c r="F18" t="s">
        <v>39</v>
      </c>
      <c r="G18">
        <v>-467.33479999999997</v>
      </c>
      <c r="H18" s="1">
        <v>-1.3773449999999999E-6</v>
      </c>
      <c r="I18">
        <v>368.19740000000002</v>
      </c>
      <c r="J18">
        <v>-477.71460000000002</v>
      </c>
      <c r="K18">
        <v>1.105558</v>
      </c>
      <c r="L18">
        <v>367.51069999999999</v>
      </c>
      <c r="M18">
        <v>0.99956840000000002</v>
      </c>
      <c r="N18">
        <v>0</v>
      </c>
      <c r="O18">
        <v>-9.9492119999999903E-3</v>
      </c>
      <c r="P18">
        <v>0.99237679999999995</v>
      </c>
      <c r="Q18">
        <v>0.1204578</v>
      </c>
      <c r="R18">
        <v>2.6050529999999999E-2</v>
      </c>
      <c r="S18">
        <v>3.05874599999999</v>
      </c>
      <c r="T18">
        <v>-0.32773159999999901</v>
      </c>
      <c r="U18">
        <v>0.20343020000000001</v>
      </c>
      <c r="V18">
        <v>-3.5898859999999998E-2</v>
      </c>
      <c r="W18">
        <v>0.14784520000000001</v>
      </c>
      <c r="X18">
        <v>0.98835879999999998</v>
      </c>
      <c r="Y18">
        <v>-7.5800140000000002E-2</v>
      </c>
      <c r="Z18">
        <v>5.107103E-3</v>
      </c>
      <c r="AA18">
        <v>0.99710989999999999</v>
      </c>
      <c r="AB18">
        <v>6</v>
      </c>
      <c r="AC18">
        <v>10.379799999999999</v>
      </c>
      <c r="AD18">
        <v>-1.1055593773450001</v>
      </c>
      <c r="AE18">
        <v>0.68670000000002995</v>
      </c>
      <c r="AF18">
        <v>-0.78115309955779499</v>
      </c>
      <c r="AG18">
        <v>-1.1055593773450001</v>
      </c>
      <c r="AH18">
        <v>10.2566019365396</v>
      </c>
      <c r="AI18">
        <v>96.134530297722307</v>
      </c>
      <c r="AJ18">
        <v>94.355296107236796</v>
      </c>
      <c r="AK18">
        <v>10.345547109090599</v>
      </c>
    </row>
    <row r="19" spans="1:37" x14ac:dyDescent="0.2">
      <c r="A19" t="str">
        <f>"20200111150441959"</f>
        <v>20200111150441959</v>
      </c>
      <c r="B19" t="str">
        <f>"1578726281952828"</f>
        <v>1578726281952828</v>
      </c>
      <c r="C19" t="s">
        <v>37</v>
      </c>
      <c r="D19">
        <v>4.7989100000000002</v>
      </c>
      <c r="E19">
        <v>0.486288</v>
      </c>
      <c r="F19" t="s">
        <v>39</v>
      </c>
      <c r="G19">
        <v>-466.8175</v>
      </c>
      <c r="H19" s="1">
        <v>-1.5867269999999899E-6</v>
      </c>
      <c r="I19">
        <v>368.26819999999998</v>
      </c>
      <c r="J19">
        <v>-477.77679999999998</v>
      </c>
      <c r="K19">
        <v>1.105553</v>
      </c>
      <c r="L19">
        <v>367.5102</v>
      </c>
      <c r="M19">
        <v>0.99955269999999996</v>
      </c>
      <c r="N19">
        <v>0</v>
      </c>
      <c r="O19">
        <v>-1.0955019999999999E-2</v>
      </c>
      <c r="P19">
        <v>0.99281079999999999</v>
      </c>
      <c r="Q19">
        <v>0.11663569999999999</v>
      </c>
      <c r="R19">
        <v>2.6891559999999998E-2</v>
      </c>
      <c r="S19">
        <v>3.0550839999999999</v>
      </c>
      <c r="T19">
        <v>-0.30994870000000002</v>
      </c>
      <c r="U19">
        <v>0.21240229999999899</v>
      </c>
      <c r="V19">
        <v>-3.775017E-2</v>
      </c>
      <c r="W19">
        <v>0.1442186</v>
      </c>
      <c r="X19">
        <v>0.98882549999999902</v>
      </c>
      <c r="Y19">
        <v>-7.9821660000000003E-2</v>
      </c>
      <c r="Z19">
        <v>5.1416630000000003E-3</v>
      </c>
      <c r="AA19">
        <v>0.99679589999999996</v>
      </c>
      <c r="AB19">
        <v>6</v>
      </c>
      <c r="AC19">
        <v>10.959299999999899</v>
      </c>
      <c r="AD19">
        <v>-1.105554586727</v>
      </c>
      <c r="AE19">
        <v>0.75799999999998102</v>
      </c>
      <c r="AF19">
        <v>-0.86925654404525299</v>
      </c>
      <c r="AG19">
        <v>-1.105554586727</v>
      </c>
      <c r="AH19">
        <v>10.8405421073347</v>
      </c>
      <c r="AI19">
        <v>95.804578985521601</v>
      </c>
      <c r="AJ19">
        <v>94.584493723903506</v>
      </c>
      <c r="AK19">
        <v>10.931386511531599</v>
      </c>
    </row>
    <row r="20" spans="1:37" x14ac:dyDescent="0.2">
      <c r="A20" t="str">
        <f>"20200111150441983"</f>
        <v>20200111150441983</v>
      </c>
      <c r="B20" t="str">
        <f>"1578726281973325"</f>
        <v>1578726281973325</v>
      </c>
      <c r="C20" t="s">
        <v>37</v>
      </c>
      <c r="D20">
        <v>4.6018600000000003</v>
      </c>
      <c r="E20">
        <v>0.48673559999999999</v>
      </c>
      <c r="F20" t="s">
        <v>39</v>
      </c>
      <c r="G20">
        <v>-467.53370000000001</v>
      </c>
      <c r="H20" s="1">
        <v>-1.2829489999999999E-6</v>
      </c>
      <c r="I20">
        <v>368.24849999999998</v>
      </c>
      <c r="J20">
        <v>-477.8442</v>
      </c>
      <c r="K20">
        <v>1.1055520000000001</v>
      </c>
      <c r="L20">
        <v>367.50959999999998</v>
      </c>
      <c r="M20">
        <v>0.99953559999999997</v>
      </c>
      <c r="N20">
        <v>0</v>
      </c>
      <c r="O20">
        <v>-1.2031160000000001E-2</v>
      </c>
      <c r="P20">
        <v>0.99329480000000003</v>
      </c>
      <c r="Q20">
        <v>0.1123271</v>
      </c>
      <c r="R20">
        <v>2.734932E-2</v>
      </c>
      <c r="S20">
        <v>3.054535</v>
      </c>
      <c r="T20">
        <v>-0.32967940000000001</v>
      </c>
      <c r="U20">
        <v>0.22021479999999899</v>
      </c>
      <c r="V20">
        <v>-3.9290529999999997E-2</v>
      </c>
      <c r="W20">
        <v>0.1400844</v>
      </c>
      <c r="X20">
        <v>0.98935969999999995</v>
      </c>
      <c r="Y20">
        <v>-8.3356009999999994E-2</v>
      </c>
      <c r="Z20">
        <v>5.7733029999999996E-3</v>
      </c>
      <c r="AA20">
        <v>0.99650309999999898</v>
      </c>
      <c r="AB20">
        <v>6</v>
      </c>
      <c r="AC20">
        <v>10.3104999999999</v>
      </c>
      <c r="AD20">
        <v>-1.105553282949</v>
      </c>
      <c r="AE20">
        <v>0.738900000000001</v>
      </c>
      <c r="AF20">
        <v>-0.853183127246953</v>
      </c>
      <c r="AG20">
        <v>-1.105553282949</v>
      </c>
      <c r="AH20">
        <v>10.1843643817488</v>
      </c>
      <c r="AI20">
        <v>96.173966478292598</v>
      </c>
      <c r="AJ20">
        <v>94.788704851610007</v>
      </c>
      <c r="AK20">
        <v>10.2796618315143</v>
      </c>
    </row>
    <row r="21" spans="1:37" x14ac:dyDescent="0.2">
      <c r="A21" t="str">
        <f>"20200111150442005"</f>
        <v>20200111150442005</v>
      </c>
      <c r="B21" t="str">
        <f>"1578726281993352"</f>
        <v>1578726281993352</v>
      </c>
      <c r="C21" t="s">
        <v>37</v>
      </c>
      <c r="D21">
        <v>4.6297730000000001</v>
      </c>
      <c r="E21">
        <v>0.48701509999999998</v>
      </c>
      <c r="F21" t="s">
        <v>39</v>
      </c>
      <c r="G21">
        <v>-467.96559999999999</v>
      </c>
      <c r="H21" s="1">
        <v>-1.1041500000000001E-6</v>
      </c>
      <c r="I21">
        <v>368.21199999999999</v>
      </c>
      <c r="J21">
        <v>-477.91309999999999</v>
      </c>
      <c r="K21">
        <v>1.105556</v>
      </c>
      <c r="L21">
        <v>367.50920000000002</v>
      </c>
      <c r="M21">
        <v>0.99951819999999902</v>
      </c>
      <c r="N21">
        <v>0</v>
      </c>
      <c r="O21">
        <v>-1.3116320000000001E-2</v>
      </c>
      <c r="P21">
        <v>0.99371080000000001</v>
      </c>
      <c r="Q21">
        <v>0.1088737</v>
      </c>
      <c r="R21">
        <v>2.618796E-2</v>
      </c>
      <c r="S21">
        <v>3.0529169999999999</v>
      </c>
      <c r="T21">
        <v>-0.34166249999999998</v>
      </c>
      <c r="U21">
        <v>0.21710209999999999</v>
      </c>
      <c r="V21">
        <v>-3.9219660000000003E-2</v>
      </c>
      <c r="W21">
        <v>0.1367777</v>
      </c>
      <c r="X21">
        <v>0.98982510000000001</v>
      </c>
      <c r="Y21">
        <v>-8.3416409999999996E-2</v>
      </c>
      <c r="Z21">
        <v>6.1095849999999998E-3</v>
      </c>
      <c r="AA21">
        <v>0.99649599999999905</v>
      </c>
      <c r="AB21">
        <v>7</v>
      </c>
      <c r="AC21">
        <v>9.9474999999999891</v>
      </c>
      <c r="AD21">
        <v>-1.1055571041500001</v>
      </c>
      <c r="AE21">
        <v>0.70279999999996701</v>
      </c>
      <c r="AF21">
        <v>-0.82314877521642305</v>
      </c>
      <c r="AG21">
        <v>-1.1055571041500001</v>
      </c>
      <c r="AH21">
        <v>9.8167681294468707</v>
      </c>
      <c r="AI21">
        <v>96.403250288550893</v>
      </c>
      <c r="AJ21">
        <v>94.793113091073295</v>
      </c>
      <c r="AK21">
        <v>9.9130604216861702</v>
      </c>
    </row>
    <row r="22" spans="1:37" x14ac:dyDescent="0.2">
      <c r="A22" t="str">
        <f>"20200111150442026"</f>
        <v>20200111150442026</v>
      </c>
      <c r="B22" t="str">
        <f>"1578726282023608"</f>
        <v>1578726282023608</v>
      </c>
      <c r="C22" t="s">
        <v>37</v>
      </c>
      <c r="D22">
        <v>4.6479759999999999</v>
      </c>
      <c r="E22">
        <v>0.48745050000000001</v>
      </c>
      <c r="F22" t="s">
        <v>39</v>
      </c>
      <c r="G22">
        <v>-468.1037</v>
      </c>
      <c r="H22" s="1">
        <v>-1.0493779999999899E-6</v>
      </c>
      <c r="I22">
        <v>368.18680000000001</v>
      </c>
      <c r="J22">
        <v>-477.98329999999999</v>
      </c>
      <c r="K22">
        <v>1.1055619999999999</v>
      </c>
      <c r="L22">
        <v>367.50889999999998</v>
      </c>
      <c r="M22">
        <v>0.99950000000000006</v>
      </c>
      <c r="N22">
        <v>0</v>
      </c>
      <c r="O22">
        <v>-1.42037999999999E-2</v>
      </c>
      <c r="P22">
        <v>0.99399249999999995</v>
      </c>
      <c r="Q22">
        <v>0.1067587</v>
      </c>
      <c r="R22">
        <v>2.4116019999999998E-2</v>
      </c>
      <c r="S22">
        <v>3.0511169999999899</v>
      </c>
      <c r="T22">
        <v>-0.34386859999999903</v>
      </c>
      <c r="U22">
        <v>0.2107849</v>
      </c>
      <c r="V22">
        <v>-3.8240440000000001E-2</v>
      </c>
      <c r="W22">
        <v>0.13478409999999999</v>
      </c>
      <c r="X22">
        <v>0.99013680000000004</v>
      </c>
      <c r="Y22">
        <v>-8.2479579999999997E-2</v>
      </c>
      <c r="Z22">
        <v>6.22236199999999E-3</v>
      </c>
      <c r="AA22">
        <v>0.9965733</v>
      </c>
      <c r="AB22">
        <v>7</v>
      </c>
      <c r="AC22">
        <v>9.8795999999999804</v>
      </c>
      <c r="AD22">
        <v>-1.105563049378</v>
      </c>
      <c r="AE22">
        <v>0.67790000000002204</v>
      </c>
      <c r="AF22">
        <v>-0.80814296288851395</v>
      </c>
      <c r="AG22">
        <v>-1.105563049378</v>
      </c>
      <c r="AH22">
        <v>9.7474799064733304</v>
      </c>
      <c r="AI22">
        <v>96.448918504043505</v>
      </c>
      <c r="AJ22">
        <v>94.739432674308404</v>
      </c>
      <c r="AK22">
        <v>9.8432072634745094</v>
      </c>
    </row>
    <row r="23" spans="1:37" x14ac:dyDescent="0.2">
      <c r="A23" t="str">
        <f>"20200111150442048"</f>
        <v>20200111150442048</v>
      </c>
      <c r="B23" t="str">
        <f>"1578726282043128"</f>
        <v>1578726282043128</v>
      </c>
      <c r="C23" t="s">
        <v>37</v>
      </c>
      <c r="D23">
        <v>4.7795300000000003</v>
      </c>
      <c r="E23">
        <v>0.48726639999999999</v>
      </c>
      <c r="F23" t="s">
        <v>39</v>
      </c>
      <c r="G23">
        <v>-468.44029999999998</v>
      </c>
      <c r="H23" s="1">
        <v>-9.1345409999999996E-7</v>
      </c>
      <c r="I23">
        <v>368.13900000000001</v>
      </c>
      <c r="J23">
        <v>-478.05549999999999</v>
      </c>
      <c r="K23">
        <v>1.105575</v>
      </c>
      <c r="L23">
        <v>367.5086</v>
      </c>
      <c r="M23">
        <v>0.99948099999999995</v>
      </c>
      <c r="N23">
        <v>0</v>
      </c>
      <c r="O23">
        <v>-1.530547E-2</v>
      </c>
      <c r="P23">
        <v>0.99422060000000001</v>
      </c>
      <c r="Q23">
        <v>0.1052163</v>
      </c>
      <c r="R23">
        <v>2.1335839999999998E-2</v>
      </c>
      <c r="S23">
        <v>3.0512079999999999</v>
      </c>
      <c r="T23">
        <v>-0.35348299999999999</v>
      </c>
      <c r="U23">
        <v>0.20150760000000001</v>
      </c>
      <c r="V23">
        <v>-3.6566290000000001E-2</v>
      </c>
      <c r="W23">
        <v>0.1333452</v>
      </c>
      <c r="X23">
        <v>0.99039480000000002</v>
      </c>
      <c r="Y23">
        <v>-8.0530560000000001E-2</v>
      </c>
      <c r="Z23">
        <v>6.4103900000000002E-3</v>
      </c>
      <c r="AA23">
        <v>0.99673149999999999</v>
      </c>
      <c r="AB23">
        <v>7</v>
      </c>
      <c r="AC23">
        <v>9.6152000000000104</v>
      </c>
      <c r="AD23">
        <v>-1.1055759134540999</v>
      </c>
      <c r="AE23">
        <v>0.63040000000000795</v>
      </c>
      <c r="AF23">
        <v>-0.76744750364424397</v>
      </c>
      <c r="AG23">
        <v>-1.1055759134540999</v>
      </c>
      <c r="AH23">
        <v>9.4796277273964904</v>
      </c>
      <c r="AI23">
        <v>96.630655738275394</v>
      </c>
      <c r="AJ23">
        <v>94.628432181861697</v>
      </c>
      <c r="AK23">
        <v>9.5746861891805093</v>
      </c>
    </row>
    <row r="24" spans="1:37" x14ac:dyDescent="0.2">
      <c r="A24" t="str">
        <f>"20200111150442071"</f>
        <v>20200111150442071</v>
      </c>
      <c r="B24" t="str">
        <f>"1578726282063623"</f>
        <v>1578726282063623</v>
      </c>
      <c r="C24" t="s">
        <v>37</v>
      </c>
      <c r="D24">
        <v>4.7398360000000004</v>
      </c>
      <c r="E24">
        <v>0.48743989999999998</v>
      </c>
      <c r="F24" t="s">
        <v>39</v>
      </c>
      <c r="G24">
        <v>-468.43619999999999</v>
      </c>
      <c r="H24" s="1">
        <v>-9.1817949999999896E-7</v>
      </c>
      <c r="I24">
        <v>368.12220000000002</v>
      </c>
      <c r="J24">
        <v>-478.1377</v>
      </c>
      <c r="K24">
        <v>1.1056029999999999</v>
      </c>
      <c r="L24">
        <v>367.50850000000003</v>
      </c>
      <c r="M24">
        <v>0.99945859999999997</v>
      </c>
      <c r="N24">
        <v>0</v>
      </c>
      <c r="O24">
        <v>-1.6538589999999999E-2</v>
      </c>
      <c r="P24">
        <v>0.99450130000000003</v>
      </c>
      <c r="Q24">
        <v>0.1030703</v>
      </c>
      <c r="R24">
        <v>1.8535980000000001E-2</v>
      </c>
      <c r="S24">
        <v>3.0503849999999999</v>
      </c>
      <c r="T24">
        <v>-0.35058929999999999</v>
      </c>
      <c r="U24">
        <v>0.19461059999999999</v>
      </c>
      <c r="V24">
        <v>-3.5004689999999998E-2</v>
      </c>
      <c r="W24">
        <v>0.13129959999999999</v>
      </c>
      <c r="X24">
        <v>0.99072450000000001</v>
      </c>
      <c r="Y24">
        <v>-7.9542119999999994E-2</v>
      </c>
      <c r="Z24">
        <v>6.445058E-3</v>
      </c>
      <c r="AA24">
        <v>0.99681070000000005</v>
      </c>
      <c r="AB24">
        <v>7</v>
      </c>
      <c r="AC24">
        <v>9.70150000000001</v>
      </c>
      <c r="AD24">
        <v>-1.1056039181795001</v>
      </c>
      <c r="AE24">
        <v>0.61369999999999403</v>
      </c>
      <c r="AF24">
        <v>-0.76424410111093299</v>
      </c>
      <c r="AG24">
        <v>-1.1056039181795001</v>
      </c>
      <c r="AH24">
        <v>9.5662726097904294</v>
      </c>
      <c r="AI24">
        <v>96.571848283238495</v>
      </c>
      <c r="AJ24">
        <v>94.567626506495699</v>
      </c>
      <c r="AK24">
        <v>9.6602277775838807</v>
      </c>
    </row>
    <row r="25" spans="1:37" x14ac:dyDescent="0.2">
      <c r="A25" t="str">
        <f>"20200111150442094"</f>
        <v>20200111150442094</v>
      </c>
      <c r="B25" t="str">
        <f>"1578726282083144"</f>
        <v>1578726282083144</v>
      </c>
      <c r="C25" t="s">
        <v>37</v>
      </c>
      <c r="D25">
        <v>4.7996319999999999</v>
      </c>
      <c r="E25">
        <v>0.48743760000000003</v>
      </c>
      <c r="F25" t="s">
        <v>39</v>
      </c>
      <c r="G25">
        <v>-468.80790000000002</v>
      </c>
      <c r="H25" s="1">
        <v>-8.0260359999999903E-7</v>
      </c>
      <c r="I25">
        <v>368.07209999999998</v>
      </c>
      <c r="J25">
        <v>-478.2199</v>
      </c>
      <c r="K25">
        <v>1.105618</v>
      </c>
      <c r="L25">
        <v>367.50839999999999</v>
      </c>
      <c r="M25">
        <v>0.99943539999999997</v>
      </c>
      <c r="N25">
        <v>0</v>
      </c>
      <c r="O25">
        <v>-1.7753439999999999E-2</v>
      </c>
      <c r="P25">
        <v>0.99479200000000001</v>
      </c>
      <c r="Q25">
        <v>0.1006628</v>
      </c>
      <c r="R25">
        <v>1.598658E-2</v>
      </c>
      <c r="S25">
        <v>3.0506289999999998</v>
      </c>
      <c r="T25">
        <v>-0.36150460000000001</v>
      </c>
      <c r="U25">
        <v>0.1843262</v>
      </c>
      <c r="V25">
        <v>-3.3675240000000002E-2</v>
      </c>
      <c r="W25">
        <v>0.1289778</v>
      </c>
      <c r="X25">
        <v>0.991075499999999</v>
      </c>
      <c r="Y25">
        <v>-7.7367829999999999E-2</v>
      </c>
      <c r="Z25">
        <v>6.6596469999999899E-3</v>
      </c>
      <c r="AA25">
        <v>0.99698039999999999</v>
      </c>
      <c r="AB25">
        <v>8</v>
      </c>
      <c r="AC25">
        <v>9.4119999999999706</v>
      </c>
      <c r="AD25">
        <v>-1.1056188026036</v>
      </c>
      <c r="AE25">
        <v>0.56369999999998299</v>
      </c>
      <c r="AF25">
        <v>-0.72086286765786201</v>
      </c>
      <c r="AG25">
        <v>-1.1056188026036</v>
      </c>
      <c r="AH25">
        <v>9.2730030866872504</v>
      </c>
      <c r="AI25">
        <v>96.779008436632793</v>
      </c>
      <c r="AJ25">
        <v>94.445108109266499</v>
      </c>
      <c r="AK25">
        <v>9.3664626437278695</v>
      </c>
    </row>
    <row r="26" spans="1:37" x14ac:dyDescent="0.2">
      <c r="A26" t="str">
        <f>"20200111150442116"</f>
        <v>20200111150442116</v>
      </c>
      <c r="B26" t="str">
        <f>"1578726282112931"</f>
        <v>1578726282112931</v>
      </c>
      <c r="C26" t="s">
        <v>37</v>
      </c>
      <c r="D26">
        <v>4.687449</v>
      </c>
      <c r="E26">
        <v>0.48728739999999998</v>
      </c>
      <c r="F26" t="s">
        <v>39</v>
      </c>
      <c r="G26">
        <v>-468.928</v>
      </c>
      <c r="H26" s="1">
        <v>-7.6940559999999903E-7</v>
      </c>
      <c r="I26">
        <v>368.04320000000001</v>
      </c>
      <c r="J26">
        <v>-478.30849999999998</v>
      </c>
      <c r="K26">
        <v>1.105637</v>
      </c>
      <c r="L26">
        <v>367.5086</v>
      </c>
      <c r="M26">
        <v>0.99940980000000001</v>
      </c>
      <c r="N26">
        <v>0</v>
      </c>
      <c r="O26">
        <v>-1.9044490000000001E-2</v>
      </c>
      <c r="P26">
        <v>0.99510290000000001</v>
      </c>
      <c r="Q26">
        <v>9.7938319999999995E-2</v>
      </c>
      <c r="R26">
        <v>1.336437E-2</v>
      </c>
      <c r="S26">
        <v>3.0495909999999999</v>
      </c>
      <c r="T26">
        <v>-0.36285919999999999</v>
      </c>
      <c r="U26">
        <v>0.17556759999999999</v>
      </c>
      <c r="V26">
        <v>-3.2350329999999997E-2</v>
      </c>
      <c r="W26">
        <v>0.12633219999999901</v>
      </c>
      <c r="X26">
        <v>0.99146039999999902</v>
      </c>
      <c r="Y26">
        <v>-7.5818869999999997E-2</v>
      </c>
      <c r="Z26">
        <v>6.7485139999999997E-3</v>
      </c>
      <c r="AA26">
        <v>0.99709869999999901</v>
      </c>
      <c r="AB26">
        <v>8</v>
      </c>
      <c r="AC26">
        <v>9.3804999999999197</v>
      </c>
      <c r="AD26">
        <v>-1.1056377694056001</v>
      </c>
      <c r="AE26">
        <v>0.53460000000001096</v>
      </c>
      <c r="AF26">
        <v>-0.703481528282076</v>
      </c>
      <c r="AG26">
        <v>-1.1056377694056001</v>
      </c>
      <c r="AH26">
        <v>9.2406537687092296</v>
      </c>
      <c r="AI26">
        <v>96.803462950603404</v>
      </c>
      <c r="AJ26">
        <v>94.353471744142695</v>
      </c>
      <c r="AK26">
        <v>9.3331132646577402</v>
      </c>
    </row>
    <row r="27" spans="1:37" x14ac:dyDescent="0.2">
      <c r="A27" t="str">
        <f>"20200111150442140"</f>
        <v>20200111150442140</v>
      </c>
      <c r="B27" t="str">
        <f>"1578726282133427"</f>
        <v>1578726282133427</v>
      </c>
      <c r="C27" t="s">
        <v>37</v>
      </c>
      <c r="D27">
        <v>4.8425310000000001</v>
      </c>
      <c r="E27">
        <v>0.48741830000000003</v>
      </c>
      <c r="F27" t="s">
        <v>39</v>
      </c>
      <c r="G27">
        <v>-469.26639999999998</v>
      </c>
      <c r="H27" s="1">
        <v>-6.6366259999999996E-7</v>
      </c>
      <c r="I27">
        <v>368.00790000000001</v>
      </c>
      <c r="J27">
        <v>-478.39949999999999</v>
      </c>
      <c r="K27">
        <v>1.105653</v>
      </c>
      <c r="L27">
        <v>367.50880000000001</v>
      </c>
      <c r="M27">
        <v>0.9993822</v>
      </c>
      <c r="N27">
        <v>0</v>
      </c>
      <c r="O27">
        <v>-2.0354190000000001E-2</v>
      </c>
      <c r="P27">
        <v>0.99535419999999997</v>
      </c>
      <c r="Q27">
        <v>9.5687300000000003E-2</v>
      </c>
      <c r="R27">
        <v>1.069291E-2</v>
      </c>
      <c r="S27">
        <v>3.0492249999999999</v>
      </c>
      <c r="T27">
        <v>-0.37284259999999902</v>
      </c>
      <c r="U27">
        <v>0.16842650000000001</v>
      </c>
      <c r="V27">
        <v>-3.0993090000000001E-2</v>
      </c>
      <c r="W27">
        <v>0.12414989999999999</v>
      </c>
      <c r="X27">
        <v>0.99177929999999903</v>
      </c>
      <c r="Y27">
        <v>-7.4765360000000003E-2</v>
      </c>
      <c r="Z27">
        <v>7.0294939999999998E-3</v>
      </c>
      <c r="AA27">
        <v>0.99717630000000002</v>
      </c>
      <c r="AB27">
        <v>9</v>
      </c>
      <c r="AC27">
        <v>9.1331000000000095</v>
      </c>
      <c r="AD27">
        <v>-1.1056536636626</v>
      </c>
      <c r="AE27">
        <v>0.49909999999999799</v>
      </c>
      <c r="AF27">
        <v>-0.67510515004054095</v>
      </c>
      <c r="AG27">
        <v>-1.1056536636626</v>
      </c>
      <c r="AH27">
        <v>8.9896869779405293</v>
      </c>
      <c r="AI27">
        <v>96.992178066460497</v>
      </c>
      <c r="AJ27">
        <v>94.294721892983603</v>
      </c>
      <c r="AK27">
        <v>9.0825496942728297</v>
      </c>
    </row>
    <row r="28" spans="1:37" x14ac:dyDescent="0.2">
      <c r="A28" t="str">
        <f>"20200111150442160"</f>
        <v>20200111150442160</v>
      </c>
      <c r="B28" t="str">
        <f>"1578726282152947"</f>
        <v>1578726282152947</v>
      </c>
      <c r="C28" t="s">
        <v>37</v>
      </c>
      <c r="D28">
        <v>4.765441</v>
      </c>
      <c r="E28">
        <v>0.488108599999999</v>
      </c>
      <c r="F28" t="s">
        <v>39</v>
      </c>
      <c r="G28">
        <v>-469.44229999999999</v>
      </c>
      <c r="H28" s="1">
        <v>-6.1200999999999999E-7</v>
      </c>
      <c r="I28">
        <v>367.97710000000001</v>
      </c>
      <c r="J28">
        <v>-478.48399999999998</v>
      </c>
      <c r="K28">
        <v>1.1056619999999999</v>
      </c>
      <c r="L28">
        <v>367.50909999999999</v>
      </c>
      <c r="M28">
        <v>0.9993554</v>
      </c>
      <c r="N28">
        <v>0</v>
      </c>
      <c r="O28">
        <v>-2.1561810000000001E-2</v>
      </c>
      <c r="P28">
        <v>0.99549699999999997</v>
      </c>
      <c r="Q28">
        <v>9.4352320000000003E-2</v>
      </c>
      <c r="R28">
        <v>9.1326849999999998E-3</v>
      </c>
      <c r="S28">
        <v>3.048492</v>
      </c>
      <c r="T28">
        <v>-0.37629390000000001</v>
      </c>
      <c r="U28">
        <v>0.15942379999999901</v>
      </c>
      <c r="V28">
        <v>-3.0642840000000001E-2</v>
      </c>
      <c r="W28">
        <v>0.122868</v>
      </c>
      <c r="X28">
        <v>0.99194989999999905</v>
      </c>
      <c r="Y28">
        <v>-7.3037450000000004E-2</v>
      </c>
      <c r="Z28">
        <v>7.1386169999999999E-3</v>
      </c>
      <c r="AA28">
        <v>0.99730370000000002</v>
      </c>
      <c r="AB28">
        <v>9</v>
      </c>
      <c r="AC28">
        <v>9.0417000000000396</v>
      </c>
      <c r="AD28">
        <v>-1.1056626120099999</v>
      </c>
      <c r="AE28">
        <v>0.46800000000001701</v>
      </c>
      <c r="AF28">
        <v>-0.65318552355186399</v>
      </c>
      <c r="AG28">
        <v>-1.1056626120099999</v>
      </c>
      <c r="AH28">
        <v>8.8968173803634301</v>
      </c>
      <c r="AI28">
        <v>97.065356520325494</v>
      </c>
      <c r="AJ28">
        <v>94.1990013521457</v>
      </c>
      <c r="AK28">
        <v>8.98902111685757</v>
      </c>
    </row>
    <row r="29" spans="1:37" x14ac:dyDescent="0.2">
      <c r="A29" t="str">
        <f>"20200111150442184"</f>
        <v>20200111150442184</v>
      </c>
      <c r="B29" t="str">
        <f>"1578726282173443"</f>
        <v>1578726282173443</v>
      </c>
      <c r="C29" t="s">
        <v>37</v>
      </c>
      <c r="D29">
        <v>4.8443849999999999</v>
      </c>
      <c r="E29">
        <v>0.4883962</v>
      </c>
      <c r="F29" t="s">
        <v>39</v>
      </c>
      <c r="G29">
        <v>-469.25720000000001</v>
      </c>
      <c r="H29" s="1">
        <v>-6.8030010000000002E-7</v>
      </c>
      <c r="I29">
        <v>367.95710000000003</v>
      </c>
      <c r="J29">
        <v>-478.58210000000003</v>
      </c>
      <c r="K29">
        <v>1.105675</v>
      </c>
      <c r="L29">
        <v>367.50959999999998</v>
      </c>
      <c r="M29">
        <v>0.99932299999999996</v>
      </c>
      <c r="N29">
        <v>0</v>
      </c>
      <c r="O29">
        <v>-2.2952230000000001E-2</v>
      </c>
      <c r="P29">
        <v>0.99563590000000002</v>
      </c>
      <c r="Q29">
        <v>9.304722E-2</v>
      </c>
      <c r="R29">
        <v>7.2013559999999999E-3</v>
      </c>
      <c r="S29">
        <v>3.0468439999999899</v>
      </c>
      <c r="T29">
        <v>-0.3651044</v>
      </c>
      <c r="U29">
        <v>0.14797969999999999</v>
      </c>
      <c r="V29">
        <v>-3.0104039999999999E-2</v>
      </c>
      <c r="W29">
        <v>0.12161669999999999</v>
      </c>
      <c r="X29">
        <v>0.99212049999999996</v>
      </c>
      <c r="Y29">
        <v>-7.0763809999999996E-2</v>
      </c>
      <c r="Z29">
        <v>6.9625569999999899E-3</v>
      </c>
      <c r="AA29">
        <v>0.99746880000000004</v>
      </c>
      <c r="AB29">
        <v>9</v>
      </c>
      <c r="AC29">
        <v>9.3249000000000102</v>
      </c>
      <c r="AD29">
        <v>-1.1056756803001</v>
      </c>
      <c r="AE29">
        <v>0.44750000000004703</v>
      </c>
      <c r="AF29">
        <v>-0.65234724624046103</v>
      </c>
      <c r="AG29">
        <v>-1.1056756803001</v>
      </c>
      <c r="AH29">
        <v>9.1833502347386204</v>
      </c>
      <c r="AI29">
        <v>96.848274955851196</v>
      </c>
      <c r="AJ29">
        <v>94.063230066926806</v>
      </c>
      <c r="AK29">
        <v>9.2726477973423798</v>
      </c>
    </row>
    <row r="30" spans="1:37" x14ac:dyDescent="0.2">
      <c r="A30" t="str">
        <f>"20200111150442205"</f>
        <v>20200111150442205</v>
      </c>
      <c r="B30" t="str">
        <f>"1578726282203233"</f>
        <v>1578726282203233</v>
      </c>
      <c r="C30" t="s">
        <v>37</v>
      </c>
      <c r="D30">
        <v>4.8919030000000001</v>
      </c>
      <c r="E30">
        <v>0.54204580000000002</v>
      </c>
      <c r="F30" t="s">
        <v>39</v>
      </c>
      <c r="G30">
        <v>-469.08049999999997</v>
      </c>
      <c r="H30" s="1">
        <v>-7.4379890000000001E-7</v>
      </c>
      <c r="I30">
        <v>367.94450000000001</v>
      </c>
      <c r="J30">
        <v>-478.67759999999998</v>
      </c>
      <c r="K30">
        <v>1.1056900000000001</v>
      </c>
      <c r="L30">
        <v>367.51029999999997</v>
      </c>
      <c r="M30">
        <v>0.99928989999999995</v>
      </c>
      <c r="N30">
        <v>0</v>
      </c>
      <c r="O30">
        <v>-2.4297539999999999E-2</v>
      </c>
      <c r="P30">
        <v>0.99585119999999905</v>
      </c>
      <c r="Q30">
        <v>9.0876150000000003E-2</v>
      </c>
      <c r="R30">
        <v>4.6909270000000001E-3</v>
      </c>
      <c r="S30">
        <v>3.0452880000000002</v>
      </c>
      <c r="T30">
        <v>-0.35436820000000002</v>
      </c>
      <c r="U30">
        <v>0.13940429999999901</v>
      </c>
      <c r="V30">
        <v>-2.89435E-2</v>
      </c>
      <c r="W30">
        <v>0.119496</v>
      </c>
      <c r="X30">
        <v>0.99241270000000004</v>
      </c>
      <c r="Y30">
        <v>-6.9366910000000004E-2</v>
      </c>
      <c r="Z30">
        <v>6.8381119999999899E-3</v>
      </c>
      <c r="AA30">
        <v>0.9975678</v>
      </c>
      <c r="AB30">
        <v>9</v>
      </c>
      <c r="AC30">
        <v>9.59710000000001</v>
      </c>
      <c r="AD30">
        <v>-1.1056907437989001</v>
      </c>
      <c r="AE30">
        <v>0.434200000000032</v>
      </c>
      <c r="AF30">
        <v>-0.65862987736804801</v>
      </c>
      <c r="AG30">
        <v>-1.1056907437989001</v>
      </c>
      <c r="AH30">
        <v>9.4584195295393201</v>
      </c>
      <c r="AI30">
        <v>96.6516607973372</v>
      </c>
      <c r="AJ30">
        <v>93.983318223712104</v>
      </c>
      <c r="AK30">
        <v>9.5455772655746305</v>
      </c>
    </row>
    <row r="31" spans="1:37" x14ac:dyDescent="0.2">
      <c r="A31" t="str">
        <f>"20200111150442228"</f>
        <v>20200111150442228</v>
      </c>
      <c r="B31" t="str">
        <f>"1578726282223730"</f>
        <v>1578726282223730</v>
      </c>
      <c r="C31" t="s">
        <v>37</v>
      </c>
      <c r="D31">
        <v>4.9471179999999997</v>
      </c>
      <c r="E31">
        <v>0.55298359999999902</v>
      </c>
      <c r="F31" t="s">
        <v>38</v>
      </c>
      <c r="G31">
        <v>-478.01519999999999</v>
      </c>
      <c r="H31">
        <v>0.97843469999999999</v>
      </c>
      <c r="I31">
        <v>367.44819999999999</v>
      </c>
      <c r="J31">
        <v>-478.77969999999999</v>
      </c>
      <c r="K31">
        <v>1.105699</v>
      </c>
      <c r="L31">
        <v>367.51119999999997</v>
      </c>
      <c r="M31">
        <v>0.99925280000000005</v>
      </c>
      <c r="N31">
        <v>0</v>
      </c>
      <c r="O31">
        <v>-2.573112E-2</v>
      </c>
      <c r="P31">
        <v>0.99616319999999903</v>
      </c>
      <c r="Q31">
        <v>8.7460579999999996E-2</v>
      </c>
      <c r="R31">
        <v>3.1241189999999999E-3</v>
      </c>
      <c r="S31">
        <v>3.0676570000000001</v>
      </c>
      <c r="T31">
        <v>-0.58945669999999994</v>
      </c>
      <c r="U31">
        <v>-0.2866821</v>
      </c>
      <c r="V31">
        <v>-2.8816430000000001E-2</v>
      </c>
      <c r="W31">
        <v>0.11613079999999899</v>
      </c>
      <c r="X31">
        <v>0.99281580000000003</v>
      </c>
      <c r="Y31">
        <v>6.6645209999999996E-2</v>
      </c>
      <c r="Z31">
        <v>-1.442266E-3</v>
      </c>
      <c r="AA31">
        <v>0.99777569999999904</v>
      </c>
      <c r="AB31">
        <v>10</v>
      </c>
      <c r="AC31">
        <v>0.76449999999999796</v>
      </c>
      <c r="AD31">
        <v>-0.1272643</v>
      </c>
      <c r="AE31">
        <v>-6.2999999999988093E-2</v>
      </c>
      <c r="AF31">
        <v>4.2139625340210402E-2</v>
      </c>
      <c r="AG31">
        <v>-0.1272643</v>
      </c>
      <c r="AH31">
        <v>0.74535295483502595</v>
      </c>
      <c r="AI31">
        <v>99.674296288539296</v>
      </c>
      <c r="AJ31">
        <v>86.764143585724497</v>
      </c>
      <c r="AK31">
        <v>0.757312998277203</v>
      </c>
    </row>
    <row r="32" spans="1:37" x14ac:dyDescent="0.2">
      <c r="A32" t="str">
        <f>"20200111150442250"</f>
        <v>20200111150442250</v>
      </c>
      <c r="B32" t="str">
        <f>"1578726282243250"</f>
        <v>1578726282243250</v>
      </c>
      <c r="C32" t="s">
        <v>37</v>
      </c>
      <c r="D32">
        <v>5.0735269999999897</v>
      </c>
      <c r="E32">
        <v>0.55638639999999995</v>
      </c>
      <c r="F32" t="s">
        <v>38</v>
      </c>
      <c r="G32">
        <v>-478.11579999999998</v>
      </c>
      <c r="H32">
        <v>0.96123159999999896</v>
      </c>
      <c r="I32">
        <v>367.42939999999999</v>
      </c>
      <c r="J32">
        <v>-478.88060000000002</v>
      </c>
      <c r="K32">
        <v>1.1057159999999999</v>
      </c>
      <c r="L32">
        <v>367.51209999999998</v>
      </c>
      <c r="M32">
        <v>0.99921439999999995</v>
      </c>
      <c r="N32">
        <v>0</v>
      </c>
      <c r="O32">
        <v>-2.7143830000000001E-2</v>
      </c>
      <c r="P32">
        <v>0.99643769999999998</v>
      </c>
      <c r="Q32">
        <v>8.4313929999999995E-2</v>
      </c>
      <c r="R32">
        <v>1.8252989999999901E-3</v>
      </c>
      <c r="S32">
        <v>3.0714109999999999</v>
      </c>
      <c r="T32">
        <v>-0.6684734</v>
      </c>
      <c r="U32">
        <v>-0.37734990000000002</v>
      </c>
      <c r="V32">
        <v>-2.8935720000000002E-2</v>
      </c>
      <c r="W32">
        <v>0.11302899999999901</v>
      </c>
      <c r="X32">
        <v>0.99317029999999995</v>
      </c>
      <c r="Y32">
        <v>9.3417210000000001E-2</v>
      </c>
      <c r="Z32">
        <v>-4.1941590000000003E-3</v>
      </c>
      <c r="AA32">
        <v>0.99561819999999901</v>
      </c>
      <c r="AB32">
        <v>10</v>
      </c>
      <c r="AC32">
        <v>0.76480000000003601</v>
      </c>
      <c r="AD32">
        <v>-0.14448440000000001</v>
      </c>
      <c r="AE32">
        <v>-8.2699999999988394E-2</v>
      </c>
      <c r="AF32">
        <v>5.9791932924242501E-2</v>
      </c>
      <c r="AG32">
        <v>-0.14448440000000001</v>
      </c>
      <c r="AH32">
        <v>0.74063592837576997</v>
      </c>
      <c r="AI32">
        <v>101.00378793745401</v>
      </c>
      <c r="AJ32">
        <v>85.384490908101697</v>
      </c>
      <c r="AK32">
        <v>0.75696261168383705</v>
      </c>
    </row>
    <row r="33" spans="1:37" x14ac:dyDescent="0.2">
      <c r="A33" t="str">
        <f>"20200111150442274"</f>
        <v>20200111150442274</v>
      </c>
      <c r="B33" t="str">
        <f>"1578726282262770"</f>
        <v>1578726282262770</v>
      </c>
      <c r="C33" t="s">
        <v>37</v>
      </c>
      <c r="D33">
        <v>4.9777309999999897</v>
      </c>
      <c r="E33">
        <v>0.55875940000000002</v>
      </c>
      <c r="F33" t="s">
        <v>38</v>
      </c>
      <c r="G33">
        <v>-478.2158</v>
      </c>
      <c r="H33">
        <v>0.94935939999999996</v>
      </c>
      <c r="I33">
        <v>367.42380000000003</v>
      </c>
      <c r="J33">
        <v>-478.99549999999999</v>
      </c>
      <c r="K33">
        <v>1.1057440000000001</v>
      </c>
      <c r="L33">
        <v>367.51350000000002</v>
      </c>
      <c r="M33">
        <v>0.99916830000000001</v>
      </c>
      <c r="N33">
        <v>0</v>
      </c>
      <c r="O33">
        <v>-2.8750870000000001E-2</v>
      </c>
      <c r="P33">
        <v>0.99644560000000004</v>
      </c>
      <c r="Q33">
        <v>8.4238960000000002E-2</v>
      </c>
      <c r="R33">
        <v>4.8375269999999899E-4</v>
      </c>
      <c r="S33">
        <v>3.0726619999999998</v>
      </c>
      <c r="T33">
        <v>-0.72273900000000002</v>
      </c>
      <c r="U33">
        <v>-0.40725709999999998</v>
      </c>
      <c r="V33">
        <v>-2.920153E-2</v>
      </c>
      <c r="W33">
        <v>0.1129916</v>
      </c>
      <c r="X33">
        <v>0.99316669999999996</v>
      </c>
      <c r="Y33">
        <v>0.10089189999999899</v>
      </c>
      <c r="Z33">
        <v>-5.01429799999999E-3</v>
      </c>
      <c r="AA33">
        <v>0.99488469999999996</v>
      </c>
      <c r="AB33">
        <v>10</v>
      </c>
      <c r="AC33">
        <v>0.77969999999999096</v>
      </c>
      <c r="AD33">
        <v>-0.15638459999999901</v>
      </c>
      <c r="AE33">
        <v>-8.9699999999993396E-2</v>
      </c>
      <c r="AF33">
        <v>6.4668911367290804E-2</v>
      </c>
      <c r="AG33">
        <v>-0.15638459999999901</v>
      </c>
      <c r="AH33">
        <v>0.75209698119348201</v>
      </c>
      <c r="AI33">
        <v>101.704228196123</v>
      </c>
      <c r="AJ33">
        <v>85.085521399769206</v>
      </c>
      <c r="AK33">
        <v>0.770900823929343</v>
      </c>
    </row>
    <row r="34" spans="1:37" x14ac:dyDescent="0.2">
      <c r="A34" t="str">
        <f>"20200111150442299"</f>
        <v>20200111150442299</v>
      </c>
      <c r="B34" t="str">
        <f>"1578726282293026"</f>
        <v>1578726282293026</v>
      </c>
      <c r="C34" t="s">
        <v>37</v>
      </c>
      <c r="D34">
        <v>4.9808680000000001</v>
      </c>
      <c r="E34">
        <v>0.55983989999999995</v>
      </c>
      <c r="F34" t="s">
        <v>38</v>
      </c>
      <c r="G34">
        <v>-478.40370000000001</v>
      </c>
      <c r="H34">
        <v>0.96283280000000004</v>
      </c>
      <c r="I34">
        <v>367.43040000000002</v>
      </c>
      <c r="J34">
        <v>-479.12439999999998</v>
      </c>
      <c r="K34">
        <v>1.105769</v>
      </c>
      <c r="L34">
        <v>367.51519999999999</v>
      </c>
      <c r="M34">
        <v>0.99911360000000005</v>
      </c>
      <c r="N34">
        <v>0</v>
      </c>
      <c r="O34">
        <v>-3.0557379999999999E-2</v>
      </c>
      <c r="P34">
        <v>0.99641009999999997</v>
      </c>
      <c r="Q34">
        <v>8.4656549999999997E-2</v>
      </c>
      <c r="R34">
        <v>-7.5381020000000001E-4</v>
      </c>
      <c r="S34">
        <v>3.07366899999999</v>
      </c>
      <c r="T34">
        <v>-0.74250909999999903</v>
      </c>
      <c r="U34">
        <v>-0.42916870000000001</v>
      </c>
      <c r="V34">
        <v>-2.9769690000000001E-2</v>
      </c>
      <c r="W34">
        <v>0.113446399999999</v>
      </c>
      <c r="X34">
        <v>0.99309799999999904</v>
      </c>
      <c r="Y34">
        <v>0.10582319999999899</v>
      </c>
      <c r="Z34">
        <v>-5.3005329999999996E-3</v>
      </c>
      <c r="AA34">
        <v>0.9943708</v>
      </c>
      <c r="AB34">
        <v>11</v>
      </c>
      <c r="AC34">
        <v>0.72069999999996504</v>
      </c>
      <c r="AD34">
        <v>-0.14293619999999899</v>
      </c>
      <c r="AE34">
        <v>-8.4799999999972897E-2</v>
      </c>
      <c r="AF34">
        <v>6.0385614174615201E-2</v>
      </c>
      <c r="AG34">
        <v>-0.14293619999999899</v>
      </c>
      <c r="AH34">
        <v>0.69595421402829205</v>
      </c>
      <c r="AI34">
        <v>101.56383712820799</v>
      </c>
      <c r="AJ34">
        <v>85.041056780619101</v>
      </c>
      <c r="AK34">
        <v>0.713042388426819</v>
      </c>
    </row>
    <row r="35" spans="1:37" x14ac:dyDescent="0.2">
      <c r="A35" t="str">
        <f>"20200111150442321"</f>
        <v>20200111150442321</v>
      </c>
      <c r="B35" t="str">
        <f>"1578726282313522"</f>
        <v>1578726282313522</v>
      </c>
      <c r="C35" t="s">
        <v>37</v>
      </c>
      <c r="D35">
        <v>4.9408709999999996</v>
      </c>
      <c r="E35">
        <v>0.56057309999999905</v>
      </c>
      <c r="F35" t="s">
        <v>38</v>
      </c>
      <c r="G35">
        <v>-478.51049999999998</v>
      </c>
      <c r="H35">
        <v>0.95236219999999905</v>
      </c>
      <c r="I35">
        <v>367.426999999999</v>
      </c>
      <c r="J35">
        <v>-479.23579999999998</v>
      </c>
      <c r="K35">
        <v>1.1057870000000001</v>
      </c>
      <c r="L35">
        <v>367.51679999999999</v>
      </c>
      <c r="M35">
        <v>0.99906340000000005</v>
      </c>
      <c r="N35">
        <v>0</v>
      </c>
      <c r="O35">
        <v>-3.2123359999999997E-2</v>
      </c>
      <c r="P35">
        <v>0.99639750000000005</v>
      </c>
      <c r="Q35">
        <v>8.4797899999999996E-2</v>
      </c>
      <c r="R35">
        <v>-1.1969369999999999E-3</v>
      </c>
      <c r="S35">
        <v>3.075806</v>
      </c>
      <c r="T35">
        <v>-0.76872850000000004</v>
      </c>
      <c r="U35">
        <v>-0.44079589999999902</v>
      </c>
      <c r="V35">
        <v>-3.089184E-2</v>
      </c>
      <c r="W35">
        <v>0.113617</v>
      </c>
      <c r="X35">
        <v>0.99304429999999999</v>
      </c>
      <c r="Y35">
        <v>0.1077005</v>
      </c>
      <c r="Z35">
        <v>-5.3240730000000003E-3</v>
      </c>
      <c r="AA35">
        <v>0.99416909999999903</v>
      </c>
      <c r="AB35">
        <v>11</v>
      </c>
      <c r="AC35">
        <v>0.72530000000000405</v>
      </c>
      <c r="AD35">
        <v>-0.1534248</v>
      </c>
      <c r="AE35">
        <v>-8.9800000000025096E-2</v>
      </c>
      <c r="AF35">
        <v>6.3640089926201807E-2</v>
      </c>
      <c r="AG35">
        <v>-0.1534248</v>
      </c>
      <c r="AH35">
        <v>0.69709008088504498</v>
      </c>
      <c r="AI35">
        <v>102.362691328347</v>
      </c>
      <c r="AJ35">
        <v>84.783703185773405</v>
      </c>
      <c r="AK35">
        <v>0.71660575714207997</v>
      </c>
    </row>
    <row r="36" spans="1:37" x14ac:dyDescent="0.2">
      <c r="A36" t="str">
        <f>"20200111150442363"</f>
        <v>20200111150442363</v>
      </c>
      <c r="B36" t="str">
        <f>"1578726282353538"</f>
        <v>1578726282353538</v>
      </c>
      <c r="C36" t="s">
        <v>37</v>
      </c>
      <c r="D36">
        <v>5.0487399999999996</v>
      </c>
      <c r="E36">
        <v>0.56207779999999996</v>
      </c>
      <c r="F36" t="s">
        <v>38</v>
      </c>
      <c r="G36">
        <v>-478.6173</v>
      </c>
      <c r="H36">
        <v>0.94668869999999905</v>
      </c>
      <c r="I36">
        <v>367.42680000000001</v>
      </c>
      <c r="J36">
        <v>-479.45519999999999</v>
      </c>
      <c r="K36">
        <v>1.1058429999999999</v>
      </c>
      <c r="L36">
        <v>367.5206</v>
      </c>
      <c r="M36">
        <v>0.99895710000000004</v>
      </c>
      <c r="N36">
        <v>0</v>
      </c>
      <c r="O36">
        <v>-3.5227099999999997E-2</v>
      </c>
      <c r="P36">
        <v>0.99613759999999996</v>
      </c>
      <c r="Q36">
        <v>8.7766720000000006E-2</v>
      </c>
      <c r="R36">
        <v>-2.703965E-3</v>
      </c>
      <c r="S36">
        <v>3.0776979999999998</v>
      </c>
      <c r="T36">
        <v>-0.79168439999999995</v>
      </c>
      <c r="U36">
        <v>-0.447235099999999</v>
      </c>
      <c r="V36">
        <v>-3.2482289999999997E-2</v>
      </c>
      <c r="W36">
        <v>0.11663279999999999</v>
      </c>
      <c r="X36">
        <v>0.99264379999999997</v>
      </c>
      <c r="Y36">
        <v>0.10656739999999899</v>
      </c>
      <c r="Z36">
        <v>-4.5507940000000004E-3</v>
      </c>
      <c r="AA36">
        <v>0.99429509999999899</v>
      </c>
      <c r="AB36">
        <v>11</v>
      </c>
      <c r="AC36">
        <v>0.83789999999998999</v>
      </c>
      <c r="AD36">
        <v>-0.1591543</v>
      </c>
      <c r="AE36">
        <v>-9.3799999999987393E-2</v>
      </c>
      <c r="AF36">
        <v>6.20031704054851E-2</v>
      </c>
      <c r="AG36">
        <v>-0.1591543</v>
      </c>
      <c r="AH36">
        <v>0.81176032997058201</v>
      </c>
      <c r="AI36">
        <v>101.061323395258</v>
      </c>
      <c r="AJ36">
        <v>85.632164600465302</v>
      </c>
      <c r="AK36">
        <v>0.82953560361371503</v>
      </c>
    </row>
    <row r="37" spans="1:37" x14ac:dyDescent="0.2">
      <c r="A37" t="str">
        <f>"20200111150442384"</f>
        <v>20200111150442384</v>
      </c>
      <c r="B37" t="str">
        <f>"1578726282373058"</f>
        <v>1578726282373058</v>
      </c>
      <c r="C37" t="s">
        <v>37</v>
      </c>
      <c r="D37">
        <v>4.9432749999999999</v>
      </c>
      <c r="E37">
        <v>0.56293459999999995</v>
      </c>
      <c r="F37" t="s">
        <v>38</v>
      </c>
      <c r="G37">
        <v>-478.83449999999999</v>
      </c>
      <c r="H37">
        <v>0.94321809999999995</v>
      </c>
      <c r="I37">
        <v>367.42750000000001</v>
      </c>
      <c r="J37">
        <v>-479.57499999999999</v>
      </c>
      <c r="K37">
        <v>1.1058680000000001</v>
      </c>
      <c r="L37">
        <v>367.52289999999999</v>
      </c>
      <c r="M37">
        <v>0.99889430000000001</v>
      </c>
      <c r="N37">
        <v>0</v>
      </c>
      <c r="O37">
        <v>-3.6938270000000002E-2</v>
      </c>
      <c r="P37">
        <v>0.99599020000000005</v>
      </c>
      <c r="Q37">
        <v>8.9371759999999995E-2</v>
      </c>
      <c r="R37">
        <v>-4.0683789999999996E-3</v>
      </c>
      <c r="S37">
        <v>3.081512</v>
      </c>
      <c r="T37">
        <v>-0.80746240000000002</v>
      </c>
      <c r="U37">
        <v>-0.46105959999999901</v>
      </c>
      <c r="V37">
        <v>-3.2824760000000001E-2</v>
      </c>
      <c r="W37">
        <v>0.1182632</v>
      </c>
      <c r="X37">
        <v>0.99243959999999998</v>
      </c>
      <c r="Y37">
        <v>0.10895050000000001</v>
      </c>
      <c r="Z37">
        <v>-4.4992330000000001E-3</v>
      </c>
      <c r="AA37">
        <v>0.99403699999999995</v>
      </c>
      <c r="AB37">
        <v>12</v>
      </c>
      <c r="AC37">
        <v>0.74049999999999705</v>
      </c>
      <c r="AD37">
        <v>-0.16264989999999999</v>
      </c>
      <c r="AE37">
        <v>-9.5399999999983706E-2</v>
      </c>
      <c r="AF37">
        <v>6.48908916634406E-2</v>
      </c>
      <c r="AG37">
        <v>-0.16264989999999999</v>
      </c>
      <c r="AH37">
        <v>0.709832471997207</v>
      </c>
      <c r="AI37">
        <v>102.85406323974</v>
      </c>
      <c r="AJ37">
        <v>84.776698970022196</v>
      </c>
      <c r="AK37">
        <v>0.73111418813517204</v>
      </c>
    </row>
    <row r="38" spans="1:37" x14ac:dyDescent="0.2">
      <c r="A38" t="str">
        <f>"20200111150442410"</f>
        <v>20200111150442410</v>
      </c>
      <c r="B38" t="str">
        <f>"1578726282403314"</f>
        <v>1578726282403314</v>
      </c>
      <c r="C38" t="s">
        <v>37</v>
      </c>
      <c r="D38">
        <v>5.0265259999999996</v>
      </c>
      <c r="E38">
        <v>0.56203159999999996</v>
      </c>
      <c r="F38" t="s">
        <v>38</v>
      </c>
      <c r="G38">
        <v>-478.94760000000002</v>
      </c>
      <c r="H38">
        <v>0.94032349999999998</v>
      </c>
      <c r="I38">
        <v>367.42689999999999</v>
      </c>
      <c r="J38">
        <v>-479.71469999999999</v>
      </c>
      <c r="K38">
        <v>1.1058950000000001</v>
      </c>
      <c r="L38">
        <v>367.5258</v>
      </c>
      <c r="M38">
        <v>0.9988165</v>
      </c>
      <c r="N38">
        <v>0</v>
      </c>
      <c r="O38">
        <v>-3.895419E-2</v>
      </c>
      <c r="P38">
        <v>0.99597919999999995</v>
      </c>
      <c r="Q38">
        <v>8.9403659999999996E-2</v>
      </c>
      <c r="R38">
        <v>-5.6748739999999999E-3</v>
      </c>
      <c r="S38">
        <v>3.0831599999999999</v>
      </c>
      <c r="T38">
        <v>-0.81366499999999997</v>
      </c>
      <c r="U38">
        <v>-0.47055049999999998</v>
      </c>
      <c r="V38">
        <v>-3.3233840000000001E-2</v>
      </c>
      <c r="W38">
        <v>0.1183285</v>
      </c>
      <c r="X38">
        <v>0.99241819999999903</v>
      </c>
      <c r="Y38">
        <v>0.10986359999999901</v>
      </c>
      <c r="Z38">
        <v>-4.1278950000000003E-3</v>
      </c>
      <c r="AA38">
        <v>0.99393809999999905</v>
      </c>
      <c r="AB38">
        <v>12</v>
      </c>
      <c r="AC38">
        <v>0.76709999999997003</v>
      </c>
      <c r="AD38">
        <v>-0.16557149999999901</v>
      </c>
      <c r="AE38">
        <v>-9.8900000000014601E-2</v>
      </c>
      <c r="AF38">
        <v>6.5910066747507295E-2</v>
      </c>
      <c r="AG38">
        <v>-0.16557149999999901</v>
      </c>
      <c r="AH38">
        <v>0.736615666827664</v>
      </c>
      <c r="AI38">
        <v>102.619226466858</v>
      </c>
      <c r="AJ38">
        <v>84.886968945648206</v>
      </c>
      <c r="AK38">
        <v>0.75786588465695903</v>
      </c>
    </row>
    <row r="39" spans="1:37" x14ac:dyDescent="0.2">
      <c r="A39" t="str">
        <f>"20200111150442431"</f>
        <v>20200111150442431</v>
      </c>
      <c r="B39" t="str">
        <f>"1578726282422834"</f>
        <v>1578726282422834</v>
      </c>
      <c r="C39" t="s">
        <v>37</v>
      </c>
      <c r="D39">
        <v>4.9836809999999998</v>
      </c>
      <c r="E39">
        <v>0.5618687</v>
      </c>
      <c r="F39" t="s">
        <v>38</v>
      </c>
      <c r="G39">
        <v>-479.0652</v>
      </c>
      <c r="H39">
        <v>0.93387160000000002</v>
      </c>
      <c r="I39">
        <v>367.4271</v>
      </c>
      <c r="J39">
        <v>-479.83960000000002</v>
      </c>
      <c r="K39">
        <v>1.1059270000000001</v>
      </c>
      <c r="L39">
        <v>367.52859999999998</v>
      </c>
      <c r="M39">
        <v>0.99874259999999904</v>
      </c>
      <c r="N39">
        <v>0</v>
      </c>
      <c r="O39">
        <v>-4.0786999999999997E-2</v>
      </c>
      <c r="P39">
        <v>0.99593419999999899</v>
      </c>
      <c r="Q39">
        <v>8.967406E-2</v>
      </c>
      <c r="R39">
        <v>-8.5982869999999996E-3</v>
      </c>
      <c r="S39">
        <v>3.082703</v>
      </c>
      <c r="T39">
        <v>-0.81653989999999999</v>
      </c>
      <c r="U39">
        <v>-0.4685974</v>
      </c>
      <c r="V39">
        <v>-3.2142820000000003E-2</v>
      </c>
      <c r="W39">
        <v>0.1186306</v>
      </c>
      <c r="X39">
        <v>0.99241809999999997</v>
      </c>
      <c r="Y39">
        <v>0.10756789999999899</v>
      </c>
      <c r="Z39">
        <v>-3.3716229999999998E-3</v>
      </c>
      <c r="AA39">
        <v>0.99419199999999996</v>
      </c>
      <c r="AB39">
        <v>13</v>
      </c>
      <c r="AC39">
        <v>0.77440000000001397</v>
      </c>
      <c r="AD39">
        <v>-0.1720554</v>
      </c>
      <c r="AE39">
        <v>-0.101499999999987</v>
      </c>
      <c r="AF39">
        <v>6.6585219625655098E-2</v>
      </c>
      <c r="AG39">
        <v>-0.1720554</v>
      </c>
      <c r="AH39">
        <v>0.74189277949447696</v>
      </c>
      <c r="AI39">
        <v>103.00638969466399</v>
      </c>
      <c r="AJ39">
        <v>84.871418359774907</v>
      </c>
      <c r="AK39">
        <v>0.76448776864499102</v>
      </c>
    </row>
    <row r="40" spans="1:37" x14ac:dyDescent="0.2">
      <c r="A40" t="str">
        <f>"20200111150442454"</f>
        <v>20200111150442454</v>
      </c>
      <c r="B40" t="str">
        <f>"1578726282443330"</f>
        <v>1578726282443330</v>
      </c>
      <c r="C40" t="s">
        <v>37</v>
      </c>
      <c r="D40">
        <v>4.9510360000000002</v>
      </c>
      <c r="E40">
        <v>0.56160869999999996</v>
      </c>
      <c r="F40" t="s">
        <v>38</v>
      </c>
      <c r="G40">
        <v>-479.18299999999999</v>
      </c>
      <c r="H40">
        <v>0.93163479999999999</v>
      </c>
      <c r="I40">
        <v>367.42739999999998</v>
      </c>
      <c r="J40">
        <v>-479.97280000000001</v>
      </c>
      <c r="K40">
        <v>1.1059589999999999</v>
      </c>
      <c r="L40">
        <v>367.53179999999998</v>
      </c>
      <c r="M40">
        <v>0.99865809999999999</v>
      </c>
      <c r="N40">
        <v>0</v>
      </c>
      <c r="O40">
        <v>-4.278237E-2</v>
      </c>
      <c r="P40">
        <v>0.99578429999999996</v>
      </c>
      <c r="Q40">
        <v>9.0784100000000006E-2</v>
      </c>
      <c r="R40">
        <v>-1.3132039999999999E-2</v>
      </c>
      <c r="S40">
        <v>3.0818479999999999</v>
      </c>
      <c r="T40">
        <v>-0.81825959999999998</v>
      </c>
      <c r="U40">
        <v>-0.47375489999999998</v>
      </c>
      <c r="V40">
        <v>-2.960026E-2</v>
      </c>
      <c r="W40">
        <v>0.119774399999999</v>
      </c>
      <c r="X40">
        <v>0.99235980000000001</v>
      </c>
      <c r="Y40">
        <v>0.1073151</v>
      </c>
      <c r="Z40">
        <v>-2.8293039999999999E-3</v>
      </c>
      <c r="AA40">
        <v>0.99422099999999902</v>
      </c>
      <c r="AB40">
        <v>13</v>
      </c>
      <c r="AC40">
        <v>0.78979999999995698</v>
      </c>
      <c r="AD40">
        <v>-0.17432419999999901</v>
      </c>
      <c r="AE40">
        <v>-0.10439999999999799</v>
      </c>
      <c r="AF40">
        <v>6.7279065754028797E-2</v>
      </c>
      <c r="AG40">
        <v>-0.17432419999999901</v>
      </c>
      <c r="AH40">
        <v>0.75728546823680498</v>
      </c>
      <c r="AI40">
        <v>102.91428718245299</v>
      </c>
      <c r="AJ40">
        <v>84.923034341274601</v>
      </c>
      <c r="AK40">
        <v>0.77999787166184698</v>
      </c>
    </row>
    <row r="41" spans="1:37" x14ac:dyDescent="0.2">
      <c r="A41" t="str">
        <f>"20200111150442474"</f>
        <v>20200111150442474</v>
      </c>
      <c r="B41" t="str">
        <f>"1578726282462850"</f>
        <v>1578726282462850</v>
      </c>
      <c r="C41" t="s">
        <v>37</v>
      </c>
      <c r="D41">
        <v>4.9102290000000002</v>
      </c>
      <c r="E41">
        <v>0.56186720000000001</v>
      </c>
      <c r="F41" t="s">
        <v>38</v>
      </c>
      <c r="G41">
        <v>-479.41070000000002</v>
      </c>
      <c r="H41">
        <v>0.95646500000000001</v>
      </c>
      <c r="I41">
        <v>367.4434</v>
      </c>
      <c r="J41">
        <v>-480.10079999999999</v>
      </c>
      <c r="K41">
        <v>1.1060019999999999</v>
      </c>
      <c r="L41">
        <v>367.5351</v>
      </c>
      <c r="M41">
        <v>0.99857070000000003</v>
      </c>
      <c r="N41">
        <v>0</v>
      </c>
      <c r="O41">
        <v>-4.4751539999999999E-2</v>
      </c>
      <c r="P41">
        <v>0.9954018</v>
      </c>
      <c r="Q41">
        <v>9.4069730000000004E-2</v>
      </c>
      <c r="R41">
        <v>-1.8061489999999999E-2</v>
      </c>
      <c r="S41">
        <v>3.0810550000000001</v>
      </c>
      <c r="T41">
        <v>-0.8196059</v>
      </c>
      <c r="U41">
        <v>-0.48297119999999999</v>
      </c>
      <c r="V41">
        <v>-2.6627540000000002E-2</v>
      </c>
      <c r="W41">
        <v>0.1230866</v>
      </c>
      <c r="X41">
        <v>0.99203859999999999</v>
      </c>
      <c r="Y41">
        <v>0.10832319999999999</v>
      </c>
      <c r="Z41">
        <v>-2.4542029999999999E-3</v>
      </c>
      <c r="AA41">
        <v>0.99411269999999996</v>
      </c>
      <c r="AB41">
        <v>13</v>
      </c>
      <c r="AC41">
        <v>0.69009999999997196</v>
      </c>
      <c r="AD41">
        <v>-0.149537</v>
      </c>
      <c r="AE41">
        <v>-9.1700000000003001E-2</v>
      </c>
      <c r="AF41">
        <v>5.8034159603492501E-2</v>
      </c>
      <c r="AG41">
        <v>-0.149537</v>
      </c>
      <c r="AH41">
        <v>0.662926474194516</v>
      </c>
      <c r="AI41">
        <v>102.664654882514</v>
      </c>
      <c r="AJ41">
        <v>84.996945812672905</v>
      </c>
      <c r="AK41">
        <v>0.68205629403873702</v>
      </c>
    </row>
    <row r="42" spans="1:37" x14ac:dyDescent="0.2">
      <c r="A42" t="str">
        <f>"20200111150442497"</f>
        <v>20200111150442497</v>
      </c>
      <c r="B42" t="str">
        <f>"1578726282493107"</f>
        <v>1578726282493107</v>
      </c>
      <c r="C42" t="s">
        <v>37</v>
      </c>
      <c r="D42">
        <v>4.7509259999999998</v>
      </c>
      <c r="E42">
        <v>0.49582169999999998</v>
      </c>
      <c r="F42" t="s">
        <v>38</v>
      </c>
      <c r="G42">
        <v>-479.53489999999999</v>
      </c>
      <c r="H42">
        <v>0.957148</v>
      </c>
      <c r="I42">
        <v>367.44279999999998</v>
      </c>
      <c r="J42">
        <v>-480.2407</v>
      </c>
      <c r="K42">
        <v>1.10605</v>
      </c>
      <c r="L42">
        <v>367.53899999999999</v>
      </c>
      <c r="M42">
        <v>0.99846800000000002</v>
      </c>
      <c r="N42">
        <v>0</v>
      </c>
      <c r="O42">
        <v>-4.6966910000000001E-2</v>
      </c>
      <c r="P42">
        <v>0.99485249999999903</v>
      </c>
      <c r="Q42">
        <v>9.8642300000000002E-2</v>
      </c>
      <c r="R42">
        <v>-2.3207820000000001E-2</v>
      </c>
      <c r="S42">
        <v>3.0813599999999899</v>
      </c>
      <c r="T42">
        <v>-0.81064130000000001</v>
      </c>
      <c r="U42">
        <v>-0.5019226</v>
      </c>
      <c r="V42">
        <v>-2.3676450000000002E-2</v>
      </c>
      <c r="W42">
        <v>0.12768350000000001</v>
      </c>
      <c r="X42">
        <v>0.99153230000000003</v>
      </c>
      <c r="Y42">
        <v>0.112063</v>
      </c>
      <c r="Z42">
        <v>-2.339697E-3</v>
      </c>
      <c r="AA42">
        <v>0.99369839999999998</v>
      </c>
      <c r="AB42">
        <v>14</v>
      </c>
      <c r="AC42">
        <v>0.70580000000000997</v>
      </c>
      <c r="AD42">
        <v>-0.14890199999999901</v>
      </c>
      <c r="AE42">
        <v>-9.6200000000010194E-2</v>
      </c>
      <c r="AF42">
        <v>6.0295619454379799E-2</v>
      </c>
      <c r="AG42">
        <v>-0.14890199999999901</v>
      </c>
      <c r="AH42">
        <v>0.67983441378807197</v>
      </c>
      <c r="AI42">
        <v>102.307394534905</v>
      </c>
      <c r="AJ42">
        <v>84.931606073254798</v>
      </c>
      <c r="AK42">
        <v>0.69855722564436995</v>
      </c>
    </row>
    <row r="43" spans="1:37" x14ac:dyDescent="0.2">
      <c r="A43" t="str">
        <f>"20200111150442519"</f>
        <v>20200111150442519</v>
      </c>
      <c r="B43" t="str">
        <f>"1578726282513602"</f>
        <v>1578726282513602</v>
      </c>
      <c r="C43" t="s">
        <v>37</v>
      </c>
      <c r="D43">
        <v>4.8324059999999998</v>
      </c>
      <c r="E43">
        <v>0.47634359999999998</v>
      </c>
      <c r="F43" t="s">
        <v>40</v>
      </c>
      <c r="G43">
        <v>-471.9742</v>
      </c>
      <c r="H43" s="1">
        <v>-5.2518640000000003E-6</v>
      </c>
      <c r="I43">
        <v>367.5206</v>
      </c>
      <c r="J43">
        <v>-480.38440000000003</v>
      </c>
      <c r="K43">
        <v>1.106087</v>
      </c>
      <c r="L43">
        <v>367.54309999999998</v>
      </c>
      <c r="M43">
        <v>0.99835319999999905</v>
      </c>
      <c r="N43">
        <v>0</v>
      </c>
      <c r="O43">
        <v>-4.9326309999999998E-2</v>
      </c>
      <c r="P43">
        <v>0.99447809999999903</v>
      </c>
      <c r="Q43">
        <v>0.1010533</v>
      </c>
      <c r="R43">
        <v>-2.831125E-2</v>
      </c>
      <c r="S43">
        <v>3.0559080000000001</v>
      </c>
      <c r="T43">
        <v>-0.40888209999999903</v>
      </c>
      <c r="U43">
        <v>-6.8054200000000004E-3</v>
      </c>
      <c r="V43">
        <v>-2.0916549999999999E-2</v>
      </c>
      <c r="W43">
        <v>0.1301263</v>
      </c>
      <c r="X43">
        <v>0.99127679999999996</v>
      </c>
      <c r="Y43">
        <v>-4.627129E-2</v>
      </c>
      <c r="Z43">
        <v>9.6531440000000007E-3</v>
      </c>
      <c r="AA43">
        <v>0.9988823</v>
      </c>
      <c r="AB43">
        <v>14</v>
      </c>
      <c r="AC43">
        <v>8.4102000000000299</v>
      </c>
      <c r="AD43">
        <v>-1.106092251864</v>
      </c>
      <c r="AE43">
        <v>-2.2499999999979502E-2</v>
      </c>
      <c r="AF43">
        <v>-0.38587516296449598</v>
      </c>
      <c r="AG43">
        <v>-1.106092251864</v>
      </c>
      <c r="AH43">
        <v>8.2582227124600696</v>
      </c>
      <c r="AI43">
        <v>97.620480216696507</v>
      </c>
      <c r="AJ43">
        <v>92.675266773959294</v>
      </c>
      <c r="AK43">
        <v>8.34089815784953</v>
      </c>
    </row>
    <row r="44" spans="1:37" x14ac:dyDescent="0.2">
      <c r="A44" t="str">
        <f>"20200111150442541"</f>
        <v>20200111150442541</v>
      </c>
      <c r="B44" t="str">
        <f>"1578726282533122"</f>
        <v>1578726282533122</v>
      </c>
      <c r="C44" t="s">
        <v>37</v>
      </c>
      <c r="D44">
        <v>4.7423349999999997</v>
      </c>
      <c r="E44">
        <v>0.46893469999999998</v>
      </c>
      <c r="F44" t="s">
        <v>40</v>
      </c>
      <c r="G44">
        <v>-470.32619999999997</v>
      </c>
      <c r="H44" s="1">
        <v>-4.6711979999999998E-6</v>
      </c>
      <c r="I44">
        <v>367.9742</v>
      </c>
      <c r="J44">
        <v>-480.53050000000002</v>
      </c>
      <c r="K44">
        <v>1.106114</v>
      </c>
      <c r="L44">
        <v>367.54759999999999</v>
      </c>
      <c r="M44">
        <v>0.99822549999999899</v>
      </c>
      <c r="N44">
        <v>0</v>
      </c>
      <c r="O44">
        <v>-5.1826789999999998E-2</v>
      </c>
      <c r="P44">
        <v>0.99439630000000001</v>
      </c>
      <c r="Q44">
        <v>0.1007904</v>
      </c>
      <c r="R44">
        <v>-3.1901840000000001E-2</v>
      </c>
      <c r="S44">
        <v>3.0545040000000001</v>
      </c>
      <c r="T44">
        <v>-0.33590110000000001</v>
      </c>
      <c r="U44">
        <v>0.13092039999999999</v>
      </c>
      <c r="V44">
        <v>-1.9820040000000001E-2</v>
      </c>
      <c r="W44">
        <v>0.12990309999999999</v>
      </c>
      <c r="X44">
        <v>0.9913286</v>
      </c>
      <c r="Y44">
        <v>-9.3689999999999996E-2</v>
      </c>
      <c r="Z44">
        <v>1.0815419999999999E-2</v>
      </c>
      <c r="AA44">
        <v>0.99554259999999895</v>
      </c>
      <c r="AB44">
        <v>14</v>
      </c>
      <c r="AC44">
        <v>10.2043</v>
      </c>
      <c r="AD44">
        <v>-1.106118671198</v>
      </c>
      <c r="AE44">
        <v>0.42660000000000697</v>
      </c>
      <c r="AF44">
        <v>-0.94403676090750399</v>
      </c>
      <c r="AG44">
        <v>-1.106118671198</v>
      </c>
      <c r="AH44">
        <v>10.050567796059999</v>
      </c>
      <c r="AI44">
        <v>96.2531270172083</v>
      </c>
      <c r="AJ44">
        <v>95.365974388577499</v>
      </c>
      <c r="AK44">
        <v>10.1552260902412</v>
      </c>
    </row>
    <row r="45" spans="1:37" x14ac:dyDescent="0.2">
      <c r="A45" t="str">
        <f>"20200111150442564"</f>
        <v>20200111150442564</v>
      </c>
      <c r="B45" t="str">
        <f>"1578726282553617"</f>
        <v>1578726282553617</v>
      </c>
      <c r="C45" t="s">
        <v>37</v>
      </c>
      <c r="D45">
        <v>4.7011269999999996</v>
      </c>
      <c r="E45">
        <v>0.46429229999999999</v>
      </c>
      <c r="F45" t="s">
        <v>39</v>
      </c>
      <c r="G45">
        <v>-468.94959999999998</v>
      </c>
      <c r="H45" s="1">
        <v>-7.1540790000000003E-7</v>
      </c>
      <c r="I45">
        <v>368.21859999999998</v>
      </c>
      <c r="J45">
        <v>-480.68119999999999</v>
      </c>
      <c r="K45">
        <v>1.106128</v>
      </c>
      <c r="L45">
        <v>367.55239999999998</v>
      </c>
      <c r="M45">
        <v>0.99807990000000002</v>
      </c>
      <c r="N45">
        <v>0</v>
      </c>
      <c r="O45">
        <v>-5.4534939999999997E-2</v>
      </c>
      <c r="P45">
        <v>0.99419190000000002</v>
      </c>
      <c r="Q45">
        <v>0.1018337</v>
      </c>
      <c r="R45">
        <v>-3.482288E-2</v>
      </c>
      <c r="S45">
        <v>3.0521240000000001</v>
      </c>
      <c r="T45">
        <v>-0.29151270000000001</v>
      </c>
      <c r="U45">
        <v>0.17687990000000001</v>
      </c>
      <c r="V45">
        <v>-1.9594589999999999E-2</v>
      </c>
      <c r="W45">
        <v>0.1309815</v>
      </c>
      <c r="X45">
        <v>0.99119109999999999</v>
      </c>
      <c r="Y45">
        <v>-0.111483399999999</v>
      </c>
      <c r="Z45">
        <v>1.050237E-2</v>
      </c>
      <c r="AA45">
        <v>0.99371080000000001</v>
      </c>
      <c r="AB45">
        <v>15</v>
      </c>
      <c r="AC45">
        <v>11.7316</v>
      </c>
      <c r="AD45">
        <v>-1.10612871540789</v>
      </c>
      <c r="AE45">
        <v>0.66620000000000301</v>
      </c>
      <c r="AF45">
        <v>-1.29380112777567</v>
      </c>
      <c r="AG45">
        <v>-1.10612871540789</v>
      </c>
      <c r="AH45">
        <v>11.575208167694599</v>
      </c>
      <c r="AI45">
        <v>95.4250386904978</v>
      </c>
      <c r="AJ45">
        <v>96.377676305600005</v>
      </c>
      <c r="AK45">
        <v>11.6996959883045</v>
      </c>
    </row>
    <row r="46" spans="1:37" x14ac:dyDescent="0.2">
      <c r="A46" t="str">
        <f>"20200111150442587"</f>
        <v>20200111150442587</v>
      </c>
      <c r="B46" t="str">
        <f>"1578726282582898"</f>
        <v>1578726282582898</v>
      </c>
      <c r="C46" t="s">
        <v>37</v>
      </c>
      <c r="D46">
        <v>4.6856749999999998</v>
      </c>
      <c r="E46">
        <v>0.45985769999999998</v>
      </c>
      <c r="F46" t="s">
        <v>39</v>
      </c>
      <c r="G46">
        <v>-468.91809999999998</v>
      </c>
      <c r="H46" s="1">
        <v>-6.94543E-7</v>
      </c>
      <c r="I46">
        <v>368.3372</v>
      </c>
      <c r="J46">
        <v>-480.839</v>
      </c>
      <c r="K46">
        <v>1.106139</v>
      </c>
      <c r="L46">
        <v>367.55779999999999</v>
      </c>
      <c r="M46">
        <v>0.99791090000000005</v>
      </c>
      <c r="N46">
        <v>0</v>
      </c>
      <c r="O46">
        <v>-5.7525069999999998E-2</v>
      </c>
      <c r="P46">
        <v>0.99399689999999996</v>
      </c>
      <c r="Q46">
        <v>0.102696</v>
      </c>
      <c r="R46">
        <v>-3.7738800000000003E-2</v>
      </c>
      <c r="S46">
        <v>3.0540769999999999</v>
      </c>
      <c r="T46">
        <v>-0.28718449999999901</v>
      </c>
      <c r="U46">
        <v>0.20379639999999999</v>
      </c>
      <c r="V46">
        <v>-1.9655559999999999E-2</v>
      </c>
      <c r="W46">
        <v>0.131881</v>
      </c>
      <c r="X46">
        <v>0.99107069999999997</v>
      </c>
      <c r="Y46">
        <v>-0.12309919999999901</v>
      </c>
      <c r="Z46">
        <v>1.116267E-2</v>
      </c>
      <c r="AA46">
        <v>0.99233159999999898</v>
      </c>
      <c r="AB46">
        <v>15</v>
      </c>
      <c r="AC46">
        <v>11.9209</v>
      </c>
      <c r="AD46">
        <v>-1.106139694543</v>
      </c>
      <c r="AE46">
        <v>0.77940000000000897</v>
      </c>
      <c r="AF46">
        <v>-1.45170954869229</v>
      </c>
      <c r="AG46">
        <v>-1.106139694543</v>
      </c>
      <c r="AH46">
        <v>11.755504419000101</v>
      </c>
      <c r="AI46">
        <v>95.335155057072896</v>
      </c>
      <c r="AJ46">
        <v>97.039922070214004</v>
      </c>
      <c r="AK46">
        <v>11.896339343795599</v>
      </c>
    </row>
    <row r="47" spans="1:37" x14ac:dyDescent="0.2">
      <c r="A47" t="str">
        <f>"20200111150442609"</f>
        <v>20200111150442609</v>
      </c>
      <c r="B47" t="str">
        <f>"1578726282603393"</f>
        <v>1578726282603393</v>
      </c>
      <c r="C47" t="s">
        <v>37</v>
      </c>
      <c r="D47">
        <v>4.6934230000000001</v>
      </c>
      <c r="E47">
        <v>0.45797739999999998</v>
      </c>
      <c r="F47" t="s">
        <v>39</v>
      </c>
      <c r="G47">
        <v>-469.49849999999998</v>
      </c>
      <c r="H47" s="1">
        <v>-4.7788629999999997E-7</v>
      </c>
      <c r="I47">
        <v>368.4092</v>
      </c>
      <c r="J47">
        <v>-480.98919999999998</v>
      </c>
      <c r="K47">
        <v>1.10615</v>
      </c>
      <c r="L47">
        <v>367.56310000000002</v>
      </c>
      <c r="M47">
        <v>0.997731699999999</v>
      </c>
      <c r="N47">
        <v>0</v>
      </c>
      <c r="O47">
        <v>-6.0532339999999997E-2</v>
      </c>
      <c r="P47">
        <v>0.99377469999999901</v>
      </c>
      <c r="Q47">
        <v>0.1034847</v>
      </c>
      <c r="R47">
        <v>-4.126763E-2</v>
      </c>
      <c r="S47">
        <v>3.057617</v>
      </c>
      <c r="T47">
        <v>-0.29823459999999902</v>
      </c>
      <c r="U47">
        <v>0.2295837</v>
      </c>
      <c r="V47">
        <v>-1.9121300000000001E-2</v>
      </c>
      <c r="W47">
        <v>0.1327072</v>
      </c>
      <c r="X47">
        <v>0.99097080000000004</v>
      </c>
      <c r="Y47">
        <v>-0.134206399999999</v>
      </c>
      <c r="Z47">
        <v>1.240572E-2</v>
      </c>
      <c r="AA47">
        <v>0.99087569999999903</v>
      </c>
      <c r="AB47">
        <v>15</v>
      </c>
      <c r="AC47">
        <v>11.4907</v>
      </c>
      <c r="AD47">
        <v>-1.1061504778863001</v>
      </c>
      <c r="AE47">
        <v>0.84609999999997798</v>
      </c>
      <c r="AF47">
        <v>-1.5263396932984199</v>
      </c>
      <c r="AG47">
        <v>-1.1061504778863001</v>
      </c>
      <c r="AH47">
        <v>11.314090451753801</v>
      </c>
      <c r="AI47">
        <v>95.534102802435299</v>
      </c>
      <c r="AJ47">
        <v>97.683163307588998</v>
      </c>
      <c r="AK47">
        <v>11.470044659439299</v>
      </c>
    </row>
    <row r="48" spans="1:37" x14ac:dyDescent="0.2">
      <c r="A48" t="str">
        <f>"20200111150442630"</f>
        <v>20200111150442630</v>
      </c>
      <c r="B48" t="str">
        <f>"1578726282622914"</f>
        <v>1578726282622914</v>
      </c>
      <c r="C48" t="s">
        <v>37</v>
      </c>
      <c r="D48">
        <v>4.6657330000000004</v>
      </c>
      <c r="E48">
        <v>0.4564571</v>
      </c>
      <c r="F48" t="s">
        <v>40</v>
      </c>
      <c r="G48">
        <v>-470.05869999999999</v>
      </c>
      <c r="H48" s="1">
        <v>-4.7419140000000003E-6</v>
      </c>
      <c r="I48">
        <v>368.39510000000001</v>
      </c>
      <c r="J48">
        <v>-481.14260000000002</v>
      </c>
      <c r="K48">
        <v>1.106169</v>
      </c>
      <c r="L48">
        <v>367.56880000000001</v>
      </c>
      <c r="M48">
        <v>0.99752870000000005</v>
      </c>
      <c r="N48">
        <v>0</v>
      </c>
      <c r="O48">
        <v>-6.3773209999999997E-2</v>
      </c>
      <c r="P48">
        <v>0.99372939999999998</v>
      </c>
      <c r="Q48">
        <v>0.10263219999999899</v>
      </c>
      <c r="R48">
        <v>-4.4374280000000002E-2</v>
      </c>
      <c r="S48">
        <v>3.06073</v>
      </c>
      <c r="T48">
        <v>-0.30974299999999999</v>
      </c>
      <c r="U48">
        <v>0.23297119999999999</v>
      </c>
      <c r="V48">
        <v>-1.9253820000000001E-2</v>
      </c>
      <c r="W48">
        <v>0.1318976</v>
      </c>
      <c r="X48">
        <v>0.99107639999999997</v>
      </c>
      <c r="Y48">
        <v>-0.1383316</v>
      </c>
      <c r="Z48">
        <v>1.3403200000000001E-2</v>
      </c>
      <c r="AA48">
        <v>0.99029529999999999</v>
      </c>
      <c r="AB48">
        <v>15</v>
      </c>
      <c r="AC48">
        <v>11.0839</v>
      </c>
      <c r="AD48">
        <v>-1.1061737419140001</v>
      </c>
      <c r="AE48">
        <v>0.82630000000000303</v>
      </c>
      <c r="AF48">
        <v>-1.51675643656431</v>
      </c>
      <c r="AG48">
        <v>-1.1061737419140001</v>
      </c>
      <c r="AH48">
        <v>10.900628682897301</v>
      </c>
      <c r="AI48">
        <v>95.739503663356501</v>
      </c>
      <c r="AJ48">
        <v>97.921499065931698</v>
      </c>
      <c r="AK48">
        <v>11.0610974192239</v>
      </c>
    </row>
    <row r="49" spans="1:37" x14ac:dyDescent="0.2">
      <c r="A49" t="str">
        <f>"20200111150442655"</f>
        <v>20200111150442655</v>
      </c>
      <c r="B49" t="str">
        <f>"1578726282643409"</f>
        <v>1578726282643409</v>
      </c>
      <c r="C49" t="s">
        <v>37</v>
      </c>
      <c r="D49">
        <v>4.3712419999999996</v>
      </c>
      <c r="E49">
        <v>0.45558300000000002</v>
      </c>
      <c r="F49" t="s">
        <v>40</v>
      </c>
      <c r="G49">
        <v>-470.70319999999998</v>
      </c>
      <c r="H49" s="1">
        <v>-5.0844059999999997E-6</v>
      </c>
      <c r="I49">
        <v>368.3691</v>
      </c>
      <c r="J49">
        <v>-481.3109</v>
      </c>
      <c r="K49">
        <v>1.106196</v>
      </c>
      <c r="L49">
        <v>367.57549999999998</v>
      </c>
      <c r="M49">
        <v>0.99727919999999903</v>
      </c>
      <c r="N49">
        <v>0</v>
      </c>
      <c r="O49">
        <v>-6.7541169999999998E-2</v>
      </c>
      <c r="P49">
        <v>0.99382280000000001</v>
      </c>
      <c r="Q49">
        <v>0.10074619999999999</v>
      </c>
      <c r="R49">
        <v>-4.6548020000000002E-2</v>
      </c>
      <c r="S49">
        <v>3.0629270000000002</v>
      </c>
      <c r="T49">
        <v>-0.32455289999999998</v>
      </c>
      <c r="U49">
        <v>0.23480219999999999</v>
      </c>
      <c r="V49">
        <v>-2.0856699999999999E-2</v>
      </c>
      <c r="W49">
        <v>0.1300606</v>
      </c>
      <c r="X49">
        <v>0.99128660000000002</v>
      </c>
      <c r="Y49">
        <v>-0.14246339999999999</v>
      </c>
      <c r="Z49">
        <v>1.464588E-2</v>
      </c>
      <c r="AA49">
        <v>0.98969169999999995</v>
      </c>
      <c r="AB49">
        <v>16</v>
      </c>
      <c r="AC49">
        <v>10.607699999999999</v>
      </c>
      <c r="AD49">
        <v>-1.106201084406</v>
      </c>
      <c r="AE49">
        <v>0.79360000000002595</v>
      </c>
      <c r="AF49">
        <v>-1.49241585323341</v>
      </c>
      <c r="AG49">
        <v>-1.106201084406</v>
      </c>
      <c r="AH49">
        <v>10.417176620634301</v>
      </c>
      <c r="AI49">
        <v>96.000713850761898</v>
      </c>
      <c r="AJ49">
        <v>98.1529970197154</v>
      </c>
      <c r="AK49">
        <v>10.581519487465499</v>
      </c>
    </row>
    <row r="50" spans="1:37" x14ac:dyDescent="0.2">
      <c r="A50" t="str">
        <f>"20200111150442676"</f>
        <v>20200111150442676</v>
      </c>
      <c r="B50" t="str">
        <f>"1578726282672689"</f>
        <v>1578726282672689</v>
      </c>
      <c r="C50" t="s">
        <v>37</v>
      </c>
      <c r="D50">
        <v>4.5841839999999996</v>
      </c>
      <c r="E50">
        <v>0.454733</v>
      </c>
      <c r="F50" t="s">
        <v>40</v>
      </c>
      <c r="G50">
        <v>-471.04680000000002</v>
      </c>
      <c r="H50" s="1">
        <v>-5.230963E-6</v>
      </c>
      <c r="I50">
        <v>368.35669999999999</v>
      </c>
      <c r="J50">
        <v>-481.47300000000001</v>
      </c>
      <c r="K50">
        <v>1.1062270000000001</v>
      </c>
      <c r="L50">
        <v>367.5822</v>
      </c>
      <c r="M50">
        <v>0.9970099</v>
      </c>
      <c r="N50">
        <v>0</v>
      </c>
      <c r="O50">
        <v>-7.1387010000000001E-2</v>
      </c>
      <c r="P50">
        <v>0.99387559999999997</v>
      </c>
      <c r="Q50">
        <v>9.9524409999999994E-2</v>
      </c>
      <c r="R50">
        <v>-4.8025089999999999E-2</v>
      </c>
      <c r="S50">
        <v>3.0629580000000001</v>
      </c>
      <c r="T50">
        <v>-0.33010689999999998</v>
      </c>
      <c r="U50">
        <v>0.23312379999999999</v>
      </c>
      <c r="V50">
        <v>-2.3235949999999998E-2</v>
      </c>
      <c r="W50">
        <v>0.12888279999999999</v>
      </c>
      <c r="X50">
        <v>0.99138749999999998</v>
      </c>
      <c r="Y50">
        <v>-0.1456587</v>
      </c>
      <c r="Z50">
        <v>1.5479329999999999E-2</v>
      </c>
      <c r="AA50">
        <v>0.98921380000000003</v>
      </c>
      <c r="AB50">
        <v>16</v>
      </c>
      <c r="AC50">
        <v>10.4261999999999</v>
      </c>
      <c r="AD50">
        <v>-1.1062322309629999</v>
      </c>
      <c r="AE50">
        <v>0.77449999999998898</v>
      </c>
      <c r="AF50">
        <v>-1.50034602439805</v>
      </c>
      <c r="AG50">
        <v>-1.1062322309629999</v>
      </c>
      <c r="AH50">
        <v>10.2297339193778</v>
      </c>
      <c r="AI50">
        <v>96.107086554040393</v>
      </c>
      <c r="AJ50">
        <v>98.343809611306199</v>
      </c>
      <c r="AK50">
        <v>10.398184649399999</v>
      </c>
    </row>
    <row r="51" spans="1:37" x14ac:dyDescent="0.2">
      <c r="A51" t="str">
        <f>"20200111150442700"</f>
        <v>20200111150442700</v>
      </c>
      <c r="B51" t="str">
        <f>"1578726282693185"</f>
        <v>1578726282693185</v>
      </c>
      <c r="C51" t="s">
        <v>37</v>
      </c>
      <c r="D51">
        <v>4.623424</v>
      </c>
      <c r="E51">
        <v>0.45443809999999901</v>
      </c>
      <c r="F51" t="s">
        <v>40</v>
      </c>
      <c r="G51">
        <v>-471.42020000000002</v>
      </c>
      <c r="H51" s="1">
        <v>-5.3904379999999999E-6</v>
      </c>
      <c r="I51">
        <v>368.34359999999998</v>
      </c>
      <c r="J51">
        <v>-481.65100000000001</v>
      </c>
      <c r="K51">
        <v>1.1062989999999999</v>
      </c>
      <c r="L51">
        <v>367.59010000000001</v>
      </c>
      <c r="M51">
        <v>0.99667890000000003</v>
      </c>
      <c r="N51">
        <v>0</v>
      </c>
      <c r="O51">
        <v>-7.5846899999999995E-2</v>
      </c>
      <c r="P51">
        <v>0.99381710000000001</v>
      </c>
      <c r="Q51">
        <v>9.8728170000000004E-2</v>
      </c>
      <c r="R51">
        <v>-5.0797920000000003E-2</v>
      </c>
      <c r="S51">
        <v>3.0634459999999999</v>
      </c>
      <c r="T51">
        <v>-0.33710849999999998</v>
      </c>
      <c r="U51">
        <v>0.23202510000000001</v>
      </c>
      <c r="V51">
        <v>-2.493687E-2</v>
      </c>
      <c r="W51">
        <v>0.12813459999999999</v>
      </c>
      <c r="X51">
        <v>0.99144319999999897</v>
      </c>
      <c r="Y51">
        <v>-0.14961469999999999</v>
      </c>
      <c r="Z51">
        <v>1.650861E-2</v>
      </c>
      <c r="AA51">
        <v>0.988606599999999</v>
      </c>
      <c r="AB51">
        <v>17</v>
      </c>
      <c r="AC51">
        <v>10.230799999999901</v>
      </c>
      <c r="AD51">
        <v>-1.1063043904379899</v>
      </c>
      <c r="AE51">
        <v>0.75349999999997397</v>
      </c>
      <c r="AF51">
        <v>-1.51008083833167</v>
      </c>
      <c r="AG51">
        <v>-1.1063043904379899</v>
      </c>
      <c r="AH51">
        <v>10.027508043363</v>
      </c>
      <c r="AI51">
        <v>96.226163209630897</v>
      </c>
      <c r="AJ51">
        <v>98.564037948823596</v>
      </c>
      <c r="AK51">
        <v>10.200743654376801</v>
      </c>
    </row>
    <row r="52" spans="1:37" x14ac:dyDescent="0.2">
      <c r="A52" t="str">
        <f>"20200111150442721"</f>
        <v>20200111150442721</v>
      </c>
      <c r="B52" t="str">
        <f>"1578726282713681"</f>
        <v>1578726282713681</v>
      </c>
      <c r="C52" t="s">
        <v>37</v>
      </c>
      <c r="D52">
        <v>4.6072550000000003</v>
      </c>
      <c r="E52">
        <v>0.45385969999999998</v>
      </c>
      <c r="F52" t="s">
        <v>40</v>
      </c>
      <c r="G52">
        <v>-471.86360000000002</v>
      </c>
      <c r="H52" s="1">
        <v>-5.5717460000000004E-6</v>
      </c>
      <c r="I52">
        <v>368.3107</v>
      </c>
      <c r="J52">
        <v>-481.81610000000001</v>
      </c>
      <c r="K52">
        <v>1.106385</v>
      </c>
      <c r="L52">
        <v>367.59769999999997</v>
      </c>
      <c r="M52">
        <v>0.99633660000000002</v>
      </c>
      <c r="N52">
        <v>0</v>
      </c>
      <c r="O52">
        <v>-8.020033E-2</v>
      </c>
      <c r="P52">
        <v>0.99347009999999902</v>
      </c>
      <c r="Q52">
        <v>0.1007914</v>
      </c>
      <c r="R52">
        <v>-5.3463829999999997E-2</v>
      </c>
      <c r="S52">
        <v>3.064575</v>
      </c>
      <c r="T52">
        <v>-0.34640169999999998</v>
      </c>
      <c r="U52">
        <v>0.22564699999999999</v>
      </c>
      <c r="V52">
        <v>-2.6623850000000001E-2</v>
      </c>
      <c r="W52">
        <v>0.1302326</v>
      </c>
      <c r="X52">
        <v>0.9911259</v>
      </c>
      <c r="Y52">
        <v>-0.15174360000000001</v>
      </c>
      <c r="Z52">
        <v>1.7565259999999999E-2</v>
      </c>
      <c r="AA52">
        <v>0.98826380000000003</v>
      </c>
      <c r="AB52">
        <v>17</v>
      </c>
      <c r="AC52">
        <v>9.9524999999999793</v>
      </c>
      <c r="AD52">
        <v>-1.1063905717460001</v>
      </c>
      <c r="AE52">
        <v>0.71300000000002195</v>
      </c>
      <c r="AF52">
        <v>-1.4909161194714899</v>
      </c>
      <c r="AG52">
        <v>-1.1063905717460001</v>
      </c>
      <c r="AH52">
        <v>9.7434088607119005</v>
      </c>
      <c r="AI52">
        <v>96.404428045813702</v>
      </c>
      <c r="AJ52">
        <v>98.699799188240803</v>
      </c>
      <c r="AK52">
        <v>9.9187170137849705</v>
      </c>
    </row>
    <row r="53" spans="1:37" x14ac:dyDescent="0.2">
      <c r="A53" t="str">
        <f>"20200111150442743"</f>
        <v>20200111150442743</v>
      </c>
      <c r="B53" t="str">
        <f>"1578726282733201"</f>
        <v>1578726282733201</v>
      </c>
      <c r="C53" t="s">
        <v>37</v>
      </c>
      <c r="D53">
        <v>4.6799460000000002</v>
      </c>
      <c r="E53">
        <v>0.45374120000000001</v>
      </c>
      <c r="F53" t="s">
        <v>40</v>
      </c>
      <c r="G53">
        <v>-472.0215</v>
      </c>
      <c r="H53" s="1">
        <v>-5.639716E-6</v>
      </c>
      <c r="I53">
        <v>368.30630000000002</v>
      </c>
      <c r="J53">
        <v>-481.99209999999999</v>
      </c>
      <c r="K53">
        <v>1.1064860000000001</v>
      </c>
      <c r="L53">
        <v>367.60640000000001</v>
      </c>
      <c r="M53">
        <v>0.99593169999999898</v>
      </c>
      <c r="N53">
        <v>0</v>
      </c>
      <c r="O53">
        <v>-8.5059120000000002E-2</v>
      </c>
      <c r="P53">
        <v>0.99337330000000001</v>
      </c>
      <c r="Q53">
        <v>0.101615</v>
      </c>
      <c r="R53">
        <v>-5.3702020000000003E-2</v>
      </c>
      <c r="S53">
        <v>3.06680299999999</v>
      </c>
      <c r="T53">
        <v>-0.34642430000000002</v>
      </c>
      <c r="U53">
        <v>0.221862799999999</v>
      </c>
      <c r="V53">
        <v>-3.1261440000000001E-2</v>
      </c>
      <c r="W53">
        <v>0.13109019999999999</v>
      </c>
      <c r="X53">
        <v>0.99087739999999902</v>
      </c>
      <c r="Y53">
        <v>-0.1552461</v>
      </c>
      <c r="Z53">
        <v>1.8297419999999998E-2</v>
      </c>
      <c r="AA53">
        <v>0.98770639999999998</v>
      </c>
      <c r="AB53">
        <v>17</v>
      </c>
      <c r="AC53">
        <v>9.9705999999999904</v>
      </c>
      <c r="AD53">
        <v>-1.1064916397160001</v>
      </c>
      <c r="AE53">
        <v>0.69990000000001296</v>
      </c>
      <c r="AF53">
        <v>-1.52711223196324</v>
      </c>
      <c r="AG53">
        <v>-1.1064916397160001</v>
      </c>
      <c r="AH53">
        <v>9.7553212932142408</v>
      </c>
      <c r="AI53">
        <v>96.393873683614302</v>
      </c>
      <c r="AJ53">
        <v>98.896959834206896</v>
      </c>
      <c r="AK53">
        <v>9.9359291992048906</v>
      </c>
    </row>
    <row r="54" spans="1:37" x14ac:dyDescent="0.2">
      <c r="A54" t="str">
        <f>"20200111150442766"</f>
        <v>20200111150442766</v>
      </c>
      <c r="B54" t="str">
        <f>"1578726282763457"</f>
        <v>1578726282763457</v>
      </c>
      <c r="C54" t="s">
        <v>37</v>
      </c>
      <c r="D54">
        <v>4.6600429999999999</v>
      </c>
      <c r="E54">
        <v>0.453707799999999</v>
      </c>
      <c r="F54" t="s">
        <v>40</v>
      </c>
      <c r="G54">
        <v>-472.35570000000001</v>
      </c>
      <c r="H54" s="1">
        <v>-5.7825220000000003E-6</v>
      </c>
      <c r="I54">
        <v>368.29480000000001</v>
      </c>
      <c r="J54">
        <v>-482.17110000000002</v>
      </c>
      <c r="K54">
        <v>1.106616</v>
      </c>
      <c r="L54">
        <v>367.61590000000001</v>
      </c>
      <c r="M54">
        <v>0.99547509999999995</v>
      </c>
      <c r="N54">
        <v>0</v>
      </c>
      <c r="O54">
        <v>-9.0227340000000003E-2</v>
      </c>
      <c r="P54">
        <v>0.99332279999999995</v>
      </c>
      <c r="Q54">
        <v>0.1016779</v>
      </c>
      <c r="R54">
        <v>-5.4509559999999999E-2</v>
      </c>
      <c r="S54">
        <v>3.0679319999999999</v>
      </c>
      <c r="T54">
        <v>-0.35227249999999999</v>
      </c>
      <c r="U54">
        <v>0.2191467</v>
      </c>
      <c r="V54">
        <v>-3.565099E-2</v>
      </c>
      <c r="W54">
        <v>0.13119139999999899</v>
      </c>
      <c r="X54">
        <v>0.99071580000000004</v>
      </c>
      <c r="Y54">
        <v>-0.15936359999999999</v>
      </c>
      <c r="Z54">
        <v>1.9423570000000001E-2</v>
      </c>
      <c r="AA54">
        <v>0.98702880000000004</v>
      </c>
      <c r="AB54">
        <v>18</v>
      </c>
      <c r="AC54">
        <v>9.8154000000000092</v>
      </c>
      <c r="AD54">
        <v>-1.1066217825219999</v>
      </c>
      <c r="AE54">
        <v>0.67889999999999795</v>
      </c>
      <c r="AF54">
        <v>-1.5426244374365301</v>
      </c>
      <c r="AG54">
        <v>-1.1066217825219999</v>
      </c>
      <c r="AH54">
        <v>9.5926937313587803</v>
      </c>
      <c r="AI54">
        <v>96.4978483926308</v>
      </c>
      <c r="AJ54">
        <v>99.13565834584</v>
      </c>
      <c r="AK54">
        <v>9.7787563088655904</v>
      </c>
    </row>
    <row r="55" spans="1:37" x14ac:dyDescent="0.2">
      <c r="A55" t="str">
        <f>"20200111150442788"</f>
        <v>20200111150442788</v>
      </c>
      <c r="B55" t="str">
        <f>"1578726282782978"</f>
        <v>1578726282782978</v>
      </c>
      <c r="C55" t="s">
        <v>37</v>
      </c>
      <c r="D55">
        <v>4.6726570000000001</v>
      </c>
      <c r="E55">
        <v>0.4538952</v>
      </c>
      <c r="F55" t="s">
        <v>40</v>
      </c>
      <c r="G55">
        <v>-472.68209999999999</v>
      </c>
      <c r="H55" s="1">
        <v>-5.9241959999999999E-6</v>
      </c>
      <c r="I55">
        <v>368.28820000000002</v>
      </c>
      <c r="J55">
        <v>-482.35140000000001</v>
      </c>
      <c r="K55">
        <v>1.1067639999999901</v>
      </c>
      <c r="L55">
        <v>367.62599999999998</v>
      </c>
      <c r="M55">
        <v>0.99496669999999998</v>
      </c>
      <c r="N55">
        <v>0</v>
      </c>
      <c r="O55">
        <v>-9.5649699999999893E-2</v>
      </c>
      <c r="P55">
        <v>0.993085</v>
      </c>
      <c r="Q55">
        <v>0.1018481</v>
      </c>
      <c r="R55">
        <v>-5.8390320000000002E-2</v>
      </c>
      <c r="S55">
        <v>3.0687259999999998</v>
      </c>
      <c r="T55">
        <v>-0.357879</v>
      </c>
      <c r="U55">
        <v>0.21743769999999901</v>
      </c>
      <c r="V55">
        <v>-3.7225319999999999E-2</v>
      </c>
      <c r="W55">
        <v>0.131414</v>
      </c>
      <c r="X55">
        <v>0.99062839999999996</v>
      </c>
      <c r="Y55">
        <v>-0.16405449999999999</v>
      </c>
      <c r="Z55">
        <v>2.062688E-2</v>
      </c>
      <c r="AA55">
        <v>0.98623559999999999</v>
      </c>
      <c r="AB55">
        <v>18</v>
      </c>
      <c r="AC55">
        <v>9.6693000000000193</v>
      </c>
      <c r="AD55">
        <v>-1.1067699241959901</v>
      </c>
      <c r="AE55">
        <v>0.66220000000004098</v>
      </c>
      <c r="AF55">
        <v>-1.5640438969206001</v>
      </c>
      <c r="AG55">
        <v>-1.1067699241959901</v>
      </c>
      <c r="AH55">
        <v>9.4384776380043096</v>
      </c>
      <c r="AI55">
        <v>96.598868065438495</v>
      </c>
      <c r="AJ55">
        <v>99.408945594815705</v>
      </c>
      <c r="AK55">
        <v>9.6309933599658795</v>
      </c>
    </row>
    <row r="56" spans="1:37" x14ac:dyDescent="0.2">
      <c r="A56" t="str">
        <f>"20200111150442810"</f>
        <v>20200111150442810</v>
      </c>
      <c r="B56" t="str">
        <f>"1578726282803312"</f>
        <v>1578726282803312</v>
      </c>
      <c r="C56" t="s">
        <v>37</v>
      </c>
      <c r="D56">
        <v>4.7059030000000002</v>
      </c>
      <c r="E56">
        <v>0.45400289999999999</v>
      </c>
      <c r="F56" t="s">
        <v>40</v>
      </c>
      <c r="G56">
        <v>-472.9006</v>
      </c>
      <c r="H56" s="1">
        <v>-6.0107190000000002E-6</v>
      </c>
      <c r="I56">
        <v>368.265999999999</v>
      </c>
      <c r="J56">
        <v>-482.52550000000002</v>
      </c>
      <c r="K56">
        <v>1.1069309999999899</v>
      </c>
      <c r="L56">
        <v>367.63659999999999</v>
      </c>
      <c r="M56">
        <v>0.9944267</v>
      </c>
      <c r="N56">
        <v>0</v>
      </c>
      <c r="O56">
        <v>-0.1010867</v>
      </c>
      <c r="P56">
        <v>0.99281620000000004</v>
      </c>
      <c r="Q56">
        <v>0.1011995</v>
      </c>
      <c r="R56">
        <v>-6.3835929999999999E-2</v>
      </c>
      <c r="S56">
        <v>3.0700069999999999</v>
      </c>
      <c r="T56">
        <v>-0.3595257</v>
      </c>
      <c r="U56">
        <v>0.20788570000000001</v>
      </c>
      <c r="V56">
        <v>-3.7257970000000001E-2</v>
      </c>
      <c r="W56">
        <v>0.13083349999999999</v>
      </c>
      <c r="X56">
        <v>0.99070400000000003</v>
      </c>
      <c r="Y56">
        <v>-0.16629430000000001</v>
      </c>
      <c r="Z56">
        <v>2.147779E-2</v>
      </c>
      <c r="AA56">
        <v>0.985842199999999</v>
      </c>
      <c r="AB56">
        <v>18</v>
      </c>
      <c r="AC56">
        <v>9.6249000000000198</v>
      </c>
      <c r="AD56">
        <v>-1.106937010719</v>
      </c>
      <c r="AE56">
        <v>0.62939999999997498</v>
      </c>
      <c r="AF56">
        <v>-1.5787660819209199</v>
      </c>
      <c r="AG56">
        <v>-1.106937010719</v>
      </c>
      <c r="AH56">
        <v>9.3882533056500002</v>
      </c>
      <c r="AI56">
        <v>96.632227812441499</v>
      </c>
      <c r="AJ56">
        <v>99.545773221774994</v>
      </c>
      <c r="AK56">
        <v>9.5842116012832097</v>
      </c>
    </row>
    <row r="57" spans="1:37" x14ac:dyDescent="0.2">
      <c r="A57" t="str">
        <f>"20200111150442833"</f>
        <v>20200111150442833</v>
      </c>
      <c r="B57" t="str">
        <f>"1578726282822831"</f>
        <v>1578726282822831</v>
      </c>
      <c r="C57" t="s">
        <v>37</v>
      </c>
      <c r="D57">
        <v>4.7576869999999998</v>
      </c>
      <c r="E57">
        <v>0.4538915</v>
      </c>
      <c r="F57" t="s">
        <v>40</v>
      </c>
      <c r="G57">
        <v>-473.15179999999998</v>
      </c>
      <c r="H57" s="1">
        <v>-6.1014559999999903E-6</v>
      </c>
      <c r="I57">
        <v>368.2217</v>
      </c>
      <c r="J57">
        <v>-482.7183</v>
      </c>
      <c r="K57">
        <v>1.1071279999999999</v>
      </c>
      <c r="L57">
        <v>367.649</v>
      </c>
      <c r="M57">
        <v>0.99377209999999905</v>
      </c>
      <c r="N57">
        <v>0</v>
      </c>
      <c r="O57">
        <v>-0.10729949999999901</v>
      </c>
      <c r="P57">
        <v>0.99231469999999899</v>
      </c>
      <c r="Q57">
        <v>0.10036009999999999</v>
      </c>
      <c r="R57">
        <v>-7.2385199999999997E-2</v>
      </c>
      <c r="S57">
        <v>3.0709840000000002</v>
      </c>
      <c r="T57">
        <v>-0.36265209999999998</v>
      </c>
      <c r="U57">
        <v>0.1917114</v>
      </c>
      <c r="V57">
        <v>-3.496966E-2</v>
      </c>
      <c r="W57">
        <v>0.1300965</v>
      </c>
      <c r="X57">
        <v>0.99088449999999995</v>
      </c>
      <c r="Y57">
        <v>-0.16718359999999999</v>
      </c>
      <c r="Z57">
        <v>2.2440559999999998E-2</v>
      </c>
      <c r="AA57">
        <v>0.98567039999999995</v>
      </c>
      <c r="AB57">
        <v>18</v>
      </c>
      <c r="AC57">
        <v>9.5665000000000102</v>
      </c>
      <c r="AD57">
        <v>-1.1071341014560001</v>
      </c>
      <c r="AE57">
        <v>0.57269999999999699</v>
      </c>
      <c r="AF57">
        <v>-1.5753119141718801</v>
      </c>
      <c r="AG57">
        <v>-1.1071341014560001</v>
      </c>
      <c r="AH57">
        <v>9.3252895069812194</v>
      </c>
      <c r="AI57">
        <v>96.676953661430204</v>
      </c>
      <c r="AJ57">
        <v>99.588395099496594</v>
      </c>
      <c r="AK57">
        <v>9.5219944305041899</v>
      </c>
    </row>
    <row r="58" spans="1:37" x14ac:dyDescent="0.2">
      <c r="A58" t="str">
        <f>"20200111150442856"</f>
        <v>20200111150442856</v>
      </c>
      <c r="B58" t="str">
        <f>"1578726282853086"</f>
        <v>1578726282853086</v>
      </c>
      <c r="C58" t="s">
        <v>37</v>
      </c>
      <c r="D58">
        <v>4.8103069999999999</v>
      </c>
      <c r="E58">
        <v>0.45409179999999999</v>
      </c>
      <c r="F58" t="s">
        <v>40</v>
      </c>
      <c r="G58">
        <v>-473.4753</v>
      </c>
      <c r="H58" s="1">
        <v>-6.21275099999999E-6</v>
      </c>
      <c r="I58">
        <v>368.15280000000001</v>
      </c>
      <c r="J58">
        <v>-482.91050000000001</v>
      </c>
      <c r="K58">
        <v>1.1073459999999999</v>
      </c>
      <c r="L58">
        <v>367.66250000000002</v>
      </c>
      <c r="M58">
        <v>0.99305919999999903</v>
      </c>
      <c r="N58">
        <v>0</v>
      </c>
      <c r="O58">
        <v>-0.11367439999999999</v>
      </c>
      <c r="P58">
        <v>0.99141440000000003</v>
      </c>
      <c r="Q58">
        <v>0.1005505</v>
      </c>
      <c r="R58">
        <v>-8.358873E-2</v>
      </c>
      <c r="S58">
        <v>3.0726930000000001</v>
      </c>
      <c r="T58">
        <v>-0.36804989999999999</v>
      </c>
      <c r="U58">
        <v>0.1674805</v>
      </c>
      <c r="V58">
        <v>-3.0177849999999999E-2</v>
      </c>
      <c r="W58">
        <v>0.13042409999999999</v>
      </c>
      <c r="X58">
        <v>0.99099889999999902</v>
      </c>
      <c r="Y58">
        <v>-0.16563839999999999</v>
      </c>
      <c r="Z58">
        <v>2.342967E-2</v>
      </c>
      <c r="AA58">
        <v>0.98590820000000001</v>
      </c>
      <c r="AB58">
        <v>19</v>
      </c>
      <c r="AC58">
        <v>9.4352</v>
      </c>
      <c r="AD58">
        <v>-1.1073522127509901</v>
      </c>
      <c r="AE58">
        <v>0.49029999999999002</v>
      </c>
      <c r="AF58">
        <v>-1.53900722113295</v>
      </c>
      <c r="AG58">
        <v>-1.1073522127509901</v>
      </c>
      <c r="AH58">
        <v>9.1919539235659098</v>
      </c>
      <c r="AI58">
        <v>96.775881724117696</v>
      </c>
      <c r="AJ58">
        <v>99.504860815164307</v>
      </c>
      <c r="AK58">
        <v>9.3854562533071704</v>
      </c>
    </row>
    <row r="59" spans="1:37" x14ac:dyDescent="0.2">
      <c r="A59" t="str">
        <f>"20200111150442878"</f>
        <v>20200111150442878</v>
      </c>
      <c r="B59" t="str">
        <f>"1578726282873583"</f>
        <v>1578726282873583</v>
      </c>
      <c r="C59" t="s">
        <v>37</v>
      </c>
      <c r="D59">
        <v>4.9147030000000003</v>
      </c>
      <c r="E59">
        <v>0.45396520000000001</v>
      </c>
      <c r="F59" t="s">
        <v>40</v>
      </c>
      <c r="G59">
        <v>-473.72329999999999</v>
      </c>
      <c r="H59" s="1">
        <v>-6.2791039999999998E-6</v>
      </c>
      <c r="I59">
        <v>368.05939999999998</v>
      </c>
      <c r="J59">
        <v>-483.10860000000002</v>
      </c>
      <c r="K59">
        <v>1.107602</v>
      </c>
      <c r="L59">
        <v>367.67759999999998</v>
      </c>
      <c r="M59">
        <v>0.99226519999999996</v>
      </c>
      <c r="N59">
        <v>0</v>
      </c>
      <c r="O59">
        <v>-0.12036529999999999</v>
      </c>
      <c r="P59">
        <v>0.99019439999999903</v>
      </c>
      <c r="Q59">
        <v>0.1018073</v>
      </c>
      <c r="R59">
        <v>-9.5657500000000006E-2</v>
      </c>
      <c r="S59">
        <v>3.0747680000000002</v>
      </c>
      <c r="T59">
        <v>-0.37060890000000002</v>
      </c>
      <c r="U59">
        <v>0.13284299999999999</v>
      </c>
      <c r="V59">
        <v>-2.4827740000000001E-2</v>
      </c>
      <c r="W59">
        <v>0.13185459999999999</v>
      </c>
      <c r="X59">
        <v>0.99095809999999995</v>
      </c>
      <c r="Y59">
        <v>-0.16112499999999999</v>
      </c>
      <c r="Z59">
        <v>2.4109390000000001E-2</v>
      </c>
      <c r="AA59">
        <v>0.9866395</v>
      </c>
      <c r="AB59">
        <v>19</v>
      </c>
      <c r="AC59">
        <v>9.3853000000000293</v>
      </c>
      <c r="AD59">
        <v>-1.1076082791040001</v>
      </c>
      <c r="AE59">
        <v>0.38179999999999797</v>
      </c>
      <c r="AF59">
        <v>-1.4885100732401999</v>
      </c>
      <c r="AG59">
        <v>-1.1076082791040001</v>
      </c>
      <c r="AH59">
        <v>9.1438840013517204</v>
      </c>
      <c r="AI59">
        <v>96.817766678848898</v>
      </c>
      <c r="AJ59">
        <v>99.245934606274602</v>
      </c>
      <c r="AK59">
        <v>9.3302236290591303</v>
      </c>
    </row>
    <row r="60" spans="1:37" x14ac:dyDescent="0.2">
      <c r="A60" t="str">
        <f>"20200111150442901"</f>
        <v>20200111150442901</v>
      </c>
      <c r="B60" t="str">
        <f>"1578726282893103"</f>
        <v>1578726282893103</v>
      </c>
      <c r="C60" t="s">
        <v>37</v>
      </c>
      <c r="D60">
        <v>4.7720019999999996</v>
      </c>
      <c r="E60">
        <v>0.45398270000000002</v>
      </c>
      <c r="F60" t="s">
        <v>40</v>
      </c>
      <c r="G60">
        <v>-473.7081</v>
      </c>
      <c r="H60" s="1">
        <v>-6.2316169999999996E-6</v>
      </c>
      <c r="I60">
        <v>367.97210000000001</v>
      </c>
      <c r="J60">
        <v>-483.31659999999999</v>
      </c>
      <c r="K60">
        <v>1.1078939999999999</v>
      </c>
      <c r="L60">
        <v>367.69470000000001</v>
      </c>
      <c r="M60">
        <v>0.99137749999999902</v>
      </c>
      <c r="N60">
        <v>0</v>
      </c>
      <c r="O60">
        <v>-0.12742020000000001</v>
      </c>
      <c r="P60">
        <v>0.98905959999999904</v>
      </c>
      <c r="Q60">
        <v>0.10276969999999901</v>
      </c>
      <c r="R60">
        <v>-0.10582950000000001</v>
      </c>
      <c r="S60">
        <v>3.0762939999999999</v>
      </c>
      <c r="T60">
        <v>-0.3624619</v>
      </c>
      <c r="U60">
        <v>9.6405030000000003E-2</v>
      </c>
      <c r="V60">
        <v>-2.175796E-2</v>
      </c>
      <c r="W60">
        <v>0.13302910000000001</v>
      </c>
      <c r="X60">
        <v>0.99087329999999996</v>
      </c>
      <c r="Y60">
        <v>-0.15652339999999901</v>
      </c>
      <c r="Z60">
        <v>2.412862E-2</v>
      </c>
      <c r="AA60">
        <v>0.98737949999999997</v>
      </c>
      <c r="AB60">
        <v>20</v>
      </c>
      <c r="AC60">
        <v>9.6084999999999905</v>
      </c>
      <c r="AD60">
        <v>-1.1079002316169999</v>
      </c>
      <c r="AE60">
        <v>0.27739999999999998</v>
      </c>
      <c r="AF60">
        <v>-1.4803612526471901</v>
      </c>
      <c r="AG60">
        <v>-1.1079002316169999</v>
      </c>
      <c r="AH60">
        <v>9.3702684847937601</v>
      </c>
      <c r="AI60">
        <v>96.661239401386396</v>
      </c>
      <c r="AJ60">
        <v>98.977668782150602</v>
      </c>
      <c r="AK60">
        <v>9.5509603621141306</v>
      </c>
    </row>
    <row r="61" spans="1:37" x14ac:dyDescent="0.2">
      <c r="A61" t="str">
        <f>"20200111150442922"</f>
        <v>20200111150442922</v>
      </c>
      <c r="B61" t="str">
        <f>"1578726282912622"</f>
        <v>1578726282912622</v>
      </c>
      <c r="C61" t="s">
        <v>37</v>
      </c>
      <c r="D61">
        <v>4.934018</v>
      </c>
      <c r="E61">
        <v>0.50565119999999997</v>
      </c>
      <c r="F61" t="s">
        <v>40</v>
      </c>
      <c r="G61">
        <v>-473.86099999999999</v>
      </c>
      <c r="H61" s="1">
        <v>-6.2612049999999998E-6</v>
      </c>
      <c r="I61">
        <v>367.8904</v>
      </c>
      <c r="J61">
        <v>-483.5025</v>
      </c>
      <c r="K61">
        <v>1.1082000000000001</v>
      </c>
      <c r="L61">
        <v>367.71120000000002</v>
      </c>
      <c r="M61">
        <v>0.99055119999999897</v>
      </c>
      <c r="N61">
        <v>0</v>
      </c>
      <c r="O61">
        <v>-0.1336398</v>
      </c>
      <c r="P61">
        <v>0.98823700000000003</v>
      </c>
      <c r="Q61">
        <v>0.1019919</v>
      </c>
      <c r="R61">
        <v>-0.11395569999999999</v>
      </c>
      <c r="S61">
        <v>3.077423</v>
      </c>
      <c r="T61">
        <v>-0.36057620000000001</v>
      </c>
      <c r="U61">
        <v>6.3690189999999994E-2</v>
      </c>
      <c r="V61">
        <v>-1.9924279999999999E-2</v>
      </c>
      <c r="W61">
        <v>0.13247709999999999</v>
      </c>
      <c r="X61">
        <v>0.99098580000000003</v>
      </c>
      <c r="Y61">
        <v>-0.152228</v>
      </c>
      <c r="Z61">
        <v>2.4467579999999999E-2</v>
      </c>
      <c r="AA61">
        <v>0.98804249999999905</v>
      </c>
      <c r="AB61">
        <v>20</v>
      </c>
      <c r="AC61">
        <v>9.6415000000000006</v>
      </c>
      <c r="AD61">
        <v>-1.1082062612050001</v>
      </c>
      <c r="AE61">
        <v>0.17919999999997999</v>
      </c>
      <c r="AF61">
        <v>-1.44757281653801</v>
      </c>
      <c r="AG61">
        <v>-1.1082062612050001</v>
      </c>
      <c r="AH61">
        <v>9.4067391699397795</v>
      </c>
      <c r="AI61">
        <v>96.641565826493405</v>
      </c>
      <c r="AJ61">
        <v>98.7484362274934</v>
      </c>
      <c r="AK61">
        <v>9.5817707125475007</v>
      </c>
    </row>
    <row r="62" spans="1:37" x14ac:dyDescent="0.2">
      <c r="A62" t="str">
        <f>"20200111150442943"</f>
        <v>20200111150442943</v>
      </c>
      <c r="B62" t="str">
        <f>"1578726282933119"</f>
        <v>1578726282933119</v>
      </c>
      <c r="C62" t="s">
        <v>37</v>
      </c>
      <c r="D62">
        <v>4.9852949999999998</v>
      </c>
      <c r="E62">
        <v>0.52372829999999904</v>
      </c>
      <c r="F62" t="s">
        <v>38</v>
      </c>
      <c r="G62">
        <v>-482.89580000000001</v>
      </c>
      <c r="H62">
        <v>0.99807139999999905</v>
      </c>
      <c r="I62">
        <v>367.63799999999998</v>
      </c>
      <c r="J62">
        <v>-483.70359999999999</v>
      </c>
      <c r="K62">
        <v>1.1086049999999901</v>
      </c>
      <c r="L62">
        <v>367.73070000000001</v>
      </c>
      <c r="M62">
        <v>0.98965700000000001</v>
      </c>
      <c r="N62">
        <v>0</v>
      </c>
      <c r="O62">
        <v>-0.14004459999999999</v>
      </c>
      <c r="P62">
        <v>0.98731769999999996</v>
      </c>
      <c r="Q62">
        <v>0.1023051</v>
      </c>
      <c r="R62">
        <v>-0.1213973</v>
      </c>
      <c r="S62">
        <v>3.0505369999999998</v>
      </c>
      <c r="T62">
        <v>-0.5540581</v>
      </c>
      <c r="U62">
        <v>-0.36730959999999901</v>
      </c>
      <c r="V62">
        <v>-1.8985740000000001E-2</v>
      </c>
      <c r="W62">
        <v>0.13305549999999999</v>
      </c>
      <c r="X62">
        <v>0.99092669999999905</v>
      </c>
      <c r="Y62">
        <v>-1.821064E-2</v>
      </c>
      <c r="Z62">
        <v>2.6672499999999998E-2</v>
      </c>
      <c r="AA62">
        <v>0.99947830000000004</v>
      </c>
      <c r="AB62">
        <v>20</v>
      </c>
      <c r="AC62">
        <v>0.80779999999998597</v>
      </c>
      <c r="AD62">
        <v>-0.110533599999999</v>
      </c>
      <c r="AE62">
        <v>-9.2699999999979299E-2</v>
      </c>
      <c r="AF62">
        <v>-2.1008924684368699E-2</v>
      </c>
      <c r="AG62">
        <v>-0.110533599999999</v>
      </c>
      <c r="AH62">
        <v>0.79807169640712905</v>
      </c>
      <c r="AI62">
        <v>97.882652274265396</v>
      </c>
      <c r="AJ62">
        <v>91.507940681982404</v>
      </c>
      <c r="AK62">
        <v>0.80596369909041599</v>
      </c>
    </row>
    <row r="63" spans="1:37" x14ac:dyDescent="0.2">
      <c r="A63" t="str">
        <f>"20200111150442990"</f>
        <v>20200111150442990</v>
      </c>
      <c r="B63" t="str">
        <f>"1578726282982894"</f>
        <v>1578726282982894</v>
      </c>
      <c r="C63" t="s">
        <v>37</v>
      </c>
      <c r="D63">
        <v>4.9455269999999896</v>
      </c>
      <c r="E63">
        <v>0.53651510000000002</v>
      </c>
      <c r="F63" t="s">
        <v>38</v>
      </c>
      <c r="G63">
        <v>-483.09500000000003</v>
      </c>
      <c r="H63">
        <v>0.98122679999999995</v>
      </c>
      <c r="I63">
        <v>367.62389999999999</v>
      </c>
      <c r="J63">
        <v>-484.13900000000001</v>
      </c>
      <c r="K63">
        <v>1.109893</v>
      </c>
      <c r="L63">
        <v>367.77960000000002</v>
      </c>
      <c r="M63">
        <v>0.988131599999999</v>
      </c>
      <c r="N63">
        <v>0</v>
      </c>
      <c r="O63">
        <v>-0.15035179999999901</v>
      </c>
      <c r="P63">
        <v>0.98562229999999995</v>
      </c>
      <c r="Q63">
        <v>0.106311899999999</v>
      </c>
      <c r="R63">
        <v>-0.1313252</v>
      </c>
      <c r="S63">
        <v>3.0389400000000002</v>
      </c>
      <c r="T63">
        <v>-0.63616819999999996</v>
      </c>
      <c r="U63">
        <v>-0.53225710000000004</v>
      </c>
      <c r="V63">
        <v>-1.973571E-2</v>
      </c>
      <c r="W63">
        <v>0.1373644</v>
      </c>
      <c r="X63">
        <v>0.99032399999999998</v>
      </c>
      <c r="Y63">
        <v>2.498891E-2</v>
      </c>
      <c r="Z63">
        <v>2.816712E-2</v>
      </c>
      <c r="AA63">
        <v>0.99929080000000003</v>
      </c>
      <c r="AB63">
        <v>21</v>
      </c>
      <c r="AC63">
        <v>1.0439999999999801</v>
      </c>
      <c r="AD63">
        <v>-0.12866620000000001</v>
      </c>
      <c r="AE63">
        <v>-0.15570000000002401</v>
      </c>
      <c r="AF63">
        <v>-3.0711008085772202E-3</v>
      </c>
      <c r="AG63">
        <v>-0.12866620000000001</v>
      </c>
      <c r="AH63">
        <v>1.0400878179602</v>
      </c>
      <c r="AI63">
        <v>97.052033703145597</v>
      </c>
      <c r="AJ63">
        <v>90.169178602397807</v>
      </c>
      <c r="AK63">
        <v>1.04802055884025</v>
      </c>
    </row>
    <row r="64" spans="1:37" x14ac:dyDescent="0.2">
      <c r="A64" t="str">
        <f>"20200111150443011"</f>
        <v>20200111150443011</v>
      </c>
      <c r="B64" t="str">
        <f>"1578726283002922"</f>
        <v>1578726283002922</v>
      </c>
      <c r="C64" t="s">
        <v>37</v>
      </c>
      <c r="D64">
        <v>5.0015559999999999</v>
      </c>
      <c r="E64">
        <v>0.53796599999999895</v>
      </c>
      <c r="F64" t="s">
        <v>38</v>
      </c>
      <c r="G64">
        <v>-483.48849999999999</v>
      </c>
      <c r="H64">
        <v>0.96456719999999896</v>
      </c>
      <c r="I64">
        <v>367.63690000000003</v>
      </c>
      <c r="J64">
        <v>-484.34949999999998</v>
      </c>
      <c r="K64">
        <v>1.11056</v>
      </c>
      <c r="L64">
        <v>367.80739999999997</v>
      </c>
      <c r="M64">
        <v>0.98795489999999997</v>
      </c>
      <c r="N64">
        <v>0</v>
      </c>
      <c r="O64">
        <v>-0.15160309999999999</v>
      </c>
      <c r="P64">
        <v>0.9853904</v>
      </c>
      <c r="Q64">
        <v>0.10747760000000001</v>
      </c>
      <c r="R64">
        <v>-0.13211529999999999</v>
      </c>
      <c r="S64">
        <v>3.028381</v>
      </c>
      <c r="T64">
        <v>-0.67670269999999899</v>
      </c>
      <c r="U64">
        <v>-0.66345209999999999</v>
      </c>
      <c r="V64">
        <v>-2.0464799999999998E-2</v>
      </c>
      <c r="W64">
        <v>0.1380246</v>
      </c>
      <c r="X64">
        <v>0.99021729999999997</v>
      </c>
      <c r="Y64">
        <v>6.5359199999999895E-2</v>
      </c>
      <c r="Z64">
        <v>2.5738649999999998E-2</v>
      </c>
      <c r="AA64">
        <v>0.99752980000000002</v>
      </c>
      <c r="AB64">
        <v>21</v>
      </c>
      <c r="AC64">
        <v>0.86099999999999</v>
      </c>
      <c r="AD64">
        <v>-0.14599280000000001</v>
      </c>
      <c r="AE64">
        <v>-0.170499999999947</v>
      </c>
      <c r="AF64">
        <v>3.6913036627997303E-2</v>
      </c>
      <c r="AG64">
        <v>-0.14599280000000001</v>
      </c>
      <c r="AH64">
        <v>0.85329176820907204</v>
      </c>
      <c r="AI64">
        <v>99.700036118400504</v>
      </c>
      <c r="AJ64">
        <v>87.522953508073599</v>
      </c>
      <c r="AK64">
        <v>0.86647753093678304</v>
      </c>
    </row>
    <row r="65" spans="1:37" x14ac:dyDescent="0.2">
      <c r="A65" t="str">
        <f>"20200111150443036"</f>
        <v>20200111150443036</v>
      </c>
      <c r="B65" t="str">
        <f>"1578726283033178"</f>
        <v>1578726283033178</v>
      </c>
      <c r="C65" t="s">
        <v>37</v>
      </c>
      <c r="D65">
        <v>5.0827869999999997</v>
      </c>
      <c r="E65">
        <v>0.53837440000000003</v>
      </c>
      <c r="F65" t="s">
        <v>38</v>
      </c>
      <c r="G65">
        <v>-483.68619999999999</v>
      </c>
      <c r="H65">
        <v>0.95638909999999999</v>
      </c>
      <c r="I65">
        <v>367.65980000000002</v>
      </c>
      <c r="J65">
        <v>-484.57229999999998</v>
      </c>
      <c r="K65">
        <v>1.111084</v>
      </c>
      <c r="L65">
        <v>367.84050000000002</v>
      </c>
      <c r="M65">
        <v>0.98821399999999904</v>
      </c>
      <c r="N65">
        <v>0</v>
      </c>
      <c r="O65">
        <v>-0.15016479999999999</v>
      </c>
      <c r="P65">
        <v>0.98555230000000005</v>
      </c>
      <c r="Q65">
        <v>0.10768800000000001</v>
      </c>
      <c r="R65">
        <v>-0.13072990000000001</v>
      </c>
      <c r="S65">
        <v>3.0308839999999999</v>
      </c>
      <c r="T65">
        <v>-0.7045593</v>
      </c>
      <c r="U65">
        <v>-0.67437740000000002</v>
      </c>
      <c r="V65">
        <v>-2.0682820000000001E-2</v>
      </c>
      <c r="W65">
        <v>0.13692739999999901</v>
      </c>
      <c r="X65">
        <v>0.9903651</v>
      </c>
      <c r="Y65">
        <v>7.007919E-2</v>
      </c>
      <c r="Z65">
        <v>2.5881890000000001E-2</v>
      </c>
      <c r="AA65">
        <v>0.99720560000000003</v>
      </c>
      <c r="AB65">
        <v>22</v>
      </c>
      <c r="AC65">
        <v>0.886099999999999</v>
      </c>
      <c r="AD65">
        <v>-0.154694899999999</v>
      </c>
      <c r="AE65">
        <v>-0.180700000000001</v>
      </c>
      <c r="AF65">
        <v>4.4234994020414101E-2</v>
      </c>
      <c r="AG65">
        <v>-0.154694899999999</v>
      </c>
      <c r="AH65">
        <v>0.87751329373842701</v>
      </c>
      <c r="AI65">
        <v>99.9854002151163</v>
      </c>
      <c r="AJ65">
        <v>87.114191946751504</v>
      </c>
      <c r="AK65">
        <v>0.89214170817738303</v>
      </c>
    </row>
    <row r="66" spans="1:37" x14ac:dyDescent="0.2">
      <c r="A66" t="str">
        <f>"20200111150443058"</f>
        <v>20200111150443058</v>
      </c>
      <c r="B66" t="str">
        <f>"1578726283053674"</f>
        <v>1578726283053674</v>
      </c>
      <c r="C66" t="s">
        <v>37</v>
      </c>
      <c r="D66">
        <v>5.051844</v>
      </c>
      <c r="E66">
        <v>0.53858569999999995</v>
      </c>
      <c r="F66" t="s">
        <v>38</v>
      </c>
      <c r="G66">
        <v>-484.0564</v>
      </c>
      <c r="H66">
        <v>0.98492309999999905</v>
      </c>
      <c r="I66">
        <v>367.72669999999999</v>
      </c>
      <c r="J66">
        <v>-484.78030000000001</v>
      </c>
      <c r="K66">
        <v>1.111137</v>
      </c>
      <c r="L66">
        <v>367.87419999999997</v>
      </c>
      <c r="M66">
        <v>0.98859949999999996</v>
      </c>
      <c r="N66">
        <v>0</v>
      </c>
      <c r="O66">
        <v>-0.1479375</v>
      </c>
      <c r="P66">
        <v>0.98589400000000005</v>
      </c>
      <c r="Q66">
        <v>0.1078532</v>
      </c>
      <c r="R66">
        <v>-0.1279875</v>
      </c>
      <c r="S66">
        <v>3.0363159999999998</v>
      </c>
      <c r="T66">
        <v>-0.74253169999999902</v>
      </c>
      <c r="U66">
        <v>-0.66973879999999997</v>
      </c>
      <c r="V66">
        <v>-2.132353E-2</v>
      </c>
      <c r="W66">
        <v>0.1353704</v>
      </c>
      <c r="X66">
        <v>0.99056559999999905</v>
      </c>
      <c r="Y66">
        <v>7.0638960000000001E-2</v>
      </c>
      <c r="Z66">
        <v>2.6607769999999999E-2</v>
      </c>
      <c r="AA66">
        <v>0.99714699999999901</v>
      </c>
      <c r="AB66">
        <v>22</v>
      </c>
      <c r="AC66">
        <v>0.72390000000001398</v>
      </c>
      <c r="AD66">
        <v>-0.12621389999999999</v>
      </c>
      <c r="AE66">
        <v>-0.14749999999997901</v>
      </c>
      <c r="AF66">
        <v>3.7642999591440102E-2</v>
      </c>
      <c r="AG66">
        <v>-0.12621389999999999</v>
      </c>
      <c r="AH66">
        <v>0.71683543815500195</v>
      </c>
      <c r="AI66">
        <v>99.972308576806398</v>
      </c>
      <c r="AJ66">
        <v>86.994002172490895</v>
      </c>
      <c r="AK66">
        <v>0.72883467903655996</v>
      </c>
    </row>
    <row r="67" spans="1:37" x14ac:dyDescent="0.2">
      <c r="A67" t="str">
        <f>"20200111150443080"</f>
        <v>20200111150443080</v>
      </c>
      <c r="B67" t="str">
        <f>"1578726283073194"</f>
        <v>1578726283073194</v>
      </c>
      <c r="C67" t="s">
        <v>37</v>
      </c>
      <c r="D67">
        <v>5.0842179999999999</v>
      </c>
      <c r="E67">
        <v>0.53908109999999998</v>
      </c>
      <c r="F67" t="s">
        <v>38</v>
      </c>
      <c r="G67">
        <v>-484.25099999999998</v>
      </c>
      <c r="H67">
        <v>0.97887209999999902</v>
      </c>
      <c r="I67">
        <v>367.75909999999999</v>
      </c>
      <c r="J67">
        <v>-485.00330000000002</v>
      </c>
      <c r="K67">
        <v>1.1104209999999901</v>
      </c>
      <c r="L67">
        <v>367.91230000000002</v>
      </c>
      <c r="M67">
        <v>0.98891659999999904</v>
      </c>
      <c r="N67">
        <v>0</v>
      </c>
      <c r="O67">
        <v>-0.14617810000000001</v>
      </c>
      <c r="P67">
        <v>0.98617149999999998</v>
      </c>
      <c r="Q67">
        <v>0.1095267</v>
      </c>
      <c r="R67">
        <v>-0.12437709999999901</v>
      </c>
      <c r="S67">
        <v>3.040314</v>
      </c>
      <c r="T67">
        <v>-0.76001430000000003</v>
      </c>
      <c r="U67">
        <v>-0.66073609999999905</v>
      </c>
      <c r="V67">
        <v>-2.304345E-2</v>
      </c>
      <c r="W67">
        <v>0.1350208</v>
      </c>
      <c r="X67">
        <v>0.99057479999999998</v>
      </c>
      <c r="Y67">
        <v>6.9410180000000002E-2</v>
      </c>
      <c r="Z67">
        <v>2.6918580000000001E-2</v>
      </c>
      <c r="AA67">
        <v>0.99722500000000003</v>
      </c>
      <c r="AB67">
        <v>22</v>
      </c>
      <c r="AC67">
        <v>0.75230000000004704</v>
      </c>
      <c r="AD67">
        <v>-0.131548899999999</v>
      </c>
      <c r="AE67">
        <v>-0.15320000000002601</v>
      </c>
      <c r="AF67">
        <v>4.0361302813740202E-2</v>
      </c>
      <c r="AG67">
        <v>-0.131548899999999</v>
      </c>
      <c r="AH67">
        <v>0.74475023711171096</v>
      </c>
      <c r="AI67">
        <v>100.00272947046101</v>
      </c>
      <c r="AJ67">
        <v>86.897923387844401</v>
      </c>
      <c r="AK67">
        <v>0.75735530864580503</v>
      </c>
    </row>
    <row r="68" spans="1:37" x14ac:dyDescent="0.2">
      <c r="A68" t="str">
        <f>"20200111150443101"</f>
        <v>20200111150443101</v>
      </c>
      <c r="B68" t="str">
        <f>"1578726283093219"</f>
        <v>1578726283093219</v>
      </c>
      <c r="C68" t="s">
        <v>37</v>
      </c>
      <c r="D68">
        <v>5.0707149999999999</v>
      </c>
      <c r="E68">
        <v>0.53922219999999998</v>
      </c>
      <c r="F68" t="s">
        <v>38</v>
      </c>
      <c r="G68">
        <v>-484.44549999999998</v>
      </c>
      <c r="H68">
        <v>0.97045539999999997</v>
      </c>
      <c r="I68">
        <v>367.79250000000002</v>
      </c>
      <c r="J68">
        <v>-485.20249999999999</v>
      </c>
      <c r="K68">
        <v>1.109119</v>
      </c>
      <c r="L68">
        <v>367.9468</v>
      </c>
      <c r="M68">
        <v>0.98904059999999905</v>
      </c>
      <c r="N68">
        <v>0</v>
      </c>
      <c r="O68">
        <v>-0.14563899999999999</v>
      </c>
      <c r="P68">
        <v>0.98619539999999895</v>
      </c>
      <c r="Q68">
        <v>0.1120954</v>
      </c>
      <c r="R68">
        <v>-0.1218747</v>
      </c>
      <c r="S68">
        <v>3.0444640000000001</v>
      </c>
      <c r="T68">
        <v>-0.76404259999999902</v>
      </c>
      <c r="U68">
        <v>-0.65356449999999999</v>
      </c>
      <c r="V68">
        <v>-2.4640309999999999E-2</v>
      </c>
      <c r="W68">
        <v>0.13588439999999999</v>
      </c>
      <c r="X68">
        <v>0.99041829999999997</v>
      </c>
      <c r="Y68">
        <v>6.7492999999999997E-2</v>
      </c>
      <c r="Z68">
        <v>2.7133129999999998E-2</v>
      </c>
      <c r="AA68">
        <v>0.99735079999999998</v>
      </c>
      <c r="AB68">
        <v>22</v>
      </c>
      <c r="AC68">
        <v>0.757000000000005</v>
      </c>
      <c r="AD68">
        <v>-0.1386636</v>
      </c>
      <c r="AE68">
        <v>-0.15429999999997701</v>
      </c>
      <c r="AF68">
        <v>4.1050277428370398E-2</v>
      </c>
      <c r="AG68">
        <v>-0.1386636</v>
      </c>
      <c r="AH68">
        <v>0.74732769844525304</v>
      </c>
      <c r="AI68">
        <v>100.495988462729</v>
      </c>
      <c r="AJ68">
        <v>86.855935625346802</v>
      </c>
      <c r="AK68">
        <v>0.76119078298767195</v>
      </c>
    </row>
    <row r="69" spans="1:37" x14ac:dyDescent="0.2">
      <c r="A69" t="str">
        <f>"20200111150443125"</f>
        <v>20200111150443125</v>
      </c>
      <c r="B69" t="str">
        <f>"1578726283113716"</f>
        <v>1578726283113716</v>
      </c>
      <c r="C69" t="s">
        <v>37</v>
      </c>
      <c r="D69">
        <v>5.0242129999999996</v>
      </c>
      <c r="E69">
        <v>0.53949369999999996</v>
      </c>
      <c r="F69" t="s">
        <v>38</v>
      </c>
      <c r="G69">
        <v>-484.63659999999999</v>
      </c>
      <c r="H69">
        <v>0.96671019999999896</v>
      </c>
      <c r="I69">
        <v>367.825999999999</v>
      </c>
      <c r="J69">
        <v>-485.42939999999999</v>
      </c>
      <c r="K69">
        <v>1.1071580000000001</v>
      </c>
      <c r="L69">
        <v>367.98500000000001</v>
      </c>
      <c r="M69">
        <v>0.98902610000000002</v>
      </c>
      <c r="N69">
        <v>0</v>
      </c>
      <c r="O69">
        <v>-0.14603050000000001</v>
      </c>
      <c r="P69">
        <v>0.98595370000000004</v>
      </c>
      <c r="Q69">
        <v>0.115436699999999</v>
      </c>
      <c r="R69">
        <v>-0.12070599999999999</v>
      </c>
      <c r="S69">
        <v>3.0490719999999998</v>
      </c>
      <c r="T69">
        <v>-0.76742379999999999</v>
      </c>
      <c r="U69">
        <v>-0.64865109999999904</v>
      </c>
      <c r="V69">
        <v>-2.557487E-2</v>
      </c>
      <c r="W69">
        <v>0.13748949999999999</v>
      </c>
      <c r="X69">
        <v>0.99017299999999997</v>
      </c>
      <c r="Y69">
        <v>6.5346570000000007E-2</v>
      </c>
      <c r="Z69">
        <v>2.757225E-2</v>
      </c>
      <c r="AA69">
        <v>0.99748159999999897</v>
      </c>
      <c r="AB69">
        <v>21</v>
      </c>
      <c r="AC69">
        <v>0.79279999999999895</v>
      </c>
      <c r="AD69">
        <v>-0.14044780000000001</v>
      </c>
      <c r="AE69">
        <v>-0.15900000000004799</v>
      </c>
      <c r="AF69">
        <v>4.0277422154264698E-2</v>
      </c>
      <c r="AG69">
        <v>-0.14044780000000001</v>
      </c>
      <c r="AH69">
        <v>0.78387215904004204</v>
      </c>
      <c r="AI69">
        <v>100.144900123149</v>
      </c>
      <c r="AJ69">
        <v>87.058578303540699</v>
      </c>
      <c r="AK69">
        <v>0.79737282182071501</v>
      </c>
    </row>
    <row r="70" spans="1:37" x14ac:dyDescent="0.2">
      <c r="A70" t="str">
        <f>"20200111150443145"</f>
        <v>20200111150443145</v>
      </c>
      <c r="B70" t="str">
        <f>"1578726283133237"</f>
        <v>1578726283133237</v>
      </c>
      <c r="C70" t="s">
        <v>37</v>
      </c>
      <c r="D70">
        <v>5.0443769999999999</v>
      </c>
      <c r="E70">
        <v>0.53971630000000004</v>
      </c>
      <c r="F70" t="s">
        <v>38</v>
      </c>
      <c r="G70">
        <v>-484.83030000000002</v>
      </c>
      <c r="H70">
        <v>0.95700379999999996</v>
      </c>
      <c r="I70">
        <v>367.85750000000002</v>
      </c>
      <c r="J70">
        <v>-485.62049999999999</v>
      </c>
      <c r="K70">
        <v>1.1054790000000001</v>
      </c>
      <c r="L70">
        <v>368.01569999999998</v>
      </c>
      <c r="M70">
        <v>0.98892469999999999</v>
      </c>
      <c r="N70">
        <v>0</v>
      </c>
      <c r="O70">
        <v>-0.14692430000000001</v>
      </c>
      <c r="P70">
        <v>0.98564219999999902</v>
      </c>
      <c r="Q70">
        <v>0.11845360000000001</v>
      </c>
      <c r="R70">
        <v>-0.1203272</v>
      </c>
      <c r="S70">
        <v>3.0527340000000001</v>
      </c>
      <c r="T70">
        <v>-0.76520149999999998</v>
      </c>
      <c r="U70">
        <v>-0.65011600000000003</v>
      </c>
      <c r="V70">
        <v>-2.6280080000000001E-2</v>
      </c>
      <c r="W70">
        <v>0.13919239999999999</v>
      </c>
      <c r="X70">
        <v>0.98991659999999904</v>
      </c>
      <c r="Y70">
        <v>6.4689109999999994E-2</v>
      </c>
      <c r="Z70">
        <v>2.7756079999999999E-2</v>
      </c>
      <c r="AA70">
        <v>0.99751939999999995</v>
      </c>
      <c r="AB70">
        <v>21</v>
      </c>
      <c r="AC70">
        <v>0.79019999999997004</v>
      </c>
      <c r="AD70">
        <v>-0.1484752</v>
      </c>
      <c r="AE70">
        <v>-0.15819999999996501</v>
      </c>
      <c r="AF70">
        <v>3.9032286331473702E-2</v>
      </c>
      <c r="AG70">
        <v>-0.1484752</v>
      </c>
      <c r="AH70">
        <v>0.77844551785152205</v>
      </c>
      <c r="AI70">
        <v>100.78526167589899</v>
      </c>
      <c r="AJ70">
        <v>87.129517945374005</v>
      </c>
      <c r="AK70">
        <v>0.79343924068225002</v>
      </c>
    </row>
    <row r="71" spans="1:37" x14ac:dyDescent="0.2">
      <c r="A71" t="str">
        <f>"20200111150443170"</f>
        <v>20200111150443170</v>
      </c>
      <c r="B71" t="str">
        <f>"1578726283163492"</f>
        <v>1578726283163492</v>
      </c>
      <c r="C71" t="s">
        <v>37</v>
      </c>
      <c r="D71">
        <v>5.0648919999999897</v>
      </c>
      <c r="E71">
        <v>0.540412</v>
      </c>
      <c r="F71" t="s">
        <v>38</v>
      </c>
      <c r="G71">
        <v>-485.01949999999999</v>
      </c>
      <c r="H71">
        <v>0.95568180000000003</v>
      </c>
      <c r="I71">
        <v>367.88650000000001</v>
      </c>
      <c r="J71">
        <v>-485.85680000000002</v>
      </c>
      <c r="K71">
        <v>1.10378</v>
      </c>
      <c r="L71">
        <v>368.05149999999998</v>
      </c>
      <c r="M71">
        <v>0.98873469999999997</v>
      </c>
      <c r="N71">
        <v>0</v>
      </c>
      <c r="O71">
        <v>-0.148414299999999</v>
      </c>
      <c r="P71">
        <v>0.98529480000000003</v>
      </c>
      <c r="Q71">
        <v>0.121385799999999</v>
      </c>
      <c r="R71">
        <v>-0.12024839999999901</v>
      </c>
      <c r="S71">
        <v>3.0554199999999998</v>
      </c>
      <c r="T71">
        <v>-0.76191569999999997</v>
      </c>
      <c r="U71">
        <v>-0.65463260000000001</v>
      </c>
      <c r="V71">
        <v>-2.7259530000000001E-2</v>
      </c>
      <c r="W71">
        <v>0.1406481</v>
      </c>
      <c r="X71">
        <v>0.98968429999999996</v>
      </c>
      <c r="Y71">
        <v>6.4445989999999995E-2</v>
      </c>
      <c r="Z71">
        <v>2.7997089999999999E-2</v>
      </c>
      <c r="AA71">
        <v>0.99752839999999998</v>
      </c>
      <c r="AB71">
        <v>21</v>
      </c>
      <c r="AC71">
        <v>0.83730000000002702</v>
      </c>
      <c r="AD71">
        <v>-0.14809819999999899</v>
      </c>
      <c r="AE71">
        <v>-0.16499999999996301</v>
      </c>
      <c r="AF71">
        <v>3.7744559836173801E-2</v>
      </c>
      <c r="AG71">
        <v>-0.14809819999999899</v>
      </c>
      <c r="AH71">
        <v>0.82759313045468197</v>
      </c>
      <c r="AI71">
        <v>100.135401117131</v>
      </c>
      <c r="AJ71">
        <v>87.388684944774397</v>
      </c>
      <c r="AK71">
        <v>0.84158666708559904</v>
      </c>
    </row>
    <row r="72" spans="1:37" x14ac:dyDescent="0.2">
      <c r="A72" t="str">
        <f>"20200111150443191"</f>
        <v>20200111150443191</v>
      </c>
      <c r="B72" t="str">
        <f>"1578726283183012"</f>
        <v>1578726283183012</v>
      </c>
      <c r="C72" t="s">
        <v>37</v>
      </c>
      <c r="D72">
        <v>5.0300570000000002</v>
      </c>
      <c r="E72">
        <v>0.54100669999999995</v>
      </c>
      <c r="F72" t="s">
        <v>38</v>
      </c>
      <c r="G72">
        <v>-485.21390000000002</v>
      </c>
      <c r="H72">
        <v>0.94492540000000003</v>
      </c>
      <c r="I72">
        <v>367.91129999999998</v>
      </c>
      <c r="J72">
        <v>-486.0564</v>
      </c>
      <c r="K72">
        <v>1.1029469999999999</v>
      </c>
      <c r="L72">
        <v>368.08</v>
      </c>
      <c r="M72">
        <v>0.9885526</v>
      </c>
      <c r="N72">
        <v>0</v>
      </c>
      <c r="O72">
        <v>-0.1497725</v>
      </c>
      <c r="P72">
        <v>0.98469019999999996</v>
      </c>
      <c r="Q72">
        <v>0.1249019</v>
      </c>
      <c r="R72">
        <v>-0.12159339999999901</v>
      </c>
      <c r="S72">
        <v>3.0564269999999998</v>
      </c>
      <c r="T72">
        <v>-0.75521649999999996</v>
      </c>
      <c r="U72">
        <v>-0.66656490000000002</v>
      </c>
      <c r="V72">
        <v>-2.6926039999999998E-2</v>
      </c>
      <c r="W72">
        <v>0.14302699999999999</v>
      </c>
      <c r="X72">
        <v>0.98935249999999997</v>
      </c>
      <c r="Y72">
        <v>6.6660670000000005E-2</v>
      </c>
      <c r="Z72">
        <v>2.7790269999999999E-2</v>
      </c>
      <c r="AA72">
        <v>0.99738859999999996</v>
      </c>
      <c r="AB72">
        <v>21</v>
      </c>
      <c r="AC72">
        <v>0.84249999999997205</v>
      </c>
      <c r="AD72">
        <v>-0.15802159999999901</v>
      </c>
      <c r="AE72">
        <v>-0.16870000000000099</v>
      </c>
      <c r="AF72">
        <v>3.9264173864442697E-2</v>
      </c>
      <c r="AG72">
        <v>-0.15802159999999901</v>
      </c>
      <c r="AH72">
        <v>0.830184796347471</v>
      </c>
      <c r="AI72">
        <v>100.765297234089</v>
      </c>
      <c r="AJ72">
        <v>87.292173636011398</v>
      </c>
      <c r="AK72">
        <v>0.84600194887618796</v>
      </c>
    </row>
    <row r="73" spans="1:37" x14ac:dyDescent="0.2">
      <c r="A73" t="str">
        <f>"20200111150443235"</f>
        <v>20200111150443235</v>
      </c>
      <c r="B73" t="str">
        <f>"1578726283232788"</f>
        <v>1578726283232788</v>
      </c>
      <c r="C73" t="s">
        <v>37</v>
      </c>
      <c r="D73">
        <v>5.0793549999999996</v>
      </c>
      <c r="E73">
        <v>0.54222930000000003</v>
      </c>
      <c r="F73" t="s">
        <v>38</v>
      </c>
      <c r="G73">
        <v>-485.40300000000002</v>
      </c>
      <c r="H73">
        <v>0.94435499999999895</v>
      </c>
      <c r="I73">
        <v>367.93450000000001</v>
      </c>
      <c r="J73">
        <v>-486.46460000000002</v>
      </c>
      <c r="K73">
        <v>1.102943</v>
      </c>
      <c r="L73">
        <v>368.13639999999998</v>
      </c>
      <c r="M73">
        <v>0.98822860000000001</v>
      </c>
      <c r="N73">
        <v>0</v>
      </c>
      <c r="O73">
        <v>-0.15212519999999999</v>
      </c>
      <c r="P73">
        <v>0.98305480000000001</v>
      </c>
      <c r="Q73">
        <v>0.1325046</v>
      </c>
      <c r="R73">
        <v>-0.12667100000000001</v>
      </c>
      <c r="S73">
        <v>3.0569459999999999</v>
      </c>
      <c r="T73">
        <v>-0.7422723</v>
      </c>
      <c r="U73">
        <v>-0.67910769999999998</v>
      </c>
      <c r="V73">
        <v>-2.401039E-2</v>
      </c>
      <c r="W73">
        <v>0.148582299999999</v>
      </c>
      <c r="X73">
        <v>0.988608499999999</v>
      </c>
      <c r="Y73">
        <v>6.8100590000000003E-2</v>
      </c>
      <c r="Z73">
        <v>2.768441E-2</v>
      </c>
      <c r="AA73">
        <v>0.99729429999999997</v>
      </c>
      <c r="AB73">
        <v>21</v>
      </c>
      <c r="AC73">
        <v>1.0615999999999901</v>
      </c>
      <c r="AD73">
        <v>-0.15858800000000001</v>
      </c>
      <c r="AE73">
        <v>-0.201899999999966</v>
      </c>
      <c r="AF73">
        <v>3.7230391959204599E-2</v>
      </c>
      <c r="AG73">
        <v>-0.15858800000000001</v>
      </c>
      <c r="AH73">
        <v>1.0571902892331699</v>
      </c>
      <c r="AI73">
        <v>98.526059259244093</v>
      </c>
      <c r="AJ73">
        <v>87.983084814431905</v>
      </c>
      <c r="AK73">
        <v>1.0696670339308101</v>
      </c>
    </row>
    <row r="74" spans="1:37" x14ac:dyDescent="0.2">
      <c r="A74" t="str">
        <f>"20200111150443258"</f>
        <v>20200111150443258</v>
      </c>
      <c r="B74" t="str">
        <f>"1578726283253284"</f>
        <v>1578726283253284</v>
      </c>
      <c r="C74" t="s">
        <v>37</v>
      </c>
      <c r="D74">
        <v>5.1032149999999996</v>
      </c>
      <c r="E74">
        <v>0.54271669999999905</v>
      </c>
      <c r="F74" t="s">
        <v>38</v>
      </c>
      <c r="G74">
        <v>-485.94729999999998</v>
      </c>
      <c r="H74">
        <v>0.9819367</v>
      </c>
      <c r="I74">
        <v>368.01760000000002</v>
      </c>
      <c r="J74">
        <v>-486.67910000000001</v>
      </c>
      <c r="K74">
        <v>1.1034549999999901</v>
      </c>
      <c r="L74">
        <v>368.16640000000001</v>
      </c>
      <c r="M74">
        <v>0.9880989</v>
      </c>
      <c r="N74">
        <v>0</v>
      </c>
      <c r="O74">
        <v>-0.15305839999999901</v>
      </c>
      <c r="P74">
        <v>0.98261869999999996</v>
      </c>
      <c r="Q74">
        <v>0.13358809999999999</v>
      </c>
      <c r="R74">
        <v>-0.12889880000000001</v>
      </c>
      <c r="S74">
        <v>3.057617</v>
      </c>
      <c r="T74">
        <v>-0.71540249999999905</v>
      </c>
      <c r="U74">
        <v>-0.70257569999999903</v>
      </c>
      <c r="V74">
        <v>-2.286616E-2</v>
      </c>
      <c r="W74">
        <v>0.14874970000000001</v>
      </c>
      <c r="X74">
        <v>0.98861049999999995</v>
      </c>
      <c r="Y74">
        <v>7.4101109999999998E-2</v>
      </c>
      <c r="Z74">
        <v>2.6200919999999999E-2</v>
      </c>
      <c r="AA74">
        <v>0.99690650000000003</v>
      </c>
      <c r="AB74">
        <v>21</v>
      </c>
      <c r="AC74">
        <v>0.73180000000002099</v>
      </c>
      <c r="AD74">
        <v>-0.121518299999999</v>
      </c>
      <c r="AE74">
        <v>-0.14879999999999399</v>
      </c>
      <c r="AF74">
        <v>3.4121562063803901E-2</v>
      </c>
      <c r="AG74">
        <v>-0.121518299999999</v>
      </c>
      <c r="AH74">
        <v>0.72671035999559097</v>
      </c>
      <c r="AI74">
        <v>99.482739866494697</v>
      </c>
      <c r="AJ74">
        <v>87.311739581599696</v>
      </c>
      <c r="AK74">
        <v>0.73758994404580003</v>
      </c>
    </row>
    <row r="75" spans="1:37" x14ac:dyDescent="0.2">
      <c r="A75" t="str">
        <f>"20200111150443281"</f>
        <v>20200111150443281</v>
      </c>
      <c r="B75" t="str">
        <f>"1578726283272805"</f>
        <v>1578726283272805</v>
      </c>
      <c r="C75" t="s">
        <v>37</v>
      </c>
      <c r="D75">
        <v>5.0107999999999997</v>
      </c>
      <c r="E75">
        <v>0.54313840000000002</v>
      </c>
      <c r="F75" t="s">
        <v>38</v>
      </c>
      <c r="G75">
        <v>-486.13760000000002</v>
      </c>
      <c r="H75">
        <v>0.97733780000000003</v>
      </c>
      <c r="I75">
        <v>368.03980000000001</v>
      </c>
      <c r="J75">
        <v>-486.90089999999998</v>
      </c>
      <c r="K75">
        <v>1.1040410000000001</v>
      </c>
      <c r="L75">
        <v>368.19819999999999</v>
      </c>
      <c r="M75">
        <v>0.98797520000000005</v>
      </c>
      <c r="N75">
        <v>0</v>
      </c>
      <c r="O75">
        <v>-0.1539324</v>
      </c>
      <c r="P75">
        <v>0.98245020000000005</v>
      </c>
      <c r="Q75">
        <v>0.13291320000000001</v>
      </c>
      <c r="R75">
        <v>-0.1308648</v>
      </c>
      <c r="S75">
        <v>3.0564879999999999</v>
      </c>
      <c r="T75">
        <v>-0.71222629999999998</v>
      </c>
      <c r="U75">
        <v>-0.71197509999999997</v>
      </c>
      <c r="V75">
        <v>-2.1988690000000002E-2</v>
      </c>
      <c r="W75">
        <v>0.14724489999999901</v>
      </c>
      <c r="X75">
        <v>0.98885559999999995</v>
      </c>
      <c r="Y75">
        <v>7.6162919999999995E-2</v>
      </c>
      <c r="Z75">
        <v>2.6046610000000001E-2</v>
      </c>
      <c r="AA75">
        <v>0.99675509999999901</v>
      </c>
      <c r="AB75">
        <v>21</v>
      </c>
      <c r="AC75">
        <v>0.76329999999995801</v>
      </c>
      <c r="AD75">
        <v>-0.12670319999999999</v>
      </c>
      <c r="AE75">
        <v>-0.15839999999997101</v>
      </c>
      <c r="AF75">
        <v>3.7998967241749698E-2</v>
      </c>
      <c r="AG75">
        <v>-0.12670319999999999</v>
      </c>
      <c r="AH75">
        <v>0.75854795009355402</v>
      </c>
      <c r="AI75">
        <v>99.471130955785398</v>
      </c>
      <c r="AJ75">
        <v>87.132202367818905</v>
      </c>
      <c r="AK75">
        <v>0.76999520452585501</v>
      </c>
    </row>
    <row r="76" spans="1:37" x14ac:dyDescent="0.2">
      <c r="A76" t="str">
        <f>"20200111150443304"</f>
        <v>20200111150443304</v>
      </c>
      <c r="B76" t="str">
        <f>"1578726283293301"</f>
        <v>1578726283293301</v>
      </c>
      <c r="C76" t="s">
        <v>37</v>
      </c>
      <c r="D76">
        <v>5.0517370000000001</v>
      </c>
      <c r="E76">
        <v>0.54331689999999999</v>
      </c>
      <c r="F76" t="s">
        <v>38</v>
      </c>
      <c r="G76">
        <v>-486.3288</v>
      </c>
      <c r="H76">
        <v>0.96964349999999999</v>
      </c>
      <c r="I76">
        <v>368.06360000000001</v>
      </c>
      <c r="J76">
        <v>-487.10590000000002</v>
      </c>
      <c r="K76">
        <v>1.1044799999999999</v>
      </c>
      <c r="L76">
        <v>368.22829999999999</v>
      </c>
      <c r="M76">
        <v>0.98785339999999999</v>
      </c>
      <c r="N76">
        <v>0</v>
      </c>
      <c r="O76">
        <v>-0.1547721</v>
      </c>
      <c r="P76">
        <v>0.98220090000000004</v>
      </c>
      <c r="Q76">
        <v>0.1337583</v>
      </c>
      <c r="R76">
        <v>-0.1318734</v>
      </c>
      <c r="S76">
        <v>3.0548099999999998</v>
      </c>
      <c r="T76">
        <v>-0.71738800000000003</v>
      </c>
      <c r="U76">
        <v>-0.71942139999999999</v>
      </c>
      <c r="V76">
        <v>-2.1955570000000001E-2</v>
      </c>
      <c r="W76">
        <v>0.1474222</v>
      </c>
      <c r="X76">
        <v>0.98882999999999899</v>
      </c>
      <c r="Y76">
        <v>7.7749979999999996E-2</v>
      </c>
      <c r="Z76">
        <v>2.624253E-2</v>
      </c>
      <c r="AA76">
        <v>0.99662739999999905</v>
      </c>
      <c r="AB76">
        <v>21</v>
      </c>
      <c r="AC76">
        <v>0.777100000000018</v>
      </c>
      <c r="AD76">
        <v>-0.134836499999999</v>
      </c>
      <c r="AE76">
        <v>-0.164699999999982</v>
      </c>
      <c r="AF76">
        <v>4.1241840348946297E-2</v>
      </c>
      <c r="AG76">
        <v>-0.134836499999999</v>
      </c>
      <c r="AH76">
        <v>0.771013020552622</v>
      </c>
      <c r="AI76">
        <v>99.905819673506301</v>
      </c>
      <c r="AJ76">
        <v>86.9381404587525</v>
      </c>
      <c r="AK76">
        <v>0.78380026090152299</v>
      </c>
    </row>
    <row r="77" spans="1:37" x14ac:dyDescent="0.2">
      <c r="A77" t="str">
        <f>"20200111150443326"</f>
        <v>20200111150443326</v>
      </c>
      <c r="B77" t="str">
        <f>"1578726283323557"</f>
        <v>1578726283323557</v>
      </c>
      <c r="C77" t="s">
        <v>37</v>
      </c>
      <c r="D77">
        <v>5.2799319999999996</v>
      </c>
      <c r="E77">
        <v>0.54346450000000002</v>
      </c>
      <c r="F77" t="s">
        <v>38</v>
      </c>
      <c r="G77">
        <v>-486.5172</v>
      </c>
      <c r="H77">
        <v>0.96630640000000001</v>
      </c>
      <c r="I77">
        <v>368.08839999999998</v>
      </c>
      <c r="J77">
        <v>-487.31199999999899</v>
      </c>
      <c r="K77">
        <v>1.104751</v>
      </c>
      <c r="L77">
        <v>368.25940000000003</v>
      </c>
      <c r="M77">
        <v>0.98771339999999996</v>
      </c>
      <c r="N77">
        <v>0</v>
      </c>
      <c r="O77">
        <v>-0.15571260000000001</v>
      </c>
      <c r="P77">
        <v>0.98237199999999902</v>
      </c>
      <c r="Q77">
        <v>0.13374639999999999</v>
      </c>
      <c r="R77">
        <v>-0.13060369999999999</v>
      </c>
      <c r="S77">
        <v>3.05484</v>
      </c>
      <c r="T77">
        <v>-0.71719999999999995</v>
      </c>
      <c r="U77">
        <v>-0.72387699999999999</v>
      </c>
      <c r="V77">
        <v>-2.4276559999999999E-2</v>
      </c>
      <c r="W77">
        <v>0.14682790000000001</v>
      </c>
      <c r="X77">
        <v>0.98886409999999902</v>
      </c>
      <c r="Y77">
        <v>7.8186870000000006E-2</v>
      </c>
      <c r="Z77">
        <v>2.6391370000000001E-2</v>
      </c>
      <c r="AA77">
        <v>0.99658939999999996</v>
      </c>
      <c r="AB77">
        <v>21</v>
      </c>
      <c r="AC77">
        <v>0.79479999999995199</v>
      </c>
      <c r="AD77">
        <v>-0.1384446</v>
      </c>
      <c r="AE77">
        <v>-0.171000000000049</v>
      </c>
      <c r="AF77">
        <v>4.3870383474717903E-2</v>
      </c>
      <c r="AG77">
        <v>-0.1384446</v>
      </c>
      <c r="AH77">
        <v>0.78885668519162599</v>
      </c>
      <c r="AI77">
        <v>99.939006802104799</v>
      </c>
      <c r="AJ77">
        <v>86.816910658955393</v>
      </c>
      <c r="AK77">
        <v>0.80211369991223802</v>
      </c>
    </row>
    <row r="78" spans="1:37" x14ac:dyDescent="0.2">
      <c r="A78" t="str">
        <f>"20200111150443369"</f>
        <v>20200111150443369</v>
      </c>
      <c r="B78" t="str">
        <f>"1578726283363572"</f>
        <v>1578726283363572</v>
      </c>
      <c r="C78" t="s">
        <v>37</v>
      </c>
      <c r="D78">
        <v>4.7058580000000001</v>
      </c>
      <c r="E78">
        <v>0.47659849999999998</v>
      </c>
      <c r="F78" t="s">
        <v>38</v>
      </c>
      <c r="G78">
        <v>-486.70490000000001</v>
      </c>
      <c r="H78">
        <v>0.96214100000000002</v>
      </c>
      <c r="I78">
        <v>368.11579999999998</v>
      </c>
      <c r="J78">
        <v>-487.71089999999998</v>
      </c>
      <c r="K78">
        <v>1.1047910000000001</v>
      </c>
      <c r="L78">
        <v>368.32080000000002</v>
      </c>
      <c r="M78">
        <v>0.98739270000000001</v>
      </c>
      <c r="N78">
        <v>0</v>
      </c>
      <c r="O78">
        <v>-0.1578068</v>
      </c>
      <c r="P78">
        <v>0.98212359999999899</v>
      </c>
      <c r="Q78">
        <v>0.13595769999999999</v>
      </c>
      <c r="R78">
        <v>-0.13018769999999999</v>
      </c>
      <c r="S78">
        <v>3.055542</v>
      </c>
      <c r="T78">
        <v>-0.71776030000000002</v>
      </c>
      <c r="U78">
        <v>-0.72207639999999995</v>
      </c>
      <c r="V78">
        <v>-2.6766559999999998E-2</v>
      </c>
      <c r="W78">
        <v>0.14812819999999999</v>
      </c>
      <c r="X78">
        <v>0.98860590000000004</v>
      </c>
      <c r="Y78">
        <v>7.5587639999999998E-2</v>
      </c>
      <c r="Z78">
        <v>2.7174859999999999E-2</v>
      </c>
      <c r="AA78">
        <v>0.99676880000000001</v>
      </c>
      <c r="AB78">
        <v>21</v>
      </c>
      <c r="AC78">
        <v>1.00599999999997</v>
      </c>
      <c r="AD78">
        <v>-0.14265</v>
      </c>
      <c r="AE78">
        <v>-0.20500000000004001</v>
      </c>
      <c r="AF78">
        <v>4.2838189522098301E-2</v>
      </c>
      <c r="AG78">
        <v>-0.14265</v>
      </c>
      <c r="AH78">
        <v>1.0063184184367999</v>
      </c>
      <c r="AI78">
        <v>98.060966002121603</v>
      </c>
      <c r="AJ78">
        <v>87.562435083122494</v>
      </c>
      <c r="AK78">
        <v>1.0172811274503599</v>
      </c>
    </row>
    <row r="79" spans="1:37" x14ac:dyDescent="0.2">
      <c r="A79" t="str">
        <f>"20200111150443391"</f>
        <v>20200111150443391</v>
      </c>
      <c r="B79" t="str">
        <f>"1578726283383093"</f>
        <v>1578726283383093</v>
      </c>
      <c r="C79" t="s">
        <v>37</v>
      </c>
      <c r="D79">
        <v>5.1675509999999996</v>
      </c>
      <c r="E79">
        <v>0.46992590000000001</v>
      </c>
      <c r="F79" t="s">
        <v>40</v>
      </c>
      <c r="G79">
        <v>-474.27659999999997</v>
      </c>
      <c r="H79" s="1">
        <v>-6.2463379999999996E-6</v>
      </c>
      <c r="I79">
        <v>367.46379999999999</v>
      </c>
      <c r="J79">
        <v>-487.9178</v>
      </c>
      <c r="K79">
        <v>1.1046639999999901</v>
      </c>
      <c r="L79">
        <v>368.35300000000001</v>
      </c>
      <c r="M79">
        <v>0.9872128</v>
      </c>
      <c r="N79">
        <v>0</v>
      </c>
      <c r="O79">
        <v>-0.15895799999999999</v>
      </c>
      <c r="P79">
        <v>0.98196099999999997</v>
      </c>
      <c r="Q79">
        <v>0.13760899999999901</v>
      </c>
      <c r="R79">
        <v>-0.1296795</v>
      </c>
      <c r="S79">
        <v>3.0635379999999999</v>
      </c>
      <c r="T79">
        <v>-0.2519363</v>
      </c>
      <c r="U79">
        <v>-0.19543460000000001</v>
      </c>
      <c r="V79">
        <v>-2.8354859999999999E-2</v>
      </c>
      <c r="W79">
        <v>0.149398</v>
      </c>
      <c r="X79">
        <v>0.98837050000000004</v>
      </c>
      <c r="Y79">
        <v>-9.4944050000000002E-2</v>
      </c>
      <c r="Z79">
        <v>1.6873180000000002E-2</v>
      </c>
      <c r="AA79">
        <v>0.99533959999999999</v>
      </c>
      <c r="AB79">
        <v>21</v>
      </c>
      <c r="AC79">
        <v>13.6412</v>
      </c>
      <c r="AD79">
        <v>-1.10467024633799</v>
      </c>
      <c r="AE79">
        <v>-0.88920000000001598</v>
      </c>
      <c r="AF79">
        <v>-1.2822673751624001</v>
      </c>
      <c r="AG79">
        <v>-1.10467024633799</v>
      </c>
      <c r="AH79">
        <v>13.520795509334301</v>
      </c>
      <c r="AI79">
        <v>94.650008804882503</v>
      </c>
      <c r="AJ79">
        <v>95.417538581848603</v>
      </c>
      <c r="AK79">
        <v>13.626313411183</v>
      </c>
    </row>
    <row r="80" spans="1:37" x14ac:dyDescent="0.2">
      <c r="A80" t="str">
        <f>"20200111150443414"</f>
        <v>20200111150443414</v>
      </c>
      <c r="B80" t="str">
        <f>"1578726283403588"</f>
        <v>1578726283403588</v>
      </c>
      <c r="C80" t="s">
        <v>37</v>
      </c>
      <c r="D80">
        <v>5.1784559999999997</v>
      </c>
      <c r="E80">
        <v>0.46651429999999999</v>
      </c>
      <c r="F80" t="s">
        <v>40</v>
      </c>
      <c r="G80">
        <v>-476.67</v>
      </c>
      <c r="H80" s="1">
        <v>-7.8326619999999998E-6</v>
      </c>
      <c r="I80">
        <v>367.8349</v>
      </c>
      <c r="J80">
        <v>-488.1232</v>
      </c>
      <c r="K80">
        <v>1.1045129999999901</v>
      </c>
      <c r="L80">
        <v>368.38510000000002</v>
      </c>
      <c r="M80">
        <v>0.98703430000000003</v>
      </c>
      <c r="N80">
        <v>0</v>
      </c>
      <c r="O80">
        <v>-0.1600867</v>
      </c>
      <c r="P80">
        <v>0.98202250000000002</v>
      </c>
      <c r="Q80">
        <v>0.138037299999999</v>
      </c>
      <c r="R80">
        <v>-0.12875349999999999</v>
      </c>
      <c r="S80">
        <v>3.078827</v>
      </c>
      <c r="T80">
        <v>-0.30237789999999998</v>
      </c>
      <c r="U80">
        <v>-0.1418152</v>
      </c>
      <c r="V80">
        <v>-3.036202E-2</v>
      </c>
      <c r="W80">
        <v>0.1495022</v>
      </c>
      <c r="X80">
        <v>0.98829509999999898</v>
      </c>
      <c r="Y80">
        <v>-0.11320419999999901</v>
      </c>
      <c r="Z80">
        <v>2.1154889999999999E-2</v>
      </c>
      <c r="AA80">
        <v>0.99334650000000002</v>
      </c>
      <c r="AB80">
        <v>21</v>
      </c>
      <c r="AC80">
        <v>11.453199999999899</v>
      </c>
      <c r="AD80">
        <v>-1.104520832662</v>
      </c>
      <c r="AE80">
        <v>-0.55020000000001801</v>
      </c>
      <c r="AF80">
        <v>-1.2786617019931199</v>
      </c>
      <c r="AG80">
        <v>-1.104520832662</v>
      </c>
      <c r="AH80">
        <v>11.2888062361507</v>
      </c>
      <c r="AI80">
        <v>95.552871201020395</v>
      </c>
      <c r="AJ80">
        <v>96.462242218388099</v>
      </c>
      <c r="AK80">
        <v>11.4145559815213</v>
      </c>
    </row>
    <row r="81" spans="1:37" x14ac:dyDescent="0.2">
      <c r="A81" t="str">
        <f>"20200111150443435"</f>
        <v>20200111150443435</v>
      </c>
      <c r="B81" t="str">
        <f>"1578726283432868"</f>
        <v>1578726283432868</v>
      </c>
      <c r="C81" t="s">
        <v>37</v>
      </c>
      <c r="D81">
        <v>5.2987500000000001</v>
      </c>
      <c r="E81">
        <v>0.46422590000000002</v>
      </c>
      <c r="F81" t="s">
        <v>40</v>
      </c>
      <c r="G81">
        <v>-477.11680000000001</v>
      </c>
      <c r="H81" s="1">
        <v>-8.1739499999999999E-6</v>
      </c>
      <c r="I81">
        <v>367.9794</v>
      </c>
      <c r="J81">
        <v>-488.32690000000002</v>
      </c>
      <c r="K81">
        <v>1.104398</v>
      </c>
      <c r="L81">
        <v>368.41699999999997</v>
      </c>
      <c r="M81">
        <v>0.98686180000000001</v>
      </c>
      <c r="N81">
        <v>0</v>
      </c>
      <c r="O81">
        <v>-0.161166899999999</v>
      </c>
      <c r="P81">
        <v>0.98200889999999996</v>
      </c>
      <c r="Q81">
        <v>0.13808689999999901</v>
      </c>
      <c r="R81">
        <v>-0.1288049</v>
      </c>
      <c r="S81">
        <v>3.0834349999999899</v>
      </c>
      <c r="T81">
        <v>-0.30943019999999999</v>
      </c>
      <c r="U81">
        <v>-0.113647499999999</v>
      </c>
      <c r="V81">
        <v>-3.1356960000000003E-2</v>
      </c>
      <c r="W81">
        <v>0.149276399999999</v>
      </c>
      <c r="X81">
        <v>0.98829820000000002</v>
      </c>
      <c r="Y81">
        <v>-0.12329759999999999</v>
      </c>
      <c r="Z81">
        <v>2.2232499999999999E-2</v>
      </c>
      <c r="AA81">
        <v>0.99212069999999997</v>
      </c>
      <c r="AB81">
        <v>21</v>
      </c>
      <c r="AC81">
        <v>11.210100000000001</v>
      </c>
      <c r="AD81">
        <v>-1.10440617395</v>
      </c>
      <c r="AE81">
        <v>-0.43759999999997401</v>
      </c>
      <c r="AF81">
        <v>-1.3617381686341199</v>
      </c>
      <c r="AG81">
        <v>-1.10440617395</v>
      </c>
      <c r="AH81">
        <v>11.0271976330835</v>
      </c>
      <c r="AI81">
        <v>95.676435613903607</v>
      </c>
      <c r="AJ81">
        <v>97.039761406751694</v>
      </c>
      <c r="AK81">
        <v>11.1657123138676</v>
      </c>
    </row>
    <row r="82" spans="1:37" x14ac:dyDescent="0.2">
      <c r="A82" t="str">
        <f>"20200111150443460"</f>
        <v>20200111150443460</v>
      </c>
      <c r="B82" t="str">
        <f>"1578726283453364"</f>
        <v>1578726283453364</v>
      </c>
      <c r="C82" t="s">
        <v>37</v>
      </c>
      <c r="D82">
        <v>5.1833790000000004</v>
      </c>
      <c r="E82">
        <v>0.46309489999999998</v>
      </c>
      <c r="F82" t="s">
        <v>40</v>
      </c>
      <c r="G82">
        <v>-478.02390000000003</v>
      </c>
      <c r="H82" s="1">
        <v>-8.7909409999999996E-6</v>
      </c>
      <c r="I82">
        <v>368.09890000000001</v>
      </c>
      <c r="J82">
        <v>-488.54109999999997</v>
      </c>
      <c r="K82">
        <v>1.10433</v>
      </c>
      <c r="L82">
        <v>368.45060000000001</v>
      </c>
      <c r="M82">
        <v>0.98668719999999999</v>
      </c>
      <c r="N82">
        <v>0</v>
      </c>
      <c r="O82">
        <v>-0.16225120000000001</v>
      </c>
      <c r="P82">
        <v>0.981799599999999</v>
      </c>
      <c r="Q82">
        <v>0.1391203</v>
      </c>
      <c r="R82">
        <v>-0.12928729999999999</v>
      </c>
      <c r="S82">
        <v>3.0890499999999999</v>
      </c>
      <c r="T82">
        <v>-0.33112449999999999</v>
      </c>
      <c r="U82">
        <v>-9.5367430000000003E-2</v>
      </c>
      <c r="V82">
        <v>-3.1918670000000003E-2</v>
      </c>
      <c r="W82">
        <v>0.15005569999999999</v>
      </c>
      <c r="X82">
        <v>0.98816219999999999</v>
      </c>
      <c r="Y82">
        <v>-0.13006999999999999</v>
      </c>
      <c r="Z82">
        <v>2.4220419999999999E-2</v>
      </c>
      <c r="AA82">
        <v>0.99120900000000001</v>
      </c>
      <c r="AB82">
        <v>21</v>
      </c>
      <c r="AC82">
        <v>10.5171999999999</v>
      </c>
      <c r="AD82">
        <v>-1.1043387909410001</v>
      </c>
      <c r="AE82">
        <v>-0.35169999999999302</v>
      </c>
      <c r="AF82">
        <v>-1.34468452134786</v>
      </c>
      <c r="AG82">
        <v>-1.1043387909410001</v>
      </c>
      <c r="AH82">
        <v>10.321220601081301</v>
      </c>
      <c r="AI82">
        <v>96.056437781060893</v>
      </c>
      <c r="AJ82">
        <v>97.422883735809506</v>
      </c>
      <c r="AK82">
        <v>10.4668684582981</v>
      </c>
    </row>
    <row r="83" spans="1:37" x14ac:dyDescent="0.2">
      <c r="A83" t="str">
        <f>"20200111150443482"</f>
        <v>20200111150443482</v>
      </c>
      <c r="B83" t="str">
        <f>"1578726283472884"</f>
        <v>1578726283472884</v>
      </c>
      <c r="C83" t="s">
        <v>37</v>
      </c>
      <c r="D83">
        <v>5.1471710000000002</v>
      </c>
      <c r="E83">
        <v>0.46310699999999999</v>
      </c>
      <c r="F83" t="s">
        <v>40</v>
      </c>
      <c r="G83">
        <v>-478.28930000000003</v>
      </c>
      <c r="H83" s="1">
        <v>-8.9818790000000004E-6</v>
      </c>
      <c r="I83">
        <v>368.15780000000001</v>
      </c>
      <c r="J83">
        <v>-488.75189999999998</v>
      </c>
      <c r="K83">
        <v>1.1043129999999901</v>
      </c>
      <c r="L83">
        <v>368.48390000000001</v>
      </c>
      <c r="M83">
        <v>0.98652090000000003</v>
      </c>
      <c r="N83">
        <v>0</v>
      </c>
      <c r="O83">
        <v>-0.16327410000000001</v>
      </c>
      <c r="P83">
        <v>0.98122739999999997</v>
      </c>
      <c r="Q83">
        <v>0.1425361</v>
      </c>
      <c r="R83">
        <v>-0.12990940000000001</v>
      </c>
      <c r="S83">
        <v>3.0911249999999999</v>
      </c>
      <c r="T83">
        <v>-0.33297959999999999</v>
      </c>
      <c r="U83">
        <v>-8.8287350000000001E-2</v>
      </c>
      <c r="V83">
        <v>-3.2241930000000002E-2</v>
      </c>
      <c r="W83">
        <v>0.15324939999999901</v>
      </c>
      <c r="X83">
        <v>0.98766139999999902</v>
      </c>
      <c r="Y83">
        <v>-0.1333442</v>
      </c>
      <c r="Z83">
        <v>2.4625089999999999E-2</v>
      </c>
      <c r="AA83">
        <v>0.99076379999999997</v>
      </c>
      <c r="AB83">
        <v>21</v>
      </c>
      <c r="AC83">
        <v>10.462599999999901</v>
      </c>
      <c r="AD83">
        <v>-1.10432198187899</v>
      </c>
      <c r="AE83">
        <v>-0.326099999999996</v>
      </c>
      <c r="AF83">
        <v>-1.3713856465857599</v>
      </c>
      <c r="AG83">
        <v>-1.10432198187899</v>
      </c>
      <c r="AH83">
        <v>10.261223654779</v>
      </c>
      <c r="AI83">
        <v>96.088854724184699</v>
      </c>
      <c r="AJ83">
        <v>97.612321834055507</v>
      </c>
      <c r="AK83">
        <v>10.411192848310799</v>
      </c>
    </row>
    <row r="84" spans="1:37" x14ac:dyDescent="0.2">
      <c r="A84" t="str">
        <f>"20200111150443503"</f>
        <v>20200111150443503</v>
      </c>
      <c r="B84" t="str">
        <f>"1578726283493381"</f>
        <v>1578726283493381</v>
      </c>
      <c r="C84" t="s">
        <v>37</v>
      </c>
      <c r="D84">
        <v>5.2439869999999997</v>
      </c>
      <c r="E84">
        <v>0.46296530000000002</v>
      </c>
      <c r="F84" t="s">
        <v>40</v>
      </c>
      <c r="G84">
        <v>-478.22309999999999</v>
      </c>
      <c r="H84" s="1">
        <v>-8.9485099999999998E-6</v>
      </c>
      <c r="I84">
        <v>368.17579999999998</v>
      </c>
      <c r="J84">
        <v>-488.93630000000002</v>
      </c>
      <c r="K84">
        <v>1.1043289999999999</v>
      </c>
      <c r="L84">
        <v>368.51330000000002</v>
      </c>
      <c r="M84">
        <v>0.98637790000000003</v>
      </c>
      <c r="N84">
        <v>0</v>
      </c>
      <c r="O84">
        <v>-0.16414599999999999</v>
      </c>
      <c r="P84">
        <v>0.98092860000000004</v>
      </c>
      <c r="Q84">
        <v>0.1447203</v>
      </c>
      <c r="R84">
        <v>-0.1297507</v>
      </c>
      <c r="S84">
        <v>3.0924990000000001</v>
      </c>
      <c r="T84">
        <v>-0.32435849999999999</v>
      </c>
      <c r="U84">
        <v>-9.0515139999999994E-2</v>
      </c>
      <c r="V84">
        <v>-3.3235880000000002E-2</v>
      </c>
      <c r="W84">
        <v>0.1552625</v>
      </c>
      <c r="X84">
        <v>0.98731399999999903</v>
      </c>
      <c r="Y84">
        <v>-0.13360150000000001</v>
      </c>
      <c r="Z84">
        <v>2.4083540000000001E-2</v>
      </c>
      <c r="AA84">
        <v>0.99074240000000002</v>
      </c>
      <c r="AB84">
        <v>21</v>
      </c>
      <c r="AC84">
        <v>10.713200000000001</v>
      </c>
      <c r="AD84">
        <v>-1.10433794851</v>
      </c>
      <c r="AE84">
        <v>-0.337500000000034</v>
      </c>
      <c r="AF84">
        <v>-1.41073273622881</v>
      </c>
      <c r="AG84">
        <v>-1.10433794851</v>
      </c>
      <c r="AH84">
        <v>10.5116870578687</v>
      </c>
      <c r="AI84">
        <v>95.9444777401349</v>
      </c>
      <c r="AJ84">
        <v>97.643771255391002</v>
      </c>
      <c r="AK84">
        <v>10.663268446407599</v>
      </c>
    </row>
    <row r="85" spans="1:37" x14ac:dyDescent="0.2">
      <c r="A85" t="str">
        <f>"20200111150443525"</f>
        <v>20200111150443525</v>
      </c>
      <c r="B85" t="str">
        <f>"1578726283523637"</f>
        <v>1578726283523637</v>
      </c>
      <c r="C85" t="s">
        <v>37</v>
      </c>
      <c r="D85">
        <v>5.2321390000000001</v>
      </c>
      <c r="E85">
        <v>0.46306149999999902</v>
      </c>
      <c r="F85" t="s">
        <v>40</v>
      </c>
      <c r="G85">
        <v>-478.66059999999999</v>
      </c>
      <c r="H85" s="1">
        <v>-9.2401649999999993E-6</v>
      </c>
      <c r="I85">
        <v>368.2199</v>
      </c>
      <c r="J85">
        <v>-489.13869999999997</v>
      </c>
      <c r="K85">
        <v>1.104357</v>
      </c>
      <c r="L85">
        <v>368.54579999999999</v>
      </c>
      <c r="M85">
        <v>0.98622109999999996</v>
      </c>
      <c r="N85">
        <v>0</v>
      </c>
      <c r="O85">
        <v>-0.1650962</v>
      </c>
      <c r="P85">
        <v>0.98039169999999998</v>
      </c>
      <c r="Q85">
        <v>0.14914240000000001</v>
      </c>
      <c r="R85">
        <v>-0.1287973</v>
      </c>
      <c r="S85">
        <v>3.0956730000000001</v>
      </c>
      <c r="T85">
        <v>-0.33269499999999902</v>
      </c>
      <c r="U85">
        <v>-8.8409420000000002E-2</v>
      </c>
      <c r="V85">
        <v>-3.5058190000000003E-2</v>
      </c>
      <c r="W85">
        <v>0.15951470000000001</v>
      </c>
      <c r="X85">
        <v>0.98657289999999997</v>
      </c>
      <c r="Y85">
        <v>-0.13516349999999999</v>
      </c>
      <c r="Z85">
        <v>2.4858620000000001E-2</v>
      </c>
      <c r="AA85">
        <v>0.99051139999999904</v>
      </c>
      <c r="AB85">
        <v>21</v>
      </c>
      <c r="AC85">
        <v>10.4780999999999</v>
      </c>
      <c r="AD85">
        <v>-1.1043662401650001</v>
      </c>
      <c r="AE85">
        <v>-0.32589999999998998</v>
      </c>
      <c r="AF85">
        <v>-1.39310281466972</v>
      </c>
      <c r="AG85">
        <v>-1.1043662401650001</v>
      </c>
      <c r="AH85">
        <v>10.2740848067812</v>
      </c>
      <c r="AI85">
        <v>96.079978419782606</v>
      </c>
      <c r="AJ85">
        <v>97.721861776026202</v>
      </c>
      <c r="AK85">
        <v>10.426753035417599</v>
      </c>
    </row>
    <row r="86" spans="1:37" x14ac:dyDescent="0.2">
      <c r="A86" t="str">
        <f>"20200111150443549"</f>
        <v>20200111150443549</v>
      </c>
      <c r="B86" t="str">
        <f>"1578726283543156"</f>
        <v>1578726283543156</v>
      </c>
      <c r="C86" t="s">
        <v>37</v>
      </c>
      <c r="D86">
        <v>5.2132050000000003</v>
      </c>
      <c r="E86">
        <v>0.46306019999999998</v>
      </c>
      <c r="F86" t="s">
        <v>40</v>
      </c>
      <c r="G86">
        <v>-478.64359999999999</v>
      </c>
      <c r="H86" s="1">
        <v>-9.2438689999999999E-6</v>
      </c>
      <c r="I86">
        <v>368.25259999999997</v>
      </c>
      <c r="J86">
        <v>-489.35969999999998</v>
      </c>
      <c r="K86">
        <v>1.1043860000000001</v>
      </c>
      <c r="L86">
        <v>368.58150000000001</v>
      </c>
      <c r="M86">
        <v>0.98604699999999901</v>
      </c>
      <c r="N86">
        <v>0</v>
      </c>
      <c r="O86">
        <v>-0.16614200000000001</v>
      </c>
      <c r="P86">
        <v>0.97957999999999901</v>
      </c>
      <c r="Q86">
        <v>0.15509439999999999</v>
      </c>
      <c r="R86">
        <v>-0.12794140000000001</v>
      </c>
      <c r="S86">
        <v>3.098236</v>
      </c>
      <c r="T86">
        <v>-0.32601579999999902</v>
      </c>
      <c r="U86">
        <v>-8.6547849999999996E-2</v>
      </c>
      <c r="V86">
        <v>-3.6834180000000001E-2</v>
      </c>
      <c r="W86">
        <v>0.16530420000000001</v>
      </c>
      <c r="X86">
        <v>0.9855545</v>
      </c>
      <c r="Y86">
        <v>-0.13688729999999999</v>
      </c>
      <c r="Z86">
        <v>2.454156E-2</v>
      </c>
      <c r="AA86">
        <v>0.99028259999999901</v>
      </c>
      <c r="AB86">
        <v>21</v>
      </c>
      <c r="AC86">
        <v>10.7160999999999</v>
      </c>
      <c r="AD86">
        <v>-1.1043952438689999</v>
      </c>
      <c r="AE86">
        <v>-0.328900000000032</v>
      </c>
      <c r="AF86">
        <v>-1.44087270847431</v>
      </c>
      <c r="AG86">
        <v>-1.1043952438689999</v>
      </c>
      <c r="AH86">
        <v>10.510269629229599</v>
      </c>
      <c r="AI86">
        <v>95.943311369601204</v>
      </c>
      <c r="AJ86">
        <v>97.806126044310005</v>
      </c>
      <c r="AK86">
        <v>10.6659069326435</v>
      </c>
    </row>
    <row r="87" spans="1:37" x14ac:dyDescent="0.2">
      <c r="A87" t="str">
        <f>"20200111150443577"</f>
        <v>20200111150443577</v>
      </c>
      <c r="B87" t="str">
        <f>"1578726283573412"</f>
        <v>1578726283573412</v>
      </c>
      <c r="C87" t="s">
        <v>37</v>
      </c>
      <c r="D87">
        <v>5.3278970000000001</v>
      </c>
      <c r="E87">
        <v>0.46288549999999901</v>
      </c>
      <c r="F87" t="s">
        <v>40</v>
      </c>
      <c r="G87">
        <v>-478.29340000000002</v>
      </c>
      <c r="H87" s="1">
        <v>-9.0372920000000005E-6</v>
      </c>
      <c r="I87">
        <v>368.27870000000001</v>
      </c>
      <c r="J87">
        <v>-489.5994</v>
      </c>
      <c r="K87">
        <v>1.1043879999999999</v>
      </c>
      <c r="L87">
        <v>368.62049999999999</v>
      </c>
      <c r="M87">
        <v>0.98585279999999997</v>
      </c>
      <c r="N87">
        <v>0</v>
      </c>
      <c r="O87">
        <v>-0.16729849999999999</v>
      </c>
      <c r="P87">
        <v>0.97887459999999904</v>
      </c>
      <c r="Q87">
        <v>0.15920989999999999</v>
      </c>
      <c r="R87">
        <v>-0.1282846</v>
      </c>
      <c r="S87">
        <v>3.1004640000000001</v>
      </c>
      <c r="T87">
        <v>-0.30941999999999997</v>
      </c>
      <c r="U87">
        <v>-8.4838869999999997E-2</v>
      </c>
      <c r="V87">
        <v>-3.7543960000000001E-2</v>
      </c>
      <c r="W87">
        <v>0.1692777</v>
      </c>
      <c r="X87">
        <v>0.98485299999999998</v>
      </c>
      <c r="Y87">
        <v>-0.13876559999999999</v>
      </c>
      <c r="Z87">
        <v>2.348956E-2</v>
      </c>
      <c r="AA87">
        <v>0.9900466</v>
      </c>
      <c r="AB87">
        <v>20</v>
      </c>
      <c r="AC87">
        <v>11.3059999999999</v>
      </c>
      <c r="AD87">
        <v>-1.104397037292</v>
      </c>
      <c r="AE87">
        <v>-0.34179999999997701</v>
      </c>
      <c r="AF87">
        <v>-1.5399141268279799</v>
      </c>
      <c r="AG87">
        <v>-1.104397037292</v>
      </c>
      <c r="AH87">
        <v>11.098026239735001</v>
      </c>
      <c r="AI87">
        <v>95.629378827114095</v>
      </c>
      <c r="AJ87">
        <v>97.899674444876695</v>
      </c>
      <c r="AK87">
        <v>11.258650663015899</v>
      </c>
    </row>
    <row r="88" spans="1:37" x14ac:dyDescent="0.2">
      <c r="A88" t="str">
        <f>"20200111150443595"</f>
        <v>20200111150443595</v>
      </c>
      <c r="B88" t="str">
        <f>"1578726283592933"</f>
        <v>1578726283592933</v>
      </c>
      <c r="C88" t="s">
        <v>37</v>
      </c>
      <c r="D88">
        <v>5.1962900000000003</v>
      </c>
      <c r="E88">
        <v>0.4632231</v>
      </c>
      <c r="F88" t="s">
        <v>40</v>
      </c>
      <c r="G88">
        <v>-478.36869999999999</v>
      </c>
      <c r="H88" s="1">
        <v>-9.0989459999999994E-6</v>
      </c>
      <c r="I88">
        <v>368.3125</v>
      </c>
      <c r="J88">
        <v>-489.7749</v>
      </c>
      <c r="K88">
        <v>1.104374</v>
      </c>
      <c r="L88">
        <v>368.64929999999998</v>
      </c>
      <c r="M88">
        <v>0.985707</v>
      </c>
      <c r="N88">
        <v>0</v>
      </c>
      <c r="O88">
        <v>-0.16816049999999999</v>
      </c>
      <c r="P88">
        <v>0.9790124</v>
      </c>
      <c r="Q88">
        <v>0.15889900000000001</v>
      </c>
      <c r="R88">
        <v>-0.12761610000000001</v>
      </c>
      <c r="S88">
        <v>3.10318</v>
      </c>
      <c r="T88">
        <v>-0.30515940000000003</v>
      </c>
      <c r="U88">
        <v>-8.5113530000000007E-2</v>
      </c>
      <c r="V88">
        <v>-3.9084590000000002E-2</v>
      </c>
      <c r="W88">
        <v>0.16888149999999999</v>
      </c>
      <c r="X88">
        <v>0.98486109999999905</v>
      </c>
      <c r="Y88">
        <v>-0.139603</v>
      </c>
      <c r="Z88">
        <v>2.3272060000000001E-2</v>
      </c>
      <c r="AA88">
        <v>0.98993399999999998</v>
      </c>
      <c r="AB88">
        <v>20</v>
      </c>
      <c r="AC88">
        <v>11.4062</v>
      </c>
      <c r="AD88">
        <v>-1.104383098946</v>
      </c>
      <c r="AE88">
        <v>-0.336799999999982</v>
      </c>
      <c r="AF88">
        <v>-1.5714494282086799</v>
      </c>
      <c r="AG88">
        <v>-1.104383098946</v>
      </c>
      <c r="AH88">
        <v>11.1955305495571</v>
      </c>
      <c r="AI88">
        <v>95.579371408778002</v>
      </c>
      <c r="AJ88">
        <v>97.990064012138902</v>
      </c>
      <c r="AK88">
        <v>11.359094137329899</v>
      </c>
    </row>
    <row r="89" spans="1:37" x14ac:dyDescent="0.2">
      <c r="A89" t="str">
        <f>"20200111150443615"</f>
        <v>20200111150443615</v>
      </c>
      <c r="B89" t="str">
        <f>"1578726283603668"</f>
        <v>1578726283603668</v>
      </c>
      <c r="C89" t="s">
        <v>37</v>
      </c>
      <c r="D89">
        <v>5.2827269999999897</v>
      </c>
      <c r="E89">
        <v>0.46325559999999899</v>
      </c>
      <c r="F89" t="s">
        <v>40</v>
      </c>
      <c r="G89">
        <v>-478.56199999999899</v>
      </c>
      <c r="H89" s="1">
        <v>-9.2293669999999998E-6</v>
      </c>
      <c r="I89">
        <v>368.3356</v>
      </c>
      <c r="J89">
        <v>-489.94639999999998</v>
      </c>
      <c r="K89">
        <v>1.104374</v>
      </c>
      <c r="L89">
        <v>368.67759999999998</v>
      </c>
      <c r="M89">
        <v>0.985562099999999</v>
      </c>
      <c r="N89">
        <v>0</v>
      </c>
      <c r="O89">
        <v>-0.16901269999999999</v>
      </c>
      <c r="P89">
        <v>0.97832540000000001</v>
      </c>
      <c r="Q89">
        <v>0.16371079999999999</v>
      </c>
      <c r="R89">
        <v>-0.12680159999999999</v>
      </c>
      <c r="S89">
        <v>3.1025700000000001</v>
      </c>
      <c r="T89">
        <v>-0.30557839999999997</v>
      </c>
      <c r="U89">
        <v>-8.6791989999999999E-2</v>
      </c>
      <c r="V89">
        <v>-4.0625269999999998E-2</v>
      </c>
      <c r="W89">
        <v>0.17360999999999999</v>
      </c>
      <c r="X89">
        <v>0.98397619999999897</v>
      </c>
      <c r="Y89">
        <v>-0.13990829999999899</v>
      </c>
      <c r="Z89">
        <v>2.3405740000000001E-2</v>
      </c>
      <c r="AA89">
        <v>0.98988779999999998</v>
      </c>
      <c r="AB89">
        <v>20</v>
      </c>
      <c r="AC89">
        <v>11.384399999999999</v>
      </c>
      <c r="AD89">
        <v>-1.104383229367</v>
      </c>
      <c r="AE89">
        <v>-0.34199999999998398</v>
      </c>
      <c r="AF89">
        <v>-1.57234350993038</v>
      </c>
      <c r="AG89">
        <v>-1.104383229367</v>
      </c>
      <c r="AH89">
        <v>11.1733573612799</v>
      </c>
      <c r="AI89">
        <v>95.590099580639404</v>
      </c>
      <c r="AJ89">
        <v>98.010210456287197</v>
      </c>
      <c r="AK89">
        <v>11.3373648240407</v>
      </c>
    </row>
    <row r="90" spans="1:37" x14ac:dyDescent="0.2">
      <c r="A90" t="str">
        <f>"20200111150443638"</f>
        <v>20200111150443638</v>
      </c>
      <c r="B90" t="str">
        <f>"1578726283632949"</f>
        <v>1578726283632949</v>
      </c>
      <c r="C90" t="s">
        <v>37</v>
      </c>
      <c r="D90">
        <v>5.2748489999999997</v>
      </c>
      <c r="E90">
        <v>0.46335579999999998</v>
      </c>
      <c r="F90" t="s">
        <v>40</v>
      </c>
      <c r="G90">
        <v>-478.2398</v>
      </c>
      <c r="H90" s="1">
        <v>-9.034689E-6</v>
      </c>
      <c r="I90">
        <v>368.34899999999999</v>
      </c>
      <c r="J90">
        <v>-490.1619</v>
      </c>
      <c r="K90">
        <v>1.1044</v>
      </c>
      <c r="L90">
        <v>368.7133</v>
      </c>
      <c r="M90">
        <v>0.9853748</v>
      </c>
      <c r="N90">
        <v>0</v>
      </c>
      <c r="O90">
        <v>-0.1700979</v>
      </c>
      <c r="P90">
        <v>0.97732339999999995</v>
      </c>
      <c r="Q90">
        <v>0.17048379999999999</v>
      </c>
      <c r="R90">
        <v>-0.12559690000000001</v>
      </c>
      <c r="S90">
        <v>3.104187</v>
      </c>
      <c r="T90">
        <v>-0.29284529999999998</v>
      </c>
      <c r="U90">
        <v>-8.7127689999999994E-2</v>
      </c>
      <c r="V90">
        <v>-4.2729330000000003E-2</v>
      </c>
      <c r="W90">
        <v>0.18041960000000001</v>
      </c>
      <c r="X90">
        <v>0.98266119999999901</v>
      </c>
      <c r="Y90">
        <v>-0.1410188</v>
      </c>
      <c r="Z90">
        <v>2.2576329999999999E-2</v>
      </c>
      <c r="AA90">
        <v>0.98974949999999995</v>
      </c>
      <c r="AB90">
        <v>20</v>
      </c>
      <c r="AC90">
        <v>11.9221</v>
      </c>
      <c r="AD90">
        <v>-1.1044090346890001</v>
      </c>
      <c r="AE90">
        <v>-0.364300000000014</v>
      </c>
      <c r="AF90">
        <v>-1.6548506995876899</v>
      </c>
      <c r="AG90">
        <v>-1.1044090346890001</v>
      </c>
      <c r="AH90">
        <v>11.709920143279801</v>
      </c>
      <c r="AI90">
        <v>95.335153246047597</v>
      </c>
      <c r="AJ90">
        <v>98.043796433172801</v>
      </c>
      <c r="AK90">
        <v>11.877730419394901</v>
      </c>
    </row>
    <row r="91" spans="1:37" x14ac:dyDescent="0.2">
      <c r="A91" t="str">
        <f>"20200111150443664"</f>
        <v>20200111150443664</v>
      </c>
      <c r="B91" t="str">
        <f>"1578726283653444"</f>
        <v>1578726283653444</v>
      </c>
      <c r="C91" t="s">
        <v>37</v>
      </c>
      <c r="D91">
        <v>5.3716720000000002</v>
      </c>
      <c r="E91">
        <v>0.46336759999999899</v>
      </c>
      <c r="F91" t="s">
        <v>40</v>
      </c>
      <c r="G91">
        <v>-477.79239999999999</v>
      </c>
      <c r="H91" s="1">
        <v>-8.7652599999999995E-6</v>
      </c>
      <c r="I91">
        <v>368.3698</v>
      </c>
      <c r="J91">
        <v>-490.38380000000001</v>
      </c>
      <c r="K91">
        <v>1.104538</v>
      </c>
      <c r="L91">
        <v>368.75040000000001</v>
      </c>
      <c r="M91">
        <v>0.98517259999999995</v>
      </c>
      <c r="N91">
        <v>0</v>
      </c>
      <c r="O91">
        <v>-0.1712331</v>
      </c>
      <c r="P91">
        <v>0.97644039999999999</v>
      </c>
      <c r="Q91">
        <v>0.1758632</v>
      </c>
      <c r="R91">
        <v>-0.12504609999999999</v>
      </c>
      <c r="S91">
        <v>3.106903</v>
      </c>
      <c r="T91">
        <v>-0.27740159999999903</v>
      </c>
      <c r="U91">
        <v>-8.627319E-2</v>
      </c>
      <c r="V91">
        <v>-4.4253220000000003E-2</v>
      </c>
      <c r="W91">
        <v>0.18631220000000001</v>
      </c>
      <c r="X91">
        <v>0.98149349999999902</v>
      </c>
      <c r="Y91">
        <v>-0.1425884</v>
      </c>
      <c r="Z91">
        <v>2.154203E-2</v>
      </c>
      <c r="AA91">
        <v>0.98954759999999997</v>
      </c>
      <c r="AB91">
        <v>21</v>
      </c>
      <c r="AC91">
        <v>12.5914</v>
      </c>
      <c r="AD91">
        <v>-1.1045467652600001</v>
      </c>
      <c r="AE91">
        <v>-0.38060000000001498</v>
      </c>
      <c r="AF91">
        <v>-1.7676196717334101</v>
      </c>
      <c r="AG91">
        <v>-1.1045467652600001</v>
      </c>
      <c r="AH91">
        <v>12.3754409003982</v>
      </c>
      <c r="AI91">
        <v>95.049335424546697</v>
      </c>
      <c r="AJ91">
        <v>98.128739116172</v>
      </c>
      <c r="AK91">
        <v>12.549742640380799</v>
      </c>
    </row>
    <row r="92" spans="1:37" x14ac:dyDescent="0.2">
      <c r="A92" t="str">
        <f>"20200111150443690"</f>
        <v>20200111150443690</v>
      </c>
      <c r="B92" t="str">
        <f>"1578726283682725"</f>
        <v>1578726283682725</v>
      </c>
      <c r="C92" t="s">
        <v>37</v>
      </c>
      <c r="D92">
        <v>5.2728779999999897</v>
      </c>
      <c r="E92">
        <v>0.46337489999999998</v>
      </c>
      <c r="F92" t="s">
        <v>40</v>
      </c>
      <c r="G92">
        <v>-477.40170000000001</v>
      </c>
      <c r="H92" s="1">
        <v>-8.5298899999999903E-6</v>
      </c>
      <c r="I92">
        <v>368.38780000000003</v>
      </c>
      <c r="J92">
        <v>-490.62279999999998</v>
      </c>
      <c r="K92">
        <v>1.1046290000000001</v>
      </c>
      <c r="L92">
        <v>368.79039999999998</v>
      </c>
      <c r="M92">
        <v>0.98496130000000004</v>
      </c>
      <c r="N92">
        <v>0</v>
      </c>
      <c r="O92">
        <v>-0.17241860000000001</v>
      </c>
      <c r="P92">
        <v>0.97491000000000005</v>
      </c>
      <c r="Q92">
        <v>0.18410309999999999</v>
      </c>
      <c r="R92">
        <v>-0.12512699999999999</v>
      </c>
      <c r="S92">
        <v>3.1089479999999998</v>
      </c>
      <c r="T92">
        <v>-0.26451729999999901</v>
      </c>
      <c r="U92">
        <v>-8.6822510000000006E-2</v>
      </c>
      <c r="V92">
        <v>-4.51019E-2</v>
      </c>
      <c r="W92">
        <v>0.19493869999999999</v>
      </c>
      <c r="X92">
        <v>0.97977789999999998</v>
      </c>
      <c r="Y92">
        <v>-0.143729</v>
      </c>
      <c r="Z92">
        <v>2.067952E-2</v>
      </c>
      <c r="AA92">
        <v>0.98940099999999997</v>
      </c>
      <c r="AB92">
        <v>21</v>
      </c>
      <c r="AC92">
        <v>13.2210999999999</v>
      </c>
      <c r="AD92">
        <v>-1.10463752989</v>
      </c>
      <c r="AE92">
        <v>-0.402599999999949</v>
      </c>
      <c r="AF92">
        <v>-1.8700913933982699</v>
      </c>
      <c r="AG92">
        <v>-1.10463752989</v>
      </c>
      <c r="AH92">
        <v>13.0018143866822</v>
      </c>
      <c r="AI92">
        <v>94.806969024377594</v>
      </c>
      <c r="AJ92">
        <v>98.184895249398593</v>
      </c>
      <c r="AK92">
        <v>13.1819817644328</v>
      </c>
    </row>
    <row r="93" spans="1:37" x14ac:dyDescent="0.2">
      <c r="A93" t="str">
        <f>"20200111150443729"</f>
        <v>20200111150443729</v>
      </c>
      <c r="B93" t="str">
        <f>"1578726283722740"</f>
        <v>1578726283722740</v>
      </c>
      <c r="C93" t="s">
        <v>37</v>
      </c>
      <c r="D93">
        <v>5.2069330000000003</v>
      </c>
      <c r="E93">
        <v>0.46390009999999998</v>
      </c>
      <c r="F93" t="s">
        <v>40</v>
      </c>
      <c r="G93">
        <v>-476.46910000000003</v>
      </c>
      <c r="H93" s="1">
        <v>-7.9509649999999999E-6</v>
      </c>
      <c r="I93">
        <v>368.39159999999998</v>
      </c>
      <c r="J93">
        <v>-490.97430000000003</v>
      </c>
      <c r="K93">
        <v>1.1046370000000001</v>
      </c>
      <c r="L93">
        <v>368.85</v>
      </c>
      <c r="M93">
        <v>0.98465440000000004</v>
      </c>
      <c r="N93">
        <v>0</v>
      </c>
      <c r="O93">
        <v>-0.1741637</v>
      </c>
      <c r="P93">
        <v>0.97300710000000001</v>
      </c>
      <c r="Q93">
        <v>0.1940906</v>
      </c>
      <c r="R93">
        <v>-0.1248442</v>
      </c>
      <c r="S93">
        <v>3.111755</v>
      </c>
      <c r="T93">
        <v>-0.24285949999999901</v>
      </c>
      <c r="U93">
        <v>-8.7677000000000005E-2</v>
      </c>
      <c r="V93">
        <v>-4.6821809999999998E-2</v>
      </c>
      <c r="W93">
        <v>0.2048702</v>
      </c>
      <c r="X93">
        <v>0.9776686</v>
      </c>
      <c r="Y93">
        <v>-0.14540510000000001</v>
      </c>
      <c r="Z93">
        <v>1.9174030000000002E-2</v>
      </c>
      <c r="AA93">
        <v>0.98918639999999902</v>
      </c>
      <c r="AB93">
        <v>21</v>
      </c>
      <c r="AC93">
        <v>14.5052</v>
      </c>
      <c r="AD93">
        <v>-1.104644950965</v>
      </c>
      <c r="AE93">
        <v>-0.45840000000004</v>
      </c>
      <c r="AF93">
        <v>-2.06308790562802</v>
      </c>
      <c r="AG93">
        <v>-1.104644950965</v>
      </c>
      <c r="AH93">
        <v>14.280587936981901</v>
      </c>
      <c r="AI93">
        <v>94.377916584749997</v>
      </c>
      <c r="AJ93">
        <v>98.220531010144796</v>
      </c>
      <c r="AK93">
        <v>14.4710664430758</v>
      </c>
    </row>
    <row r="94" spans="1:37" x14ac:dyDescent="0.2">
      <c r="A94" t="str">
        <f>"20200111150443751"</f>
        <v>20200111150443751</v>
      </c>
      <c r="B94" t="str">
        <f>"1578726283743236"</f>
        <v>1578726283743236</v>
      </c>
      <c r="C94" t="s">
        <v>37</v>
      </c>
      <c r="D94">
        <v>5.2079149999999998</v>
      </c>
      <c r="E94">
        <v>0.464279</v>
      </c>
      <c r="F94" t="s">
        <v>40</v>
      </c>
      <c r="G94">
        <v>-475.1694</v>
      </c>
      <c r="H94" s="1">
        <v>-7.1143319999999998E-6</v>
      </c>
      <c r="I94">
        <v>368.38819999999998</v>
      </c>
      <c r="J94">
        <v>-491.17230000000001</v>
      </c>
      <c r="K94">
        <v>1.104657</v>
      </c>
      <c r="L94">
        <v>368.88380000000001</v>
      </c>
      <c r="M94">
        <v>0.98447909999999905</v>
      </c>
      <c r="N94">
        <v>0</v>
      </c>
      <c r="O94">
        <v>-0.17514929999999901</v>
      </c>
      <c r="P94">
        <v>0.97213859999999996</v>
      </c>
      <c r="Q94">
        <v>0.19815189999999999</v>
      </c>
      <c r="R94">
        <v>-0.12523119999999999</v>
      </c>
      <c r="S94">
        <v>3.1149900000000001</v>
      </c>
      <c r="T94">
        <v>-0.21771379999999901</v>
      </c>
      <c r="U94">
        <v>-9.1003420000000002E-2</v>
      </c>
      <c r="V94">
        <v>-4.728429E-2</v>
      </c>
      <c r="W94">
        <v>0.2089714</v>
      </c>
      <c r="X94">
        <v>0.97677800000000004</v>
      </c>
      <c r="Y94">
        <v>-0.145557299999999</v>
      </c>
      <c r="Z94">
        <v>1.724875E-2</v>
      </c>
      <c r="AA94">
        <v>0.98919950000000001</v>
      </c>
      <c r="AB94">
        <v>21</v>
      </c>
      <c r="AC94">
        <v>16.0029</v>
      </c>
      <c r="AD94">
        <v>-1.104664114332</v>
      </c>
      <c r="AE94">
        <v>-0.49560000000002402</v>
      </c>
      <c r="AF94">
        <v>-2.3041631763386698</v>
      </c>
      <c r="AG94">
        <v>-1.104664114332</v>
      </c>
      <c r="AH94">
        <v>15.7672448922341</v>
      </c>
      <c r="AI94">
        <v>93.965648981519607</v>
      </c>
      <c r="AJ94">
        <v>98.314128460897905</v>
      </c>
      <c r="AK94">
        <v>15.9729603467977</v>
      </c>
    </row>
    <row r="95" spans="1:37" x14ac:dyDescent="0.2">
      <c r="A95" t="str">
        <f>"20200111150443773"</f>
        <v>20200111150443773</v>
      </c>
      <c r="B95" t="str">
        <f>"1578726283762756"</f>
        <v>1578726283762756</v>
      </c>
      <c r="C95" t="s">
        <v>37</v>
      </c>
      <c r="D95">
        <v>5.3012379999999997</v>
      </c>
      <c r="E95">
        <v>0.46466869999999999</v>
      </c>
      <c r="F95" t="s">
        <v>40</v>
      </c>
      <c r="G95">
        <v>-474.6182</v>
      </c>
      <c r="H95" s="1">
        <v>-6.8247529999999899E-6</v>
      </c>
      <c r="I95">
        <v>368.37810000000002</v>
      </c>
      <c r="J95">
        <v>-491.37490000000003</v>
      </c>
      <c r="K95">
        <v>1.1047009999999999</v>
      </c>
      <c r="L95">
        <v>368.9187</v>
      </c>
      <c r="M95">
        <v>0.98430059999999997</v>
      </c>
      <c r="N95">
        <v>0</v>
      </c>
      <c r="O95">
        <v>-0.17614270000000001</v>
      </c>
      <c r="P95">
        <v>0.97001839999999995</v>
      </c>
      <c r="Q95">
        <v>0.2078808</v>
      </c>
      <c r="R95">
        <v>-0.12589629999999999</v>
      </c>
      <c r="S95">
        <v>3.1160580000000002</v>
      </c>
      <c r="T95">
        <v>-0.20793619999999999</v>
      </c>
      <c r="U95">
        <v>-9.5184329999999998E-2</v>
      </c>
      <c r="V95">
        <v>-4.7261369999999997E-2</v>
      </c>
      <c r="W95">
        <v>0.21877460000000001</v>
      </c>
      <c r="X95">
        <v>0.9746302</v>
      </c>
      <c r="Y95">
        <v>-0.14530679999999899</v>
      </c>
      <c r="Z95">
        <v>1.6526559999999999E-2</v>
      </c>
      <c r="AA95">
        <v>0.98924859999999903</v>
      </c>
      <c r="AB95">
        <v>20</v>
      </c>
      <c r="AC95">
        <v>16.756699999999999</v>
      </c>
      <c r="AD95">
        <v>-1.104707824753</v>
      </c>
      <c r="AE95">
        <v>-0.54059999999998298</v>
      </c>
      <c r="AF95">
        <v>-2.4091500535505199</v>
      </c>
      <c r="AG95">
        <v>-1.104707824753</v>
      </c>
      <c r="AH95">
        <v>16.518180431942</v>
      </c>
      <c r="AI95">
        <v>93.786207334675794</v>
      </c>
      <c r="AJ95">
        <v>98.2979897946216</v>
      </c>
      <c r="AK95">
        <v>16.729455105913701</v>
      </c>
    </row>
    <row r="96" spans="1:37" x14ac:dyDescent="0.2">
      <c r="A96" t="str">
        <f>"20200111150443793"</f>
        <v>20200111150443793</v>
      </c>
      <c r="B96" t="str">
        <f>"1578726283783254"</f>
        <v>1578726283783254</v>
      </c>
      <c r="C96" t="s">
        <v>37</v>
      </c>
      <c r="D96">
        <v>5.1517099999999996</v>
      </c>
      <c r="E96">
        <v>0.46501749999999997</v>
      </c>
      <c r="F96" t="s">
        <v>40</v>
      </c>
      <c r="G96">
        <v>-471.64760000000001</v>
      </c>
      <c r="H96" s="1">
        <v>-5.4596019999999998E-6</v>
      </c>
      <c r="I96">
        <v>368.27569999999997</v>
      </c>
      <c r="J96">
        <v>-491.5643</v>
      </c>
      <c r="K96">
        <v>1.104727</v>
      </c>
      <c r="L96">
        <v>368.95150000000001</v>
      </c>
      <c r="M96">
        <v>0.9841337</v>
      </c>
      <c r="N96">
        <v>0</v>
      </c>
      <c r="O96">
        <v>-0.17707049999999999</v>
      </c>
      <c r="P96">
        <v>0.96776569999999995</v>
      </c>
      <c r="Q96">
        <v>0.2178475</v>
      </c>
      <c r="R96">
        <v>-0.1263832</v>
      </c>
      <c r="S96">
        <v>3.1168819999999999</v>
      </c>
      <c r="T96">
        <v>-0.17454169999999999</v>
      </c>
      <c r="U96">
        <v>-0.101592999999999</v>
      </c>
      <c r="V96">
        <v>-4.7320010000000003E-2</v>
      </c>
      <c r="W96">
        <v>0.22876189999999999</v>
      </c>
      <c r="X96">
        <v>0.97233159999999896</v>
      </c>
      <c r="Y96">
        <v>-0.1444252</v>
      </c>
      <c r="Z96">
        <v>1.389896E-2</v>
      </c>
      <c r="AA96">
        <v>0.98941809999999997</v>
      </c>
      <c r="AB96">
        <v>21</v>
      </c>
      <c r="AC96">
        <v>19.916699999999899</v>
      </c>
      <c r="AD96">
        <v>-1.1047324596020001</v>
      </c>
      <c r="AE96">
        <v>-0.67580000000003704</v>
      </c>
      <c r="AF96">
        <v>-2.8529964506917098</v>
      </c>
      <c r="AG96">
        <v>-1.1047324596020001</v>
      </c>
      <c r="AH96">
        <v>19.661190041931501</v>
      </c>
      <c r="AI96">
        <v>93.182717363188999</v>
      </c>
      <c r="AJ96">
        <v>98.256449044971006</v>
      </c>
      <c r="AK96">
        <v>19.897799285848201</v>
      </c>
    </row>
    <row r="97" spans="1:37" x14ac:dyDescent="0.2">
      <c r="A97" t="str">
        <f>"20200111150443816"</f>
        <v>20200111150443816</v>
      </c>
      <c r="B97" t="str">
        <f>"1578726283813508"</f>
        <v>1578726283813508</v>
      </c>
      <c r="C97" t="s">
        <v>37</v>
      </c>
      <c r="D97">
        <v>5.1853069999999999</v>
      </c>
      <c r="E97">
        <v>0.46542070000000002</v>
      </c>
      <c r="F97" t="s">
        <v>39</v>
      </c>
      <c r="G97">
        <v>-467.8578</v>
      </c>
      <c r="H97" s="1">
        <v>-1.161744E-6</v>
      </c>
      <c r="I97">
        <v>368.1481</v>
      </c>
      <c r="J97">
        <v>-491.767</v>
      </c>
      <c r="K97">
        <v>1.1047290000000001</v>
      </c>
      <c r="L97">
        <v>368.98680000000002</v>
      </c>
      <c r="M97">
        <v>0.98395409999999905</v>
      </c>
      <c r="N97">
        <v>0</v>
      </c>
      <c r="O97">
        <v>-0.17806429999999901</v>
      </c>
      <c r="P97">
        <v>0.9663138</v>
      </c>
      <c r="Q97">
        <v>0.22405069999999999</v>
      </c>
      <c r="R97">
        <v>-0.12664539999999999</v>
      </c>
      <c r="S97">
        <v>3.1188349999999998</v>
      </c>
      <c r="T97">
        <v>-0.14533769999999999</v>
      </c>
      <c r="U97">
        <v>-0.105682399999999</v>
      </c>
      <c r="V97">
        <v>-4.7795400000000002E-2</v>
      </c>
      <c r="W97">
        <v>0.234957</v>
      </c>
      <c r="X97">
        <v>0.97082999999999997</v>
      </c>
      <c r="Y97">
        <v>-0.1443017</v>
      </c>
      <c r="Z97">
        <v>1.161124E-2</v>
      </c>
      <c r="AA97">
        <v>0.98946559999999995</v>
      </c>
      <c r="AB97">
        <v>21</v>
      </c>
      <c r="AC97">
        <v>23.909199999999998</v>
      </c>
      <c r="AD97">
        <v>-1.104730161744</v>
      </c>
      <c r="AE97">
        <v>-0.83870000000001699</v>
      </c>
      <c r="AF97">
        <v>-3.42504813490795</v>
      </c>
      <c r="AG97">
        <v>-1.104730161744</v>
      </c>
      <c r="AH97">
        <v>23.626028759951101</v>
      </c>
      <c r="AI97">
        <v>92.649488935158701</v>
      </c>
      <c r="AJ97">
        <v>98.248662760860995</v>
      </c>
      <c r="AK97">
        <v>23.8985484584889</v>
      </c>
    </row>
    <row r="98" spans="1:37" x14ac:dyDescent="0.2">
      <c r="A98" t="str">
        <f>"20200111150443840"</f>
        <v>20200111150443840</v>
      </c>
      <c r="B98" t="str">
        <f>"1578726283833028"</f>
        <v>1578726283833028</v>
      </c>
      <c r="C98" t="s">
        <v>37</v>
      </c>
      <c r="D98">
        <v>5.0776919999999999</v>
      </c>
      <c r="E98">
        <v>0.46572920000000001</v>
      </c>
      <c r="F98" t="s">
        <v>39</v>
      </c>
      <c r="G98">
        <v>-465.13459999999998</v>
      </c>
      <c r="H98" s="1">
        <v>-2.34729199999999E-6</v>
      </c>
      <c r="I98">
        <v>368.0505</v>
      </c>
      <c r="J98">
        <v>-491.98160000000001</v>
      </c>
      <c r="K98">
        <v>1.104735</v>
      </c>
      <c r="L98">
        <v>369.02440000000001</v>
      </c>
      <c r="M98">
        <v>0.98376269999999999</v>
      </c>
      <c r="N98">
        <v>0</v>
      </c>
      <c r="O98">
        <v>-0.17911879999999999</v>
      </c>
      <c r="P98">
        <v>0.96558670000000002</v>
      </c>
      <c r="Q98">
        <v>0.226748799999999</v>
      </c>
      <c r="R98">
        <v>-0.12738759999999999</v>
      </c>
      <c r="S98">
        <v>3.120209</v>
      </c>
      <c r="T98">
        <v>-0.1294283</v>
      </c>
      <c r="U98">
        <v>-0.10968019999999901</v>
      </c>
      <c r="V98">
        <v>-4.7979170000000002E-2</v>
      </c>
      <c r="W98">
        <v>0.2376569</v>
      </c>
      <c r="X98">
        <v>0.97016349999999996</v>
      </c>
      <c r="Y98">
        <v>-0.144182</v>
      </c>
      <c r="Z98">
        <v>1.0377020000000001E-2</v>
      </c>
      <c r="AA98">
        <v>0.98949679999999995</v>
      </c>
      <c r="AB98">
        <v>21</v>
      </c>
      <c r="AC98">
        <v>26.847000000000001</v>
      </c>
      <c r="AD98">
        <v>-1.1047373472919999</v>
      </c>
      <c r="AE98">
        <v>-0.97390000000001398</v>
      </c>
      <c r="AF98">
        <v>-3.8444600960714399</v>
      </c>
      <c r="AG98">
        <v>-1.1047373472919999</v>
      </c>
      <c r="AH98">
        <v>26.542330438751499</v>
      </c>
      <c r="AI98">
        <v>92.358786750673502</v>
      </c>
      <c r="AJ98">
        <v>98.2415542665603</v>
      </c>
      <c r="AK98">
        <v>26.842049533458901</v>
      </c>
    </row>
    <row r="99" spans="1:37" x14ac:dyDescent="0.2">
      <c r="A99" t="str">
        <f>"20200111150443861"</f>
        <v>20200111150443861</v>
      </c>
      <c r="B99" t="str">
        <f>"1578726283853525"</f>
        <v>1578726283853525</v>
      </c>
      <c r="C99" t="s">
        <v>37</v>
      </c>
      <c r="D99">
        <v>5.1241709999999996</v>
      </c>
      <c r="E99">
        <v>0.46581119999999998</v>
      </c>
      <c r="F99" t="s">
        <v>39</v>
      </c>
      <c r="G99">
        <v>-464.95850000000002</v>
      </c>
      <c r="H99" s="1">
        <v>-2.4272490000000001E-6</v>
      </c>
      <c r="I99">
        <v>368.02569999999997</v>
      </c>
      <c r="J99">
        <v>-492.16759999999999</v>
      </c>
      <c r="K99">
        <v>1.1047290000000001</v>
      </c>
      <c r="L99">
        <v>369.0573</v>
      </c>
      <c r="M99">
        <v>0.98359540000000001</v>
      </c>
      <c r="N99">
        <v>0</v>
      </c>
      <c r="O99">
        <v>-0.1800331</v>
      </c>
      <c r="P99">
        <v>0.96515289999999998</v>
      </c>
      <c r="Q99">
        <v>0.22824649999999999</v>
      </c>
      <c r="R99">
        <v>-0.12799739999999901</v>
      </c>
      <c r="S99">
        <v>3.1216740000000001</v>
      </c>
      <c r="T99">
        <v>-0.12761729999999999</v>
      </c>
      <c r="U99">
        <v>-0.115356399999999</v>
      </c>
      <c r="V99">
        <v>-4.820456E-2</v>
      </c>
      <c r="W99">
        <v>0.23916699999999999</v>
      </c>
      <c r="X99">
        <v>0.96978120000000001</v>
      </c>
      <c r="Y99">
        <v>-0.14332899999999901</v>
      </c>
      <c r="Z99">
        <v>1.024592E-2</v>
      </c>
      <c r="AA99">
        <v>0.98962209999999995</v>
      </c>
      <c r="AB99">
        <v>20</v>
      </c>
      <c r="AC99">
        <v>27.2090999999999</v>
      </c>
      <c r="AD99">
        <v>-1.1047314272490001</v>
      </c>
      <c r="AE99">
        <v>-1.0316000000000201</v>
      </c>
      <c r="AF99">
        <v>-3.8777273309358899</v>
      </c>
      <c r="AG99">
        <v>-1.1047314272490001</v>
      </c>
      <c r="AH99">
        <v>26.9059046082821</v>
      </c>
      <c r="AI99">
        <v>92.327172881896203</v>
      </c>
      <c r="AJ99">
        <v>98.201099924137907</v>
      </c>
      <c r="AK99">
        <v>27.206339400393698</v>
      </c>
    </row>
    <row r="100" spans="1:37" x14ac:dyDescent="0.2">
      <c r="A100" t="str">
        <f>"20200111150443905"</f>
        <v>20200111150443905</v>
      </c>
      <c r="B100" t="str">
        <f>"1578726283903300"</f>
        <v>1578726283903300</v>
      </c>
      <c r="C100" t="s">
        <v>37</v>
      </c>
      <c r="D100">
        <v>5.0439720000000001</v>
      </c>
      <c r="E100">
        <v>0.46587590000000001</v>
      </c>
      <c r="F100" t="s">
        <v>39</v>
      </c>
      <c r="G100">
        <v>-464.49110000000002</v>
      </c>
      <c r="H100" s="1">
        <v>-2.6290949999999899E-6</v>
      </c>
      <c r="I100">
        <v>368.0181</v>
      </c>
      <c r="J100">
        <v>-492.56420000000003</v>
      </c>
      <c r="K100">
        <v>1.104695</v>
      </c>
      <c r="L100">
        <v>369.1277</v>
      </c>
      <c r="M100">
        <v>0.98323629999999995</v>
      </c>
      <c r="N100">
        <v>0</v>
      </c>
      <c r="O100">
        <v>-0.1819836</v>
      </c>
      <c r="P100">
        <v>0.96725000000000005</v>
      </c>
      <c r="Q100">
        <v>0.2200857</v>
      </c>
      <c r="R100">
        <v>-0.12645239999999999</v>
      </c>
      <c r="S100">
        <v>3.1223139999999998</v>
      </c>
      <c r="T100">
        <v>-0.12462959999999999</v>
      </c>
      <c r="U100">
        <v>-0.117218</v>
      </c>
      <c r="V100">
        <v>-5.2017439999999998E-2</v>
      </c>
      <c r="W100">
        <v>0.23104420000000001</v>
      </c>
      <c r="X100">
        <v>0.97155170000000002</v>
      </c>
      <c r="Y100">
        <v>-0.14471999999999999</v>
      </c>
      <c r="Z100">
        <v>1.010842E-2</v>
      </c>
      <c r="AA100">
        <v>0.989420999999999</v>
      </c>
      <c r="AB100">
        <v>20</v>
      </c>
      <c r="AC100">
        <v>28.0731</v>
      </c>
      <c r="AD100">
        <v>-1.1046976290949999</v>
      </c>
      <c r="AE100">
        <v>-1.1095999999999999</v>
      </c>
      <c r="AF100">
        <v>-4.01190000416379</v>
      </c>
      <c r="AG100">
        <v>-1.1046976290949999</v>
      </c>
      <c r="AH100">
        <v>27.763280588499001</v>
      </c>
      <c r="AI100">
        <v>92.255190734278301</v>
      </c>
      <c r="AJ100">
        <v>98.222541465660498</v>
      </c>
      <c r="AK100">
        <v>28.073393943926</v>
      </c>
    </row>
    <row r="101" spans="1:37" x14ac:dyDescent="0.2">
      <c r="A101" t="str">
        <f>"20200111150443926"</f>
        <v>20200111150443926</v>
      </c>
      <c r="B101" t="str">
        <f>"1578726283922820"</f>
        <v>1578726283922820</v>
      </c>
      <c r="C101" t="s">
        <v>37</v>
      </c>
      <c r="D101">
        <v>5.0429370000000002</v>
      </c>
      <c r="E101">
        <v>0.4662153</v>
      </c>
      <c r="F101" t="s">
        <v>39</v>
      </c>
      <c r="G101">
        <v>-468.654</v>
      </c>
      <c r="H101" s="1">
        <v>-8.0667059999999896E-7</v>
      </c>
      <c r="I101">
        <v>368.25369999999998</v>
      </c>
      <c r="J101">
        <v>-492.7595</v>
      </c>
      <c r="K101">
        <v>1.1047480000000001</v>
      </c>
      <c r="L101">
        <v>369.1628</v>
      </c>
      <c r="M101">
        <v>0.98305759999999898</v>
      </c>
      <c r="N101">
        <v>0</v>
      </c>
      <c r="O101">
        <v>-0.18294579999999999</v>
      </c>
      <c r="P101">
        <v>0.96569850000000002</v>
      </c>
      <c r="Q101">
        <v>0.22599379999999999</v>
      </c>
      <c r="R101">
        <v>-0.12787950000000001</v>
      </c>
      <c r="S101">
        <v>3.119415</v>
      </c>
      <c r="T101">
        <v>-0.1441219</v>
      </c>
      <c r="U101">
        <v>-0.1140137</v>
      </c>
      <c r="V101">
        <v>-5.129065E-2</v>
      </c>
      <c r="W101">
        <v>0.2369435</v>
      </c>
      <c r="X101">
        <v>0.97016859999999905</v>
      </c>
      <c r="Y101">
        <v>-0.14657790000000001</v>
      </c>
      <c r="Z101">
        <v>1.1785729999999999E-2</v>
      </c>
      <c r="AA101">
        <v>0.98912889999999998</v>
      </c>
      <c r="AB101">
        <v>20</v>
      </c>
      <c r="AC101">
        <v>24.105499999999999</v>
      </c>
      <c r="AD101">
        <v>-1.1047488066705999</v>
      </c>
      <c r="AE101">
        <v>-0.909100000000023</v>
      </c>
      <c r="AF101">
        <v>-3.5091683525208799</v>
      </c>
      <c r="AG101">
        <v>-1.1047488066705999</v>
      </c>
      <c r="AH101">
        <v>23.8149962972421</v>
      </c>
      <c r="AI101">
        <v>92.627645078426497</v>
      </c>
      <c r="AJ101">
        <v>98.382282923017698</v>
      </c>
      <c r="AK101">
        <v>24.097484953617698</v>
      </c>
    </row>
    <row r="102" spans="1:37" x14ac:dyDescent="0.2">
      <c r="A102" t="str">
        <f>"20200111150443949"</f>
        <v>20200111150443949</v>
      </c>
      <c r="B102" t="str">
        <f>"1578726283943316"</f>
        <v>1578726283943316</v>
      </c>
      <c r="C102" t="s">
        <v>37</v>
      </c>
      <c r="D102">
        <v>5.0114979999999996</v>
      </c>
      <c r="E102">
        <v>0.46623170000000003</v>
      </c>
      <c r="F102" t="s">
        <v>39</v>
      </c>
      <c r="G102">
        <v>-463.05590000000001</v>
      </c>
      <c r="H102" s="1">
        <v>-3.2401039999999998E-6</v>
      </c>
      <c r="I102">
        <v>368.0446</v>
      </c>
      <c r="J102">
        <v>-492.9631</v>
      </c>
      <c r="K102">
        <v>1.1048149999999901</v>
      </c>
      <c r="L102">
        <v>369.1995</v>
      </c>
      <c r="M102">
        <v>0.98287000000000002</v>
      </c>
      <c r="N102">
        <v>0</v>
      </c>
      <c r="O102">
        <v>-0.18395029999999901</v>
      </c>
      <c r="P102">
        <v>0.96217269999999899</v>
      </c>
      <c r="Q102">
        <v>0.239261</v>
      </c>
      <c r="R102">
        <v>-0.13029930000000001</v>
      </c>
      <c r="S102">
        <v>3.118134</v>
      </c>
      <c r="T102">
        <v>-0.115971</v>
      </c>
      <c r="U102">
        <v>-0.11737060000000001</v>
      </c>
      <c r="V102">
        <v>-4.9275039999999999E-2</v>
      </c>
      <c r="W102">
        <v>0.25018459999999998</v>
      </c>
      <c r="X102">
        <v>0.96694340000000001</v>
      </c>
      <c r="Y102">
        <v>-0.1466326</v>
      </c>
      <c r="Z102">
        <v>9.5267870000000001E-3</v>
      </c>
      <c r="AA102">
        <v>0.98914519999999995</v>
      </c>
      <c r="AB102">
        <v>20</v>
      </c>
      <c r="AC102">
        <v>29.9071999999999</v>
      </c>
      <c r="AD102">
        <v>-1.1048182401039901</v>
      </c>
      <c r="AE102">
        <v>-1.15489999999999</v>
      </c>
      <c r="AF102">
        <v>-4.3606611400024002</v>
      </c>
      <c r="AG102">
        <v>-1.1048182401039901</v>
      </c>
      <c r="AH102">
        <v>29.568949497176799</v>
      </c>
      <c r="AI102">
        <v>92.116936572410395</v>
      </c>
      <c r="AJ102">
        <v>98.389187777979998</v>
      </c>
      <c r="AK102">
        <v>29.909175235840099</v>
      </c>
    </row>
    <row r="103" spans="1:37" x14ac:dyDescent="0.2">
      <c r="A103" t="str">
        <f>"20200111150443974"</f>
        <v>20200111150443974</v>
      </c>
      <c r="B103" t="str">
        <f>"1578726283962836"</f>
        <v>1578726283962836</v>
      </c>
      <c r="C103" t="s">
        <v>37</v>
      </c>
      <c r="D103">
        <v>5.1978879999999998</v>
      </c>
      <c r="E103">
        <v>0.46644560000000002</v>
      </c>
      <c r="F103" t="s">
        <v>39</v>
      </c>
      <c r="G103">
        <v>-441.97410000000002</v>
      </c>
      <c r="H103" s="1">
        <v>-4.2169049999999997E-6</v>
      </c>
      <c r="I103">
        <v>367.1216</v>
      </c>
      <c r="J103">
        <v>-493.17919999999998</v>
      </c>
      <c r="K103">
        <v>1.104949</v>
      </c>
      <c r="L103">
        <v>369.23869999999999</v>
      </c>
      <c r="M103">
        <v>0.98266989999999999</v>
      </c>
      <c r="N103">
        <v>0</v>
      </c>
      <c r="O103">
        <v>-0.1850166</v>
      </c>
      <c r="P103">
        <v>0.95724310000000001</v>
      </c>
      <c r="Q103">
        <v>0.25740619999999997</v>
      </c>
      <c r="R103">
        <v>-0.1320151</v>
      </c>
      <c r="S103">
        <v>3.1174930000000001</v>
      </c>
      <c r="T103">
        <v>-6.7549230000000002E-2</v>
      </c>
      <c r="U103">
        <v>-0.12704469999999901</v>
      </c>
      <c r="V103">
        <v>-4.7753749999999998E-2</v>
      </c>
      <c r="W103">
        <v>0.2682852</v>
      </c>
      <c r="X103">
        <v>0.96215519999999999</v>
      </c>
      <c r="Y103">
        <v>-0.14478289999999999</v>
      </c>
      <c r="Z103">
        <v>5.55354099999999E-3</v>
      </c>
      <c r="AA103">
        <v>0.98944779999999999</v>
      </c>
      <c r="AB103">
        <v>20</v>
      </c>
      <c r="AC103">
        <v>51.205099999999902</v>
      </c>
      <c r="AD103">
        <v>-1.104953216905</v>
      </c>
      <c r="AE103">
        <v>-2.11709999999999</v>
      </c>
      <c r="AF103">
        <v>-7.3904234716069004</v>
      </c>
      <c r="AG103">
        <v>-1.104953216905</v>
      </c>
      <c r="AH103">
        <v>50.689110050534097</v>
      </c>
      <c r="AI103">
        <v>91.2357110011868</v>
      </c>
      <c r="AJ103">
        <v>98.295220890204206</v>
      </c>
      <c r="AK103">
        <v>51.236951103831103</v>
      </c>
    </row>
    <row r="104" spans="1:37" x14ac:dyDescent="0.2">
      <c r="A104" t="str">
        <f>"20200111150443994"</f>
        <v>20200111150443994</v>
      </c>
      <c r="B104" t="str">
        <f>"1578726283983333"</f>
        <v>1578726283983333</v>
      </c>
      <c r="C104" t="s">
        <v>37</v>
      </c>
      <c r="D104">
        <v>5.2513569999999996</v>
      </c>
      <c r="E104">
        <v>0.4664683</v>
      </c>
      <c r="F104" t="s">
        <v>41</v>
      </c>
      <c r="G104">
        <v>-180</v>
      </c>
      <c r="H104">
        <v>3.050781E-2</v>
      </c>
      <c r="I104">
        <v>355.72829999999999</v>
      </c>
      <c r="J104">
        <v>-493.36279999999999</v>
      </c>
      <c r="K104">
        <v>1.105084</v>
      </c>
      <c r="L104">
        <v>369.2722</v>
      </c>
      <c r="M104">
        <v>0.98249880000000001</v>
      </c>
      <c r="N104">
        <v>0</v>
      </c>
      <c r="O104">
        <v>-0.1859217</v>
      </c>
      <c r="P104">
        <v>0.94896769999999997</v>
      </c>
      <c r="Q104">
        <v>0.28606579999999998</v>
      </c>
      <c r="R104">
        <v>-0.13276540000000001</v>
      </c>
      <c r="S104">
        <v>3.1182859999999999</v>
      </c>
      <c r="T104">
        <v>-1.069808E-2</v>
      </c>
      <c r="U104">
        <v>-0.13452149999999999</v>
      </c>
      <c r="V104">
        <v>-4.6406419999999997E-2</v>
      </c>
      <c r="W104">
        <v>0.29685790000000001</v>
      </c>
      <c r="X104">
        <v>0.95379340000000001</v>
      </c>
      <c r="Y104">
        <v>-0.14341110000000001</v>
      </c>
      <c r="Z104">
        <v>8.800425E-4</v>
      </c>
      <c r="AA104">
        <v>0.98966279999999995</v>
      </c>
      <c r="AB104">
        <v>20</v>
      </c>
      <c r="AC104">
        <v>313.36279999999999</v>
      </c>
      <c r="AD104">
        <v>-1.0745761899999999</v>
      </c>
      <c r="AE104">
        <v>-13.543900000000001</v>
      </c>
      <c r="AF104">
        <v>-44.956456304451201</v>
      </c>
      <c r="AG104">
        <v>-1.0745761899999999</v>
      </c>
      <c r="AH104">
        <v>310.41309460181998</v>
      </c>
      <c r="AI104">
        <v>90.196295587667194</v>
      </c>
      <c r="AJ104">
        <v>98.240725765909403</v>
      </c>
      <c r="AK104">
        <v>313.65351421229201</v>
      </c>
    </row>
    <row r="105" spans="1:37" x14ac:dyDescent="0.2">
      <c r="A105" t="str">
        <f>"20200111150444196"</f>
        <v>20200111150444196</v>
      </c>
      <c r="B105" t="str">
        <f>"1578726284193173"</f>
        <v>1578726284193173</v>
      </c>
      <c r="C105" t="s">
        <v>37</v>
      </c>
      <c r="D105">
        <v>4.7312810000000001</v>
      </c>
      <c r="E105">
        <v>0.46634759999999997</v>
      </c>
      <c r="F105" t="s">
        <v>42</v>
      </c>
      <c r="G105">
        <v>-168.84350000000001</v>
      </c>
      <c r="H105">
        <v>10.08808</v>
      </c>
      <c r="I105">
        <v>355.4436</v>
      </c>
      <c r="J105">
        <v>-495.1703</v>
      </c>
      <c r="K105">
        <v>1.1048990000000001</v>
      </c>
      <c r="L105">
        <v>369.61160000000001</v>
      </c>
      <c r="M105">
        <v>0.98081949999999996</v>
      </c>
      <c r="N105">
        <v>0</v>
      </c>
      <c r="O105">
        <v>-0.19458539999999999</v>
      </c>
      <c r="P105">
        <v>0.96240999999999999</v>
      </c>
      <c r="Q105">
        <v>0.25271439999999901</v>
      </c>
      <c r="R105">
        <v>-9.9510119999999994E-2</v>
      </c>
      <c r="S105">
        <v>3.11675999999999</v>
      </c>
      <c r="T105">
        <v>8.6275580000000004E-2</v>
      </c>
      <c r="U105">
        <v>-0.1328125</v>
      </c>
      <c r="V105">
        <v>-9.006198E-2</v>
      </c>
      <c r="W105">
        <v>0.26353579999999999</v>
      </c>
      <c r="X105">
        <v>0.96043619999999996</v>
      </c>
      <c r="Y105">
        <v>-0.15253</v>
      </c>
      <c r="Z105">
        <v>-7.4614269999999996E-3</v>
      </c>
      <c r="AA105">
        <v>0.98827069999999995</v>
      </c>
      <c r="AB105">
        <v>20</v>
      </c>
      <c r="AC105">
        <v>326.32679999999999</v>
      </c>
      <c r="AD105">
        <v>8.9831810000000001</v>
      </c>
      <c r="AE105">
        <v>-14.167999999999999</v>
      </c>
      <c r="AF105">
        <v>-49.567903620005701</v>
      </c>
      <c r="AG105">
        <v>8.9831810000000001</v>
      </c>
      <c r="AH105">
        <v>322.60149317605101</v>
      </c>
      <c r="AI105">
        <v>88.423442401853904</v>
      </c>
      <c r="AJ105">
        <v>98.735214967123497</v>
      </c>
      <c r="AK105">
        <v>326.510946232403</v>
      </c>
    </row>
    <row r="106" spans="1:37" x14ac:dyDescent="0.2">
      <c r="A106" t="str">
        <f>"20200111150444266"</f>
        <v>20200111150444266</v>
      </c>
      <c r="B106" t="str">
        <f>"1578726284263446"</f>
        <v>1578726284263446</v>
      </c>
      <c r="C106" t="s">
        <v>37</v>
      </c>
      <c r="D106">
        <v>4.727042</v>
      </c>
      <c r="E106">
        <v>0.46645789999999998</v>
      </c>
      <c r="F106" t="s">
        <v>39</v>
      </c>
      <c r="G106">
        <v>-339.47379999999998</v>
      </c>
      <c r="H106" s="1">
        <v>-4.8002409999999897E-7</v>
      </c>
      <c r="I106">
        <v>368.43299999999999</v>
      </c>
      <c r="J106">
        <v>-495.79020000000003</v>
      </c>
      <c r="K106">
        <v>1.104887</v>
      </c>
      <c r="L106">
        <v>369.7321</v>
      </c>
      <c r="M106">
        <v>0.98030130000000004</v>
      </c>
      <c r="N106">
        <v>0</v>
      </c>
      <c r="O106">
        <v>-0.19717879999999999</v>
      </c>
      <c r="P106">
        <v>0.96318009999999998</v>
      </c>
      <c r="Q106">
        <v>0.25063429999999998</v>
      </c>
      <c r="R106">
        <v>-9.7296099999999996E-2</v>
      </c>
      <c r="S106">
        <v>3.12054399999999</v>
      </c>
      <c r="T106">
        <v>-2.214491E-2</v>
      </c>
      <c r="U106">
        <v>-2.362061E-2</v>
      </c>
      <c r="V106">
        <v>-9.4937670000000002E-2</v>
      </c>
      <c r="W106">
        <v>0.26145109999999999</v>
      </c>
      <c r="X106">
        <v>0.96053639999999996</v>
      </c>
      <c r="Y106">
        <v>-0.1897558</v>
      </c>
      <c r="Z106">
        <v>2.0654150000000001E-3</v>
      </c>
      <c r="AA106">
        <v>0.98182919999999996</v>
      </c>
      <c r="AB106">
        <v>20</v>
      </c>
      <c r="AC106">
        <v>156.31639999999999</v>
      </c>
      <c r="AD106">
        <v>-1.1048874800241</v>
      </c>
      <c r="AE106">
        <v>-1.29909999999995</v>
      </c>
      <c r="AF106">
        <v>-29.549213675532801</v>
      </c>
      <c r="AG106">
        <v>-1.1048874800241</v>
      </c>
      <c r="AH106">
        <v>153.49562590245901</v>
      </c>
      <c r="AI106">
        <v>90.404981892751707</v>
      </c>
      <c r="AJ106">
        <v>100.896622103935</v>
      </c>
      <c r="AK106">
        <v>156.31789397370201</v>
      </c>
    </row>
    <row r="107" spans="1:37" x14ac:dyDescent="0.2">
      <c r="A107" t="str">
        <f>"20200111150444291"</f>
        <v>20200111150444291</v>
      </c>
      <c r="B107" t="str">
        <f>"1578726284282964"</f>
        <v>1578726284282964</v>
      </c>
      <c r="C107" t="s">
        <v>37</v>
      </c>
      <c r="D107">
        <v>4.6992330000000004</v>
      </c>
      <c r="E107">
        <v>0.46680569999999999</v>
      </c>
      <c r="F107" t="s">
        <v>39</v>
      </c>
      <c r="G107">
        <v>-328.71230000000003</v>
      </c>
      <c r="H107" s="1">
        <v>-6.7549150000000001E-7</v>
      </c>
      <c r="I107">
        <v>368.82299999999998</v>
      </c>
      <c r="J107">
        <v>-496.02449999999999</v>
      </c>
      <c r="K107">
        <v>1.104884</v>
      </c>
      <c r="L107">
        <v>369.7783</v>
      </c>
      <c r="M107">
        <v>0.9801242</v>
      </c>
      <c r="N107">
        <v>0</v>
      </c>
      <c r="O107">
        <v>-0.19805739999999999</v>
      </c>
      <c r="P107">
        <v>0.96428409999999998</v>
      </c>
      <c r="Q107">
        <v>0.244962399999999</v>
      </c>
      <c r="R107">
        <v>-0.10074470000000001</v>
      </c>
      <c r="S107">
        <v>3.118347</v>
      </c>
      <c r="T107">
        <v>-2.062166E-2</v>
      </c>
      <c r="U107">
        <v>-1.696777E-2</v>
      </c>
      <c r="V107">
        <v>-9.2634149999999998E-2</v>
      </c>
      <c r="W107">
        <v>0.255803</v>
      </c>
      <c r="X107">
        <v>0.96228049999999998</v>
      </c>
      <c r="Y107">
        <v>-0.19272539999999999</v>
      </c>
      <c r="Z107">
        <v>1.9403229999999899E-3</v>
      </c>
      <c r="AA107">
        <v>0.98125079999999998</v>
      </c>
      <c r="AB107">
        <v>20</v>
      </c>
      <c r="AC107">
        <v>167.312199999999</v>
      </c>
      <c r="AD107">
        <v>-1.1048846754915</v>
      </c>
      <c r="AE107">
        <v>-0.95529999999996495</v>
      </c>
      <c r="AF107">
        <v>-32.2017927808877</v>
      </c>
      <c r="AG107">
        <v>-1.1048846754915</v>
      </c>
      <c r="AH107">
        <v>164.17943850565001</v>
      </c>
      <c r="AI107">
        <v>90.378370717524902</v>
      </c>
      <c r="AJ107">
        <v>101.09699824187</v>
      </c>
      <c r="AK107">
        <v>167.311279525559</v>
      </c>
    </row>
    <row r="108" spans="1:37" x14ac:dyDescent="0.2">
      <c r="A108" t="str">
        <f>"20200111150444314"</f>
        <v>20200111150444314</v>
      </c>
      <c r="B108" t="str">
        <f>"1578726284303461"</f>
        <v>1578726284303461</v>
      </c>
      <c r="C108" t="s">
        <v>37</v>
      </c>
      <c r="D108">
        <v>4.7210929999999998</v>
      </c>
      <c r="E108">
        <v>0.46680569999999999</v>
      </c>
      <c r="F108" t="s">
        <v>39</v>
      </c>
      <c r="G108">
        <v>-385.00080000000003</v>
      </c>
      <c r="H108" s="1">
        <v>-2.290909E-6</v>
      </c>
      <c r="I108">
        <v>368.69189999999998</v>
      </c>
      <c r="J108">
        <v>-496.2244</v>
      </c>
      <c r="K108">
        <v>1.1049209999999901</v>
      </c>
      <c r="L108">
        <v>369.81790000000001</v>
      </c>
      <c r="M108">
        <v>0.97998430000000003</v>
      </c>
      <c r="N108">
        <v>0</v>
      </c>
      <c r="O108">
        <v>-0.1987486</v>
      </c>
      <c r="P108">
        <v>0.96384609999999904</v>
      </c>
      <c r="Q108">
        <v>0.24611379999999999</v>
      </c>
      <c r="R108">
        <v>-0.1021225</v>
      </c>
      <c r="S108">
        <v>3.1157840000000001</v>
      </c>
      <c r="T108">
        <v>-3.1007650000000001E-2</v>
      </c>
      <c r="U108">
        <v>-3.048706E-2</v>
      </c>
      <c r="V108">
        <v>-9.1880539999999997E-2</v>
      </c>
      <c r="W108">
        <v>0.2569553</v>
      </c>
      <c r="X108">
        <v>0.9620457</v>
      </c>
      <c r="Y108">
        <v>-0.189143899999999</v>
      </c>
      <c r="Z108">
        <v>2.9086059999999898E-3</v>
      </c>
      <c r="AA108">
        <v>0.98194509999999902</v>
      </c>
      <c r="AB108">
        <v>20</v>
      </c>
      <c r="AC108">
        <v>111.223599999999</v>
      </c>
      <c r="AD108">
        <v>-1.1049232909090001</v>
      </c>
      <c r="AE108">
        <v>-1.1260000000000301</v>
      </c>
      <c r="AF108">
        <v>-21.001362873859701</v>
      </c>
      <c r="AG108">
        <v>-1.1049232909090001</v>
      </c>
      <c r="AH108">
        <v>109.217482487075</v>
      </c>
      <c r="AI108">
        <v>90.569198995099498</v>
      </c>
      <c r="AJ108">
        <v>100.884515697719</v>
      </c>
      <c r="AK108">
        <v>111.22381300267</v>
      </c>
    </row>
    <row r="109" spans="1:37" x14ac:dyDescent="0.2">
      <c r="A109" t="str">
        <f>"20200111150444376"</f>
        <v>20200111150444376</v>
      </c>
      <c r="B109" t="str">
        <f>"1578726284373733"</f>
        <v>1578726284373733</v>
      </c>
      <c r="C109" t="s">
        <v>37</v>
      </c>
      <c r="D109">
        <v>4.8903629999999998</v>
      </c>
      <c r="E109">
        <v>0.59440990000000005</v>
      </c>
      <c r="F109" t="s">
        <v>39</v>
      </c>
      <c r="G109">
        <v>-370.63630000000001</v>
      </c>
      <c r="H109" s="1">
        <v>-4.216446E-6</v>
      </c>
      <c r="I109">
        <v>368.3922</v>
      </c>
      <c r="J109">
        <v>-496.767</v>
      </c>
      <c r="K109">
        <v>1.104373</v>
      </c>
      <c r="L109">
        <v>369.92630000000003</v>
      </c>
      <c r="M109">
        <v>0.97963180000000005</v>
      </c>
      <c r="N109">
        <v>0</v>
      </c>
      <c r="O109">
        <v>-0.20057949999999999</v>
      </c>
      <c r="P109">
        <v>0.95999559999999995</v>
      </c>
      <c r="Q109">
        <v>0.25829009999999902</v>
      </c>
      <c r="R109">
        <v>-0.1081428</v>
      </c>
      <c r="S109">
        <v>3.11575299999999</v>
      </c>
      <c r="T109">
        <v>-2.7412410000000002E-2</v>
      </c>
      <c r="U109">
        <v>-3.5369869999999998E-2</v>
      </c>
      <c r="V109">
        <v>-8.6950340000000001E-2</v>
      </c>
      <c r="W109">
        <v>0.26728629999999998</v>
      </c>
      <c r="X109">
        <v>0.95968619999999905</v>
      </c>
      <c r="Y109">
        <v>-0.1894401</v>
      </c>
      <c r="Z109">
        <v>2.588431E-3</v>
      </c>
      <c r="AA109">
        <v>0.98188889999999995</v>
      </c>
      <c r="AB109">
        <v>20</v>
      </c>
      <c r="AC109">
        <v>126.1307</v>
      </c>
      <c r="AD109">
        <v>-1.104377216446</v>
      </c>
      <c r="AE109">
        <v>-1.53410000000002</v>
      </c>
      <c r="AF109">
        <v>-23.795619367954799</v>
      </c>
      <c r="AG109">
        <v>-1.104377216446</v>
      </c>
      <c r="AH109">
        <v>123.86539640498199</v>
      </c>
      <c r="AI109">
        <v>90.501659839275106</v>
      </c>
      <c r="AJ109">
        <v>100.874531436198</v>
      </c>
      <c r="AK109">
        <v>126.13519563033999</v>
      </c>
    </row>
    <row r="110" spans="1:37" x14ac:dyDescent="0.2">
      <c r="A110" t="str">
        <f>"20200111150444398"</f>
        <v>20200111150444398</v>
      </c>
      <c r="B110" t="str">
        <f>"1578726284393252"</f>
        <v>1578726284393252</v>
      </c>
      <c r="C110" t="s">
        <v>37</v>
      </c>
      <c r="D110">
        <v>4.8519300000000003</v>
      </c>
      <c r="E110">
        <v>0.59536230000000001</v>
      </c>
      <c r="F110" t="s">
        <v>38</v>
      </c>
      <c r="G110">
        <v>-496.22160000000002</v>
      </c>
      <c r="H110">
        <v>1.0352870000000001</v>
      </c>
      <c r="I110">
        <v>369.73899999999998</v>
      </c>
      <c r="J110">
        <v>-496.9545</v>
      </c>
      <c r="K110">
        <v>1.1040809999999901</v>
      </c>
      <c r="L110">
        <v>369.964</v>
      </c>
      <c r="M110">
        <v>0.97950139999999997</v>
      </c>
      <c r="N110">
        <v>0</v>
      </c>
      <c r="O110">
        <v>-0.201263</v>
      </c>
      <c r="P110">
        <v>0.96016170000000001</v>
      </c>
      <c r="Q110">
        <v>0.25586529999999902</v>
      </c>
      <c r="R110">
        <v>-0.11234860000000001</v>
      </c>
      <c r="S110">
        <v>3.1107480000000001</v>
      </c>
      <c r="T110">
        <v>-0.39407769999999998</v>
      </c>
      <c r="U110">
        <v>-1.0680240000000001</v>
      </c>
      <c r="V110">
        <v>-8.3487999999999896E-2</v>
      </c>
      <c r="W110">
        <v>0.26384679999999999</v>
      </c>
      <c r="X110">
        <v>0.96094469999999998</v>
      </c>
      <c r="Y110">
        <v>0.1282181</v>
      </c>
      <c r="Z110">
        <v>1.6498849999999999E-2</v>
      </c>
      <c r="AA110">
        <v>0.99160869999999901</v>
      </c>
      <c r="AB110">
        <v>20</v>
      </c>
      <c r="AC110">
        <v>0.73289999999997202</v>
      </c>
      <c r="AD110">
        <v>-6.87939999999998E-2</v>
      </c>
      <c r="AE110">
        <v>-0.22499999999996501</v>
      </c>
      <c r="AF110">
        <v>7.2302551814289295E-2</v>
      </c>
      <c r="AG110">
        <v>-6.87939999999998E-2</v>
      </c>
      <c r="AH110">
        <v>0.75709155717744403</v>
      </c>
      <c r="AI110">
        <v>95.168601171836499</v>
      </c>
      <c r="AJ110">
        <v>84.544774078966</v>
      </c>
      <c r="AK110">
        <v>0.76364121116151495</v>
      </c>
    </row>
    <row r="111" spans="1:37" x14ac:dyDescent="0.2">
      <c r="A111" t="str">
        <f>"20200111150446230"</f>
        <v>20200111150446230</v>
      </c>
      <c r="B111" t="str">
        <f>"1578726286223767"</f>
        <v>1578726286223767</v>
      </c>
      <c r="C111" t="s">
        <v>37</v>
      </c>
      <c r="D111">
        <v>4.9445449999999997</v>
      </c>
      <c r="E111">
        <v>0.50913710000000001</v>
      </c>
      <c r="F111" t="s">
        <v>38</v>
      </c>
      <c r="G111">
        <v>-496.3904</v>
      </c>
      <c r="H111">
        <v>1.04101</v>
      </c>
      <c r="I111">
        <v>369.76459999999997</v>
      </c>
      <c r="J111">
        <v>-508.1198</v>
      </c>
      <c r="K111">
        <v>1.103521</v>
      </c>
      <c r="L111">
        <v>372.52640000000002</v>
      </c>
      <c r="M111">
        <v>0.96789590000000003</v>
      </c>
      <c r="N111">
        <v>0</v>
      </c>
      <c r="O111">
        <v>-0.25108839999999999</v>
      </c>
      <c r="P111">
        <v>0.99062220000000001</v>
      </c>
      <c r="Q111">
        <v>0.11026859999999999</v>
      </c>
      <c r="R111">
        <v>-8.0679420000000002E-2</v>
      </c>
      <c r="S111">
        <v>3.0891109999999999</v>
      </c>
      <c r="T111">
        <v>-0.34580609999999901</v>
      </c>
      <c r="U111">
        <v>-1.0897219999999901</v>
      </c>
      <c r="V111">
        <v>-0.1707012</v>
      </c>
      <c r="W111">
        <v>0.1214648</v>
      </c>
      <c r="X111">
        <v>0.97780750000000005</v>
      </c>
      <c r="Y111">
        <v>8.6083119999999999E-2</v>
      </c>
      <c r="Z111">
        <v>2.2036759999999999E-2</v>
      </c>
      <c r="AA111">
        <v>0.99604419999999905</v>
      </c>
      <c r="AB111">
        <v>13</v>
      </c>
      <c r="AC111">
        <v>11.729399999999901</v>
      </c>
      <c r="AD111">
        <v>-6.25109999999999E-2</v>
      </c>
      <c r="AE111">
        <v>-2.7618000000000502</v>
      </c>
      <c r="AF111">
        <v>-0.27199203468928101</v>
      </c>
      <c r="AG111">
        <v>-6.25109999999999E-2</v>
      </c>
      <c r="AH111">
        <v>12.0467659144803</v>
      </c>
      <c r="AI111">
        <v>90.297230960738702</v>
      </c>
      <c r="AJ111">
        <v>91.293405093282701</v>
      </c>
      <c r="AK111">
        <v>12.049998186321</v>
      </c>
    </row>
    <row r="112" spans="1:37" x14ac:dyDescent="0.2">
      <c r="A112" t="str">
        <f>"20200111150446275"</f>
        <v>20200111150446275</v>
      </c>
      <c r="B112" t="str">
        <f>"1578726286263783"</f>
        <v>1578726286263783</v>
      </c>
      <c r="C112" t="s">
        <v>37</v>
      </c>
      <c r="D112">
        <v>5.2805580000000001</v>
      </c>
      <c r="E112">
        <v>0.50913710000000001</v>
      </c>
      <c r="F112" t="s">
        <v>43</v>
      </c>
      <c r="G112">
        <v>-168.42740000000001</v>
      </c>
      <c r="H112">
        <v>82.363010000000003</v>
      </c>
      <c r="I112">
        <v>338.48590000000002</v>
      </c>
      <c r="J112">
        <v>-508.36989999999997</v>
      </c>
      <c r="K112">
        <v>1.1035569999999999</v>
      </c>
      <c r="L112">
        <v>372.59019999999998</v>
      </c>
      <c r="M112">
        <v>0.96765689999999904</v>
      </c>
      <c r="N112">
        <v>0</v>
      </c>
      <c r="O112">
        <v>-0.25200729999999999</v>
      </c>
      <c r="P112">
        <v>0.98972490000000002</v>
      </c>
      <c r="Q112">
        <v>0.109208</v>
      </c>
      <c r="R112">
        <v>-9.2293700000000006E-2</v>
      </c>
      <c r="S112">
        <v>2.9266049999999999</v>
      </c>
      <c r="T112">
        <v>0.70008769999999998</v>
      </c>
      <c r="U112">
        <v>-0.29327389999999998</v>
      </c>
      <c r="V112">
        <v>-0.16016469999999999</v>
      </c>
      <c r="W112">
        <v>0.120432399999999</v>
      </c>
      <c r="X112">
        <v>0.97971589999999997</v>
      </c>
      <c r="Y112">
        <v>-0.14341570000000001</v>
      </c>
      <c r="Z112">
        <v>-7.5505340000000004E-2</v>
      </c>
      <c r="AA112">
        <v>0.98677800000000004</v>
      </c>
      <c r="AB112">
        <v>13</v>
      </c>
      <c r="AC112">
        <v>339.9425</v>
      </c>
      <c r="AD112">
        <v>81.259452999999993</v>
      </c>
      <c r="AE112">
        <v>-34.104299999999903</v>
      </c>
      <c r="AF112">
        <v>-49.850184255560002</v>
      </c>
      <c r="AG112">
        <v>81.259452999999993</v>
      </c>
      <c r="AH112">
        <v>319.49093205469899</v>
      </c>
      <c r="AI112">
        <v>75.893685402757001</v>
      </c>
      <c r="AJ112">
        <v>98.868356546420998</v>
      </c>
      <c r="AK112">
        <v>333.41055057894101</v>
      </c>
    </row>
    <row r="113" spans="1:37" x14ac:dyDescent="0.2">
      <c r="A113" t="str">
        <f>"20200111150446296"</f>
        <v>20200111150446296</v>
      </c>
      <c r="B113" t="str">
        <f>"1578726286293063"</f>
        <v>1578726286293063</v>
      </c>
      <c r="C113" t="s">
        <v>37</v>
      </c>
      <c r="D113">
        <v>5.3300510000000001</v>
      </c>
      <c r="E113">
        <v>0.58093009999999901</v>
      </c>
      <c r="F113" t="s">
        <v>43</v>
      </c>
      <c r="G113">
        <v>-169.00919999999999</v>
      </c>
      <c r="H113">
        <v>81.975489999999994</v>
      </c>
      <c r="I113">
        <v>334.41070000000002</v>
      </c>
      <c r="J113">
        <v>-508.4932</v>
      </c>
      <c r="K113">
        <v>1.1035569999999999</v>
      </c>
      <c r="L113">
        <v>372.62169999999998</v>
      </c>
      <c r="M113">
        <v>0.96753869999999897</v>
      </c>
      <c r="N113">
        <v>0</v>
      </c>
      <c r="O113">
        <v>-0.25246059999999998</v>
      </c>
      <c r="P113">
        <v>0.9898981</v>
      </c>
      <c r="Q113">
        <v>0.1029202</v>
      </c>
      <c r="R113">
        <v>-9.7514669999999998E-2</v>
      </c>
      <c r="S113">
        <v>2.9236149999999999</v>
      </c>
      <c r="T113">
        <v>0.69671669999999997</v>
      </c>
      <c r="U113">
        <v>-0.3289185</v>
      </c>
      <c r="V113">
        <v>-0.15561329999999901</v>
      </c>
      <c r="W113">
        <v>0.114163599999999</v>
      </c>
      <c r="X113">
        <v>0.98119880000000004</v>
      </c>
      <c r="Y113">
        <v>-0.13226849999999901</v>
      </c>
      <c r="Z113">
        <v>-7.3954430000000002E-2</v>
      </c>
      <c r="AA113">
        <v>0.98845119999999898</v>
      </c>
      <c r="AB113">
        <v>13</v>
      </c>
      <c r="AC113">
        <v>339.48399999999998</v>
      </c>
      <c r="AD113">
        <v>80.871932999999999</v>
      </c>
      <c r="AE113">
        <v>-38.210999999999899</v>
      </c>
      <c r="AF113">
        <v>-46.152601566533299</v>
      </c>
      <c r="AG113">
        <v>80.871932999999999</v>
      </c>
      <c r="AH113">
        <v>320.18999043917501</v>
      </c>
      <c r="AI113">
        <v>75.964231882397797</v>
      </c>
      <c r="AJ113">
        <v>98.202194621158895</v>
      </c>
      <c r="AK113">
        <v>333.45458784661298</v>
      </c>
    </row>
    <row r="114" spans="1:37" x14ac:dyDescent="0.2">
      <c r="A114" t="str">
        <f>"20200111150446320"</f>
        <v>20200111150446320</v>
      </c>
      <c r="B114" t="str">
        <f>"1578726286313560"</f>
        <v>1578726286313560</v>
      </c>
      <c r="C114" t="s">
        <v>37</v>
      </c>
      <c r="D114">
        <v>5.3861540000000003</v>
      </c>
      <c r="E114">
        <v>0.57946790000000004</v>
      </c>
      <c r="F114" t="s">
        <v>44</v>
      </c>
      <c r="G114">
        <v>-388.72480000000002</v>
      </c>
      <c r="H114">
        <v>16.908000000000001</v>
      </c>
      <c r="I114">
        <v>334.14670000000001</v>
      </c>
      <c r="J114">
        <v>-508.62060000000002</v>
      </c>
      <c r="K114">
        <v>1.103548</v>
      </c>
      <c r="L114">
        <v>372.65440000000001</v>
      </c>
      <c r="M114">
        <v>0.96739259999999905</v>
      </c>
      <c r="N114">
        <v>0</v>
      </c>
      <c r="O114">
        <v>-0.25301820000000003</v>
      </c>
      <c r="P114">
        <v>0.98989329999999998</v>
      </c>
      <c r="Q114">
        <v>9.7290399999999999E-2</v>
      </c>
      <c r="R114">
        <v>-0.10317899999999899</v>
      </c>
      <c r="S114">
        <v>2.8990480000000001</v>
      </c>
      <c r="T114">
        <v>0.382555599999999</v>
      </c>
      <c r="U114">
        <v>-0.93130489999999999</v>
      </c>
      <c r="V114">
        <v>-0.1506979</v>
      </c>
      <c r="W114">
        <v>0.10858859999999999</v>
      </c>
      <c r="X114">
        <v>0.98259789999999902</v>
      </c>
      <c r="Y114">
        <v>5.6470069999999997E-2</v>
      </c>
      <c r="Z114">
        <v>-2.8236959999999998E-2</v>
      </c>
      <c r="AA114">
        <v>0.99800489999999997</v>
      </c>
      <c r="AB114">
        <v>13</v>
      </c>
      <c r="AC114">
        <v>119.89579999999999</v>
      </c>
      <c r="AD114">
        <v>15.804452</v>
      </c>
      <c r="AE114">
        <v>-38.5077</v>
      </c>
      <c r="AF114">
        <v>6.8094484560245103</v>
      </c>
      <c r="AG114">
        <v>15.804452</v>
      </c>
      <c r="AH114">
        <v>123.78802767083199</v>
      </c>
      <c r="AI114">
        <v>82.735075255177506</v>
      </c>
      <c r="AJ114">
        <v>86.851393097017507</v>
      </c>
      <c r="AK114">
        <v>124.978498494462</v>
      </c>
    </row>
    <row r="115" spans="1:37" x14ac:dyDescent="0.2">
      <c r="A115" t="str">
        <f>"20200111150446362"</f>
        <v>20200111150446362</v>
      </c>
      <c r="B115" t="str">
        <f>"1578726286353575"</f>
        <v>1578726286353575</v>
      </c>
      <c r="C115" t="s">
        <v>37</v>
      </c>
      <c r="D115">
        <v>5.231026</v>
      </c>
      <c r="E115">
        <v>0.5673222</v>
      </c>
      <c r="F115" t="s">
        <v>44</v>
      </c>
      <c r="G115">
        <v>-389.10329999999999</v>
      </c>
      <c r="H115">
        <v>14.83376</v>
      </c>
      <c r="I115">
        <v>333.97609999999997</v>
      </c>
      <c r="J115">
        <v>-508.8569</v>
      </c>
      <c r="K115">
        <v>1.1034949999999999</v>
      </c>
      <c r="L115">
        <v>372.71510000000001</v>
      </c>
      <c r="M115">
        <v>0.96699230000000003</v>
      </c>
      <c r="N115">
        <v>0</v>
      </c>
      <c r="O115">
        <v>-0.25453989999999999</v>
      </c>
      <c r="P115">
        <v>0.99052309999999999</v>
      </c>
      <c r="Q115">
        <v>8.3032309999999998E-2</v>
      </c>
      <c r="R115">
        <v>-0.10940950000000001</v>
      </c>
      <c r="S115">
        <v>2.9000240000000002</v>
      </c>
      <c r="T115">
        <v>0.33315809999999901</v>
      </c>
      <c r="U115">
        <v>-0.93850710000000004</v>
      </c>
      <c r="V115">
        <v>-0.1464078</v>
      </c>
      <c r="W115">
        <v>9.4407249999999998E-2</v>
      </c>
      <c r="X115">
        <v>0.9847091</v>
      </c>
      <c r="Y115">
        <v>5.6694799999999997E-2</v>
      </c>
      <c r="Z115">
        <v>-2.4745610000000001E-2</v>
      </c>
      <c r="AA115">
        <v>0.99808479999999999</v>
      </c>
      <c r="AB115">
        <v>13</v>
      </c>
      <c r="AC115">
        <v>119.75360000000001</v>
      </c>
      <c r="AD115">
        <v>13.730264999999999</v>
      </c>
      <c r="AE115">
        <v>-38.738999999999997</v>
      </c>
      <c r="AF115">
        <v>6.8966454389838701</v>
      </c>
      <c r="AG115">
        <v>13.730264999999999</v>
      </c>
      <c r="AH115">
        <v>124.192012126706</v>
      </c>
      <c r="AI115">
        <v>83.700812566991203</v>
      </c>
      <c r="AJ115">
        <v>86.821508638192597</v>
      </c>
      <c r="AK115">
        <v>125.13888193267999</v>
      </c>
    </row>
    <row r="116" spans="1:37" x14ac:dyDescent="0.2">
      <c r="A116" t="str">
        <f>"20200111150446385"</f>
        <v>20200111150446385</v>
      </c>
      <c r="B116" t="str">
        <f>"1578726286383831"</f>
        <v>1578726286383831</v>
      </c>
      <c r="C116" t="s">
        <v>37</v>
      </c>
      <c r="D116">
        <v>5.2499789999999997</v>
      </c>
      <c r="E116">
        <v>0.57121739999999999</v>
      </c>
      <c r="F116" t="s">
        <v>38</v>
      </c>
      <c r="G116">
        <v>-508.2396</v>
      </c>
      <c r="H116">
        <v>1.0073080000000001</v>
      </c>
      <c r="I116">
        <v>372.52879999999999</v>
      </c>
      <c r="J116">
        <v>-508.9873</v>
      </c>
      <c r="K116">
        <v>1.1034389999999901</v>
      </c>
      <c r="L116">
        <v>372.7484</v>
      </c>
      <c r="M116">
        <v>0.96682099999999904</v>
      </c>
      <c r="N116">
        <v>0</v>
      </c>
      <c r="O116">
        <v>-0.25519760000000002</v>
      </c>
      <c r="P116">
        <v>0.99059680000000006</v>
      </c>
      <c r="Q116">
        <v>7.9370659999999996E-2</v>
      </c>
      <c r="R116">
        <v>-0.1114381</v>
      </c>
      <c r="S116">
        <v>2.96856699999999</v>
      </c>
      <c r="T116">
        <v>-0.46265779999999901</v>
      </c>
      <c r="U116">
        <v>-0.89517209999999903</v>
      </c>
      <c r="V116">
        <v>-0.1451855</v>
      </c>
      <c r="W116">
        <v>9.0483079999999994E-2</v>
      </c>
      <c r="X116">
        <v>0.98525830000000003</v>
      </c>
      <c r="Y116">
        <v>3.712385E-2</v>
      </c>
      <c r="Z116">
        <v>3.519485E-2</v>
      </c>
      <c r="AA116">
        <v>0.99869069999999904</v>
      </c>
      <c r="AB116">
        <v>13</v>
      </c>
      <c r="AC116">
        <v>0.74770000000000802</v>
      </c>
      <c r="AD116">
        <v>-9.6130999999999703E-2</v>
      </c>
      <c r="AE116">
        <v>-0.21960000000001401</v>
      </c>
      <c r="AF116">
        <v>2.11817290175727E-2</v>
      </c>
      <c r="AG116">
        <v>-9.6130999999999703E-2</v>
      </c>
      <c r="AH116">
        <v>0.76730823257458203</v>
      </c>
      <c r="AI116">
        <v>97.138313477674501</v>
      </c>
      <c r="AJ116">
        <v>88.418737758196301</v>
      </c>
      <c r="AK116">
        <v>0.77359663816610702</v>
      </c>
    </row>
    <row r="117" spans="1:37" x14ac:dyDescent="0.2">
      <c r="A117" t="str">
        <f>"20200111150446409"</f>
        <v>20200111150446409</v>
      </c>
      <c r="B117" t="str">
        <f>"1578726286403351"</f>
        <v>1578726286403351</v>
      </c>
      <c r="C117" t="s">
        <v>37</v>
      </c>
      <c r="D117">
        <v>5.3232229999999996</v>
      </c>
      <c r="E117">
        <v>0.57345559999999995</v>
      </c>
      <c r="F117" t="s">
        <v>38</v>
      </c>
      <c r="G117">
        <v>-508.36059999999998</v>
      </c>
      <c r="H117">
        <v>0.99321130000000002</v>
      </c>
      <c r="I117">
        <v>372.55090000000001</v>
      </c>
      <c r="J117">
        <v>-509.11939999999998</v>
      </c>
      <c r="K117">
        <v>1.1033959999999901</v>
      </c>
      <c r="L117">
        <v>372.78179999999998</v>
      </c>
      <c r="M117">
        <v>0.96677019999999902</v>
      </c>
      <c r="N117">
        <v>0</v>
      </c>
      <c r="O117">
        <v>-0.25540109999999999</v>
      </c>
      <c r="P117">
        <v>0.99067839999999996</v>
      </c>
      <c r="Q117">
        <v>7.6440739999999993E-2</v>
      </c>
      <c r="R117">
        <v>-0.112752399999999</v>
      </c>
      <c r="S117">
        <v>2.9653930000000002</v>
      </c>
      <c r="T117">
        <v>-0.52174469999999995</v>
      </c>
      <c r="U117">
        <v>-0.93243410000000004</v>
      </c>
      <c r="V117">
        <v>-0.1442215</v>
      </c>
      <c r="W117">
        <v>8.7165999999999993E-2</v>
      </c>
      <c r="X117">
        <v>0.98569889999999905</v>
      </c>
      <c r="Y117">
        <v>4.9123220000000002E-2</v>
      </c>
      <c r="Z117">
        <v>3.859311E-2</v>
      </c>
      <c r="AA117">
        <v>0.99804680000000001</v>
      </c>
      <c r="AB117">
        <v>13</v>
      </c>
      <c r="AC117">
        <v>0.75880000000000702</v>
      </c>
      <c r="AD117">
        <v>-0.110184699999999</v>
      </c>
      <c r="AE117">
        <v>-0.230899999999962</v>
      </c>
      <c r="AF117">
        <v>2.8873512167030602E-2</v>
      </c>
      <c r="AG117">
        <v>-0.110184699999999</v>
      </c>
      <c r="AH117">
        <v>0.77760045747291495</v>
      </c>
      <c r="AI117">
        <v>98.059544541823797</v>
      </c>
      <c r="AJ117">
        <v>87.873495706614705</v>
      </c>
      <c r="AK117">
        <v>0.78589873347717998</v>
      </c>
    </row>
    <row r="118" spans="1:37" x14ac:dyDescent="0.2">
      <c r="A118" t="str">
        <f>"20200111150446432"</f>
        <v>20200111150446432</v>
      </c>
      <c r="B118" t="str">
        <f>"1578726286422871"</f>
        <v>1578726286422871</v>
      </c>
      <c r="C118" t="s">
        <v>37</v>
      </c>
      <c r="D118">
        <v>5.3256550000000002</v>
      </c>
      <c r="E118">
        <v>0.57502810000000004</v>
      </c>
      <c r="F118" t="s">
        <v>38</v>
      </c>
      <c r="G118">
        <v>-508.47559999999999</v>
      </c>
      <c r="H118">
        <v>0.99149080000000001</v>
      </c>
      <c r="I118">
        <v>372.57440000000003</v>
      </c>
      <c r="J118">
        <v>-509.25360000000001</v>
      </c>
      <c r="K118">
        <v>1.103261</v>
      </c>
      <c r="L118">
        <v>372.81560000000002</v>
      </c>
      <c r="M118">
        <v>0.96681689999999998</v>
      </c>
      <c r="N118">
        <v>0</v>
      </c>
      <c r="O118">
        <v>-0.2552412</v>
      </c>
      <c r="P118">
        <v>0.99066909999999897</v>
      </c>
      <c r="Q118">
        <v>7.4666769999999993E-2</v>
      </c>
      <c r="R118">
        <v>-0.11401699999999999</v>
      </c>
      <c r="S118">
        <v>2.95950299999999</v>
      </c>
      <c r="T118">
        <v>-0.51455320000000004</v>
      </c>
      <c r="U118">
        <v>-0.95230099999999995</v>
      </c>
      <c r="V118">
        <v>-0.14292829999999901</v>
      </c>
      <c r="W118">
        <v>8.4853380000000006E-2</v>
      </c>
      <c r="X118">
        <v>0.98608890000000005</v>
      </c>
      <c r="Y118">
        <v>5.5777609999999998E-2</v>
      </c>
      <c r="Z118">
        <v>3.7507520000000003E-2</v>
      </c>
      <c r="AA118">
        <v>0.99773849999999997</v>
      </c>
      <c r="AB118">
        <v>13</v>
      </c>
      <c r="AC118">
        <v>0.77800000000002001</v>
      </c>
      <c r="AD118">
        <v>-0.111770199999999</v>
      </c>
      <c r="AE118">
        <v>-0.241199999999992</v>
      </c>
      <c r="AF118">
        <v>3.398077088544E-2</v>
      </c>
      <c r="AG118">
        <v>-0.111770199999999</v>
      </c>
      <c r="AH118">
        <v>0.79875526040835398</v>
      </c>
      <c r="AI118">
        <v>97.958596975550805</v>
      </c>
      <c r="AJ118">
        <v>87.563982898212501</v>
      </c>
      <c r="AK118">
        <v>0.80725289496416597</v>
      </c>
    </row>
    <row r="119" spans="1:37" x14ac:dyDescent="0.2">
      <c r="A119" t="str">
        <f>"20200111150446453"</f>
        <v>20200111150446453</v>
      </c>
      <c r="B119" t="str">
        <f>"1578726286443368"</f>
        <v>1578726286443368</v>
      </c>
      <c r="C119" t="s">
        <v>37</v>
      </c>
      <c r="D119">
        <v>5.2984019999999896</v>
      </c>
      <c r="E119">
        <v>0.57601939999999996</v>
      </c>
      <c r="F119" t="s">
        <v>38</v>
      </c>
      <c r="G119">
        <v>-508.68740000000003</v>
      </c>
      <c r="H119">
        <v>1.0198929999999999</v>
      </c>
      <c r="I119">
        <v>372.63010000000003</v>
      </c>
      <c r="J119">
        <v>-509.37079999999997</v>
      </c>
      <c r="K119">
        <v>1.1028659999999999</v>
      </c>
      <c r="L119">
        <v>372.84539999999998</v>
      </c>
      <c r="M119">
        <v>0.96683589999999997</v>
      </c>
      <c r="N119">
        <v>0</v>
      </c>
      <c r="O119">
        <v>-0.25519429999999999</v>
      </c>
      <c r="P119">
        <v>0.99044500000000002</v>
      </c>
      <c r="Q119">
        <v>7.2935920000000001E-2</v>
      </c>
      <c r="R119">
        <v>-0.1170451</v>
      </c>
      <c r="S119">
        <v>2.9498289999999998</v>
      </c>
      <c r="T119">
        <v>-0.43444250000000001</v>
      </c>
      <c r="U119">
        <v>-0.96591190000000005</v>
      </c>
      <c r="V119">
        <v>-0.13996889999999901</v>
      </c>
      <c r="W119">
        <v>8.2401039999999995E-2</v>
      </c>
      <c r="X119">
        <v>0.98672119999999996</v>
      </c>
      <c r="Y119">
        <v>6.0168560000000003E-2</v>
      </c>
      <c r="Z119">
        <v>3.1480889999999997E-2</v>
      </c>
      <c r="AA119">
        <v>0.99769169999999996</v>
      </c>
      <c r="AB119">
        <v>13</v>
      </c>
      <c r="AC119">
        <v>0.68339999999994905</v>
      </c>
      <c r="AD119">
        <v>-8.2972999999999894E-2</v>
      </c>
      <c r="AE119">
        <v>-0.215299999999956</v>
      </c>
      <c r="AF119">
        <v>3.3314992202158097E-2</v>
      </c>
      <c r="AG119">
        <v>-8.2972999999999894E-2</v>
      </c>
      <c r="AH119">
        <v>0.70624557781529296</v>
      </c>
      <c r="AI119">
        <v>96.693282019996005</v>
      </c>
      <c r="AJ119">
        <v>87.299247497412694</v>
      </c>
      <c r="AK119">
        <v>0.71188287212018697</v>
      </c>
    </row>
    <row r="120" spans="1:37" x14ac:dyDescent="0.2">
      <c r="A120" t="str">
        <f>"20200111150446497"</f>
        <v>20200111150446497</v>
      </c>
      <c r="B120" t="str">
        <f>"1578726286493143"</f>
        <v>1578726286493143</v>
      </c>
      <c r="C120" t="s">
        <v>37</v>
      </c>
      <c r="D120">
        <v>5.4506649999999999</v>
      </c>
      <c r="E120">
        <v>0.57929189999999997</v>
      </c>
      <c r="F120" t="s">
        <v>38</v>
      </c>
      <c r="G120">
        <v>-508.80369999999999</v>
      </c>
      <c r="H120">
        <v>1.013981</v>
      </c>
      <c r="I120">
        <v>372.65570000000002</v>
      </c>
      <c r="J120">
        <v>-509.61399999999998</v>
      </c>
      <c r="K120">
        <v>1.1009500000000001</v>
      </c>
      <c r="L120">
        <v>372.90800000000002</v>
      </c>
      <c r="M120">
        <v>0.96670590000000001</v>
      </c>
      <c r="N120">
        <v>0</v>
      </c>
      <c r="O120">
        <v>-0.25576009999999999</v>
      </c>
      <c r="P120">
        <v>0.98908069999999904</v>
      </c>
      <c r="Q120">
        <v>7.4872569999999999E-2</v>
      </c>
      <c r="R120">
        <v>-0.1269393</v>
      </c>
      <c r="S120">
        <v>2.9467469999999998</v>
      </c>
      <c r="T120">
        <v>-0.46198270000000002</v>
      </c>
      <c r="U120">
        <v>-0.98364259999999903</v>
      </c>
      <c r="V120">
        <v>-0.13072899999999901</v>
      </c>
      <c r="W120">
        <v>8.2203819999999997E-2</v>
      </c>
      <c r="X120">
        <v>0.98800429999999995</v>
      </c>
      <c r="Y120">
        <v>6.5492430000000004E-2</v>
      </c>
      <c r="Z120">
        <v>3.3127789999999997E-2</v>
      </c>
      <c r="AA120">
        <v>0.99730300000000005</v>
      </c>
      <c r="AB120">
        <v>13</v>
      </c>
      <c r="AC120">
        <v>0.81030000000003999</v>
      </c>
      <c r="AD120">
        <v>-8.6969000000000005E-2</v>
      </c>
      <c r="AE120">
        <v>-0.25229999999999098</v>
      </c>
      <c r="AF120">
        <v>3.62777377232784E-2</v>
      </c>
      <c r="AG120">
        <v>-8.6969000000000005E-2</v>
      </c>
      <c r="AH120">
        <v>0.839066794710846</v>
      </c>
      <c r="AI120">
        <v>95.912073908883102</v>
      </c>
      <c r="AJ120">
        <v>87.524312069876999</v>
      </c>
      <c r="AK120">
        <v>0.84434161759423698</v>
      </c>
    </row>
    <row r="121" spans="1:37" x14ac:dyDescent="0.2">
      <c r="A121" t="str">
        <f>"20200111150446521"</f>
        <v>20200111150446521</v>
      </c>
      <c r="B121" t="str">
        <f>"1578726286513639"</f>
        <v>1578726286513639</v>
      </c>
      <c r="C121" t="s">
        <v>37</v>
      </c>
      <c r="D121">
        <v>5.299302</v>
      </c>
      <c r="E121">
        <v>0.57930170000000003</v>
      </c>
      <c r="F121" t="s">
        <v>38</v>
      </c>
      <c r="G121">
        <v>-509.03269999999998</v>
      </c>
      <c r="H121">
        <v>1.0102089999999999</v>
      </c>
      <c r="I121">
        <v>372.70260000000002</v>
      </c>
      <c r="J121">
        <v>-509.7509</v>
      </c>
      <c r="K121">
        <v>1.0992329999999999</v>
      </c>
      <c r="L121">
        <v>372.9436</v>
      </c>
      <c r="M121">
        <v>0.96659660000000003</v>
      </c>
      <c r="N121">
        <v>0</v>
      </c>
      <c r="O121">
        <v>-0.25621439999999901</v>
      </c>
      <c r="P121">
        <v>0.98797209999999902</v>
      </c>
      <c r="Q121">
        <v>7.9281699999999997E-2</v>
      </c>
      <c r="R121">
        <v>-0.132762299999999</v>
      </c>
      <c r="S121">
        <v>2.9349369999999899</v>
      </c>
      <c r="T121">
        <v>-0.45856989999999997</v>
      </c>
      <c r="U121">
        <v>-1.0355219999999901</v>
      </c>
      <c r="V121">
        <v>-0.12529409999999999</v>
      </c>
      <c r="W121">
        <v>8.5238679999999997E-2</v>
      </c>
      <c r="X121">
        <v>0.98845119999999898</v>
      </c>
      <c r="Y121">
        <v>8.1790219999999997E-2</v>
      </c>
      <c r="Z121">
        <v>3.173455E-2</v>
      </c>
      <c r="AA121">
        <v>0.99614419999999904</v>
      </c>
      <c r="AB121">
        <v>13</v>
      </c>
      <c r="AC121">
        <v>0.71820000000002404</v>
      </c>
      <c r="AD121">
        <v>-8.9023999999999895E-2</v>
      </c>
      <c r="AE121">
        <v>-0.240999999999985</v>
      </c>
      <c r="AF121">
        <v>4.8271095627381903E-2</v>
      </c>
      <c r="AG121">
        <v>-8.9023999999999895E-2</v>
      </c>
      <c r="AH121">
        <v>0.74567686688999302</v>
      </c>
      <c r="AI121">
        <v>96.794050528381305</v>
      </c>
      <c r="AJ121">
        <v>86.296148463268494</v>
      </c>
      <c r="AK121">
        <v>0.75252200038533401</v>
      </c>
    </row>
    <row r="122" spans="1:37" x14ac:dyDescent="0.2">
      <c r="A122" t="str">
        <f>"20200111150446541"</f>
        <v>20200111150446541</v>
      </c>
      <c r="B122" t="str">
        <f>"1578726286533159"</f>
        <v>1578726286533159</v>
      </c>
      <c r="C122" t="s">
        <v>37</v>
      </c>
      <c r="D122">
        <v>5.2323309999999896</v>
      </c>
      <c r="E122">
        <v>0.56928040000000002</v>
      </c>
      <c r="F122" t="s">
        <v>38</v>
      </c>
      <c r="G122">
        <v>-509.14940000000001</v>
      </c>
      <c r="H122">
        <v>1.002621</v>
      </c>
      <c r="I122">
        <v>372.72739999999999</v>
      </c>
      <c r="J122">
        <v>-509.87049999999999</v>
      </c>
      <c r="K122">
        <v>1.097445</v>
      </c>
      <c r="L122">
        <v>372.97489999999999</v>
      </c>
      <c r="M122">
        <v>0.96647000000000005</v>
      </c>
      <c r="N122">
        <v>0</v>
      </c>
      <c r="O122">
        <v>-0.25672309999999998</v>
      </c>
      <c r="P122">
        <v>0.98697860000000004</v>
      </c>
      <c r="Q122">
        <v>8.1506389999999998E-2</v>
      </c>
      <c r="R122">
        <v>-0.1386732</v>
      </c>
      <c r="S122">
        <v>2.9328609999999999</v>
      </c>
      <c r="T122">
        <v>-0.47118310000000002</v>
      </c>
      <c r="U122">
        <v>-1.052856</v>
      </c>
      <c r="V122">
        <v>-0.11981839999999901</v>
      </c>
      <c r="W122">
        <v>8.6217340000000003E-2</v>
      </c>
      <c r="X122">
        <v>0.98904499999999995</v>
      </c>
      <c r="Y122">
        <v>8.6760690000000001E-2</v>
      </c>
      <c r="Z122">
        <v>3.2271170000000002E-2</v>
      </c>
      <c r="AA122">
        <v>0.99570639999999999</v>
      </c>
      <c r="AB122">
        <v>13</v>
      </c>
      <c r="AC122">
        <v>0.72109999999997798</v>
      </c>
      <c r="AD122">
        <v>-9.4824000000000006E-2</v>
      </c>
      <c r="AE122">
        <v>-0.247500000000002</v>
      </c>
      <c r="AF122">
        <v>5.3255242489302003E-2</v>
      </c>
      <c r="AG122">
        <v>-9.4824000000000006E-2</v>
      </c>
      <c r="AH122">
        <v>0.74888650895230402</v>
      </c>
      <c r="AI122">
        <v>97.198401695743797</v>
      </c>
      <c r="AJ122">
        <v>85.932397402882401</v>
      </c>
      <c r="AK122">
        <v>0.75674217215598805</v>
      </c>
    </row>
    <row r="123" spans="1:37" x14ac:dyDescent="0.2">
      <c r="A123" t="str">
        <f>"20200111150446565"</f>
        <v>20200111150446565</v>
      </c>
      <c r="B123" t="str">
        <f>"1578726286553655"</f>
        <v>1578726286553655</v>
      </c>
      <c r="C123" t="s">
        <v>37</v>
      </c>
      <c r="D123">
        <v>5.3924539999999999</v>
      </c>
      <c r="E123">
        <v>0.56940709999999894</v>
      </c>
      <c r="F123" t="s">
        <v>45</v>
      </c>
      <c r="G123">
        <v>-439.12450000000001</v>
      </c>
      <c r="H123">
        <v>2.8285259999999899</v>
      </c>
      <c r="I123">
        <v>349.30290000000002</v>
      </c>
      <c r="J123">
        <v>-509.9957</v>
      </c>
      <c r="K123">
        <v>1.09537</v>
      </c>
      <c r="L123">
        <v>373.00779999999997</v>
      </c>
      <c r="M123">
        <v>0.96628060000000005</v>
      </c>
      <c r="N123">
        <v>0</v>
      </c>
      <c r="O123">
        <v>-0.2574612</v>
      </c>
      <c r="P123">
        <v>0.98628939999999998</v>
      </c>
      <c r="Q123">
        <v>8.1806439999999994E-2</v>
      </c>
      <c r="R123">
        <v>-0.1433217</v>
      </c>
      <c r="S123">
        <v>2.897491</v>
      </c>
      <c r="T123">
        <v>7.0898290000000003E-2</v>
      </c>
      <c r="U123">
        <v>-0.96951290000000001</v>
      </c>
      <c r="V123">
        <v>-0.1158434</v>
      </c>
      <c r="W123">
        <v>8.515839E-2</v>
      </c>
      <c r="X123">
        <v>0.989610199999999</v>
      </c>
      <c r="Y123">
        <v>6.2507519999999997E-2</v>
      </c>
      <c r="Z123">
        <v>-5.2720419999999898E-3</v>
      </c>
      <c r="AA123">
        <v>0.99803050000000004</v>
      </c>
      <c r="AB123">
        <v>13</v>
      </c>
      <c r="AC123">
        <v>70.871199999999902</v>
      </c>
      <c r="AD123">
        <v>1.7331559999999899</v>
      </c>
      <c r="AE123">
        <v>-23.704899999999899</v>
      </c>
      <c r="AF123">
        <v>4.6565323599416599</v>
      </c>
      <c r="AG123">
        <v>1.7331559999999899</v>
      </c>
      <c r="AH123">
        <v>74.545041176119099</v>
      </c>
      <c r="AI123">
        <v>88.670715510962395</v>
      </c>
      <c r="AJ123">
        <v>86.425604713858505</v>
      </c>
      <c r="AK123">
        <v>74.710442960062906</v>
      </c>
    </row>
    <row r="124" spans="1:37" x14ac:dyDescent="0.2">
      <c r="A124" t="str">
        <f>"20200111150446588"</f>
        <v>20200111150446588</v>
      </c>
      <c r="B124" t="str">
        <f>"1578726286582936"</f>
        <v>1578726286582936</v>
      </c>
      <c r="C124" t="s">
        <v>37</v>
      </c>
      <c r="D124">
        <v>4.5323139999999897</v>
      </c>
      <c r="E124">
        <v>0.56904829999999995</v>
      </c>
      <c r="F124" t="s">
        <v>45</v>
      </c>
      <c r="G124">
        <v>-439.69540000000001</v>
      </c>
      <c r="H124">
        <v>2.5449060000000001</v>
      </c>
      <c r="I124">
        <v>349.09059999999999</v>
      </c>
      <c r="J124">
        <v>-510.12400000000002</v>
      </c>
      <c r="K124">
        <v>1.0932010000000001</v>
      </c>
      <c r="L124">
        <v>373.04169999999999</v>
      </c>
      <c r="M124">
        <v>0.96604880000000004</v>
      </c>
      <c r="N124">
        <v>0</v>
      </c>
      <c r="O124">
        <v>-0.25834800000000002</v>
      </c>
      <c r="P124">
        <v>0.98532699999999995</v>
      </c>
      <c r="Q124">
        <v>8.4939260000000003E-2</v>
      </c>
      <c r="R124">
        <v>-0.1480408</v>
      </c>
      <c r="S124">
        <v>2.8936769999999998</v>
      </c>
      <c r="T124">
        <v>5.9664849999999998E-2</v>
      </c>
      <c r="U124">
        <v>-0.98446659999999997</v>
      </c>
      <c r="V124">
        <v>-0.111888</v>
      </c>
      <c r="W124">
        <v>8.692279E-2</v>
      </c>
      <c r="X124">
        <v>0.98991189999999996</v>
      </c>
      <c r="Y124">
        <v>6.6602510000000004E-2</v>
      </c>
      <c r="Z124">
        <v>-4.4139119999999999E-3</v>
      </c>
      <c r="AA124">
        <v>0.99776980000000004</v>
      </c>
      <c r="AB124">
        <v>13</v>
      </c>
      <c r="AC124">
        <v>70.428600000000003</v>
      </c>
      <c r="AD124">
        <v>1.451705</v>
      </c>
      <c r="AE124">
        <v>-23.9511</v>
      </c>
      <c r="AF124">
        <v>4.9409766891821398</v>
      </c>
      <c r="AG124">
        <v>1.451705</v>
      </c>
      <c r="AH124">
        <v>74.197150553250097</v>
      </c>
      <c r="AI124">
        <v>88.881598374896797</v>
      </c>
      <c r="AJ124">
        <v>86.190153559673902</v>
      </c>
      <c r="AK124">
        <v>74.375653598954898</v>
      </c>
    </row>
    <row r="125" spans="1:37" x14ac:dyDescent="0.2">
      <c r="A125" t="str">
        <f>"20200111150446611"</f>
        <v>20200111150446611</v>
      </c>
      <c r="B125" t="str">
        <f>"1578726286603433"</f>
        <v>1578726286603433</v>
      </c>
      <c r="C125" t="s">
        <v>37</v>
      </c>
      <c r="D125">
        <v>5.2056579999999997</v>
      </c>
      <c r="E125">
        <v>0.56867330000000005</v>
      </c>
      <c r="F125" t="s">
        <v>45</v>
      </c>
      <c r="G125">
        <v>-441.80439999999999</v>
      </c>
      <c r="H125">
        <v>2.213428</v>
      </c>
      <c r="I125">
        <v>349.5009</v>
      </c>
      <c r="J125">
        <v>-510.25110000000001</v>
      </c>
      <c r="K125">
        <v>1.0911280000000001</v>
      </c>
      <c r="L125">
        <v>373.0754</v>
      </c>
      <c r="M125">
        <v>0.96583410000000003</v>
      </c>
      <c r="N125">
        <v>0</v>
      </c>
      <c r="O125">
        <v>-0.25915899999999997</v>
      </c>
      <c r="P125">
        <v>0.98448219999999997</v>
      </c>
      <c r="Q125">
        <v>8.9021240000000001E-2</v>
      </c>
      <c r="R125">
        <v>-0.151229</v>
      </c>
      <c r="S125">
        <v>2.89093</v>
      </c>
      <c r="T125">
        <v>4.7401909999999998E-2</v>
      </c>
      <c r="U125">
        <v>-0.99612429999999996</v>
      </c>
      <c r="V125">
        <v>-0.1093692</v>
      </c>
      <c r="W125">
        <v>8.9751239999999996E-2</v>
      </c>
      <c r="X125">
        <v>0.98994090000000001</v>
      </c>
      <c r="Y125">
        <v>6.9642029999999994E-2</v>
      </c>
      <c r="Z125">
        <v>-3.49534E-3</v>
      </c>
      <c r="AA125">
        <v>0.99756590000000001</v>
      </c>
      <c r="AB125">
        <v>13</v>
      </c>
      <c r="AC125">
        <v>68.446700000000007</v>
      </c>
      <c r="AD125">
        <v>1.1223000000000001</v>
      </c>
      <c r="AE125">
        <v>-23.5745</v>
      </c>
      <c r="AF125">
        <v>5.0292717014512798</v>
      </c>
      <c r="AG125">
        <v>1.1223000000000001</v>
      </c>
      <c r="AH125">
        <v>72.2003878839446</v>
      </c>
      <c r="AI125">
        <v>89.111604841802901</v>
      </c>
      <c r="AJ125">
        <v>86.015376819916</v>
      </c>
      <c r="AK125">
        <v>72.384039274753604</v>
      </c>
    </row>
    <row r="126" spans="1:37" x14ac:dyDescent="0.2">
      <c r="A126" t="str">
        <f>"20200111150446633"</f>
        <v>20200111150446633</v>
      </c>
      <c r="B126" t="str">
        <f>"1578726286623928"</f>
        <v>1578726286623928</v>
      </c>
      <c r="C126" t="s">
        <v>37</v>
      </c>
      <c r="D126">
        <v>5.1691580000000004</v>
      </c>
      <c r="E126">
        <v>0.5680463</v>
      </c>
      <c r="F126" t="s">
        <v>45</v>
      </c>
      <c r="G126">
        <v>-442.38099999999997</v>
      </c>
      <c r="H126">
        <v>2.23149</v>
      </c>
      <c r="I126">
        <v>349.5009</v>
      </c>
      <c r="J126">
        <v>-510.37610000000001</v>
      </c>
      <c r="K126">
        <v>1.089253</v>
      </c>
      <c r="L126">
        <v>373.10860000000002</v>
      </c>
      <c r="M126">
        <v>0.96567169999999902</v>
      </c>
      <c r="N126">
        <v>0</v>
      </c>
      <c r="O126">
        <v>-0.2597661</v>
      </c>
      <c r="P126">
        <v>0.98383739999999997</v>
      </c>
      <c r="Q126">
        <v>9.2192360000000001E-2</v>
      </c>
      <c r="R126">
        <v>-0.1535077</v>
      </c>
      <c r="S126">
        <v>2.8887939999999999</v>
      </c>
      <c r="T126">
        <v>4.8537610000000002E-2</v>
      </c>
      <c r="U126">
        <v>-1.0034179999999999</v>
      </c>
      <c r="V126">
        <v>-0.10757659999999999</v>
      </c>
      <c r="W126">
        <v>9.1819769999999995E-2</v>
      </c>
      <c r="X126">
        <v>0.98994769999999899</v>
      </c>
      <c r="Y126">
        <v>7.1492340000000001E-2</v>
      </c>
      <c r="Z126">
        <v>-3.5741369999999998E-3</v>
      </c>
      <c r="AA126">
        <v>0.99743470000000001</v>
      </c>
      <c r="AB126">
        <v>13</v>
      </c>
      <c r="AC126">
        <v>67.995099999999994</v>
      </c>
      <c r="AD126">
        <v>1.1422369999999999</v>
      </c>
      <c r="AE126">
        <v>-23.607700000000001</v>
      </c>
      <c r="AF126">
        <v>5.1331724346082801</v>
      </c>
      <c r="AG126">
        <v>1.1422369999999999</v>
      </c>
      <c r="AH126">
        <v>71.775338652875007</v>
      </c>
      <c r="AI126">
        <v>89.090590851287899</v>
      </c>
      <c r="AJ126">
        <v>85.909330044428103</v>
      </c>
      <c r="AK126">
        <v>71.967724733678295</v>
      </c>
    </row>
    <row r="127" spans="1:37" x14ac:dyDescent="0.2">
      <c r="A127" t="str">
        <f>"20200111150446655"</f>
        <v>20200111150446655</v>
      </c>
      <c r="B127" t="str">
        <f>"1578726286643447"</f>
        <v>1578726286643447</v>
      </c>
      <c r="C127" t="s">
        <v>37</v>
      </c>
      <c r="D127">
        <v>5.1573570000000002</v>
      </c>
      <c r="E127">
        <v>0.56786599999999998</v>
      </c>
      <c r="F127" t="s">
        <v>45</v>
      </c>
      <c r="G127">
        <v>-442.61619999999999</v>
      </c>
      <c r="H127">
        <v>2.2374450000000001</v>
      </c>
      <c r="I127">
        <v>349.5009</v>
      </c>
      <c r="J127">
        <v>-510.49799999999999</v>
      </c>
      <c r="K127">
        <v>1.0876079999999999</v>
      </c>
      <c r="L127">
        <v>373.14109999999999</v>
      </c>
      <c r="M127">
        <v>0.96555729999999995</v>
      </c>
      <c r="N127">
        <v>0</v>
      </c>
      <c r="O127">
        <v>-0.26018839999999999</v>
      </c>
      <c r="P127">
        <v>0.98317600000000005</v>
      </c>
      <c r="Q127">
        <v>9.4801560000000007E-2</v>
      </c>
      <c r="R127">
        <v>-0.15613469999999999</v>
      </c>
      <c r="S127">
        <v>2.887756</v>
      </c>
      <c r="T127">
        <v>4.8932789999999997E-2</v>
      </c>
      <c r="U127">
        <v>-1.0061040000000001</v>
      </c>
      <c r="V127">
        <v>-0.1052631</v>
      </c>
      <c r="W127">
        <v>9.3469179999999999E-2</v>
      </c>
      <c r="X127">
        <v>0.99004199999999998</v>
      </c>
      <c r="Y127">
        <v>7.1994820000000001E-2</v>
      </c>
      <c r="Z127">
        <v>-3.6062749999999999E-3</v>
      </c>
      <c r="AA127">
        <v>0.99739849999999997</v>
      </c>
      <c r="AB127">
        <v>13</v>
      </c>
      <c r="AC127">
        <v>67.881799999999998</v>
      </c>
      <c r="AD127">
        <v>1.149837</v>
      </c>
      <c r="AE127">
        <v>-23.6402</v>
      </c>
      <c r="AF127">
        <v>5.1625925355063798</v>
      </c>
      <c r="AG127">
        <v>1.149837</v>
      </c>
      <c r="AH127">
        <v>71.676371489798697</v>
      </c>
      <c r="AI127">
        <v>89.083310543944805</v>
      </c>
      <c r="AJ127">
        <v>85.8803042728631</v>
      </c>
      <c r="AK127">
        <v>71.871250975322994</v>
      </c>
    </row>
    <row r="128" spans="1:37" x14ac:dyDescent="0.2">
      <c r="A128" t="str">
        <f>"20200111150446676"</f>
        <v>20200111150446676</v>
      </c>
      <c r="B128" t="str">
        <f>"1578726286673702"</f>
        <v>1578726286673702</v>
      </c>
      <c r="C128" t="s">
        <v>37</v>
      </c>
      <c r="D128">
        <v>5.0459769999999997</v>
      </c>
      <c r="E128">
        <v>0.56847519999999996</v>
      </c>
      <c r="F128" t="s">
        <v>45</v>
      </c>
      <c r="G128">
        <v>-443.10320000000002</v>
      </c>
      <c r="H128">
        <v>2.1214840000000001</v>
      </c>
      <c r="I128">
        <v>349.5009</v>
      </c>
      <c r="J128">
        <v>-510.61610000000002</v>
      </c>
      <c r="K128">
        <v>1.0861989999999999</v>
      </c>
      <c r="L128">
        <v>373.17270000000002</v>
      </c>
      <c r="M128">
        <v>0.96546449999999995</v>
      </c>
      <c r="N128">
        <v>0</v>
      </c>
      <c r="O128">
        <v>-0.2605268</v>
      </c>
      <c r="P128">
        <v>0.98276980000000003</v>
      </c>
      <c r="Q128">
        <v>9.5050570000000001E-2</v>
      </c>
      <c r="R128">
        <v>-0.158521</v>
      </c>
      <c r="S128">
        <v>2.8862610000000002</v>
      </c>
      <c r="T128">
        <v>4.4276709999999997E-2</v>
      </c>
      <c r="U128">
        <v>-1.012421</v>
      </c>
      <c r="V128">
        <v>-0.10316929999999901</v>
      </c>
      <c r="W128">
        <v>9.2876689999999998E-2</v>
      </c>
      <c r="X128">
        <v>0.99031809999999998</v>
      </c>
      <c r="Y128">
        <v>7.374609E-2</v>
      </c>
      <c r="Z128">
        <v>-3.255118E-3</v>
      </c>
      <c r="AA128">
        <v>0.99727169999999898</v>
      </c>
      <c r="AB128">
        <v>13</v>
      </c>
      <c r="AC128">
        <v>67.512900000000002</v>
      </c>
      <c r="AD128">
        <v>1.035285</v>
      </c>
      <c r="AE128">
        <v>-23.671800000000001</v>
      </c>
      <c r="AF128">
        <v>5.2642711390618997</v>
      </c>
      <c r="AG128">
        <v>1.035285</v>
      </c>
      <c r="AH128">
        <v>71.333654568578197</v>
      </c>
      <c r="AI128">
        <v>89.170763608954204</v>
      </c>
      <c r="AJ128">
        <v>85.779344990527207</v>
      </c>
      <c r="AK128">
        <v>71.535128711466101</v>
      </c>
    </row>
    <row r="129" spans="1:37" x14ac:dyDescent="0.2">
      <c r="A129" t="str">
        <f>"20200111150446701"</f>
        <v>20200111150446701</v>
      </c>
      <c r="B129" t="str">
        <f>"1578726286693224"</f>
        <v>1578726286693224</v>
      </c>
      <c r="C129" t="s">
        <v>37</v>
      </c>
      <c r="D129">
        <v>5.2322009999999999</v>
      </c>
      <c r="E129">
        <v>0.5695789</v>
      </c>
      <c r="F129" t="s">
        <v>38</v>
      </c>
      <c r="G129">
        <v>-510.04599999999999</v>
      </c>
      <c r="H129">
        <v>0.97639129999999996</v>
      </c>
      <c r="I129">
        <v>372.96940000000001</v>
      </c>
      <c r="J129">
        <v>-510.75099999999998</v>
      </c>
      <c r="K129">
        <v>1.0847770000000001</v>
      </c>
      <c r="L129">
        <v>373.2088</v>
      </c>
      <c r="M129">
        <v>0.96536619999999995</v>
      </c>
      <c r="N129">
        <v>0</v>
      </c>
      <c r="O129">
        <v>-0.26088319999999998</v>
      </c>
      <c r="P129">
        <v>0.98254470000000005</v>
      </c>
      <c r="Q129">
        <v>9.5641370000000003E-2</v>
      </c>
      <c r="R129">
        <v>-0.15955859999999999</v>
      </c>
      <c r="S129">
        <v>2.9384160000000001</v>
      </c>
      <c r="T129">
        <v>-0.56607439999999998</v>
      </c>
      <c r="U129">
        <v>-1.047485</v>
      </c>
      <c r="V129">
        <v>-0.10244829999999901</v>
      </c>
      <c r="W129">
        <v>9.2616980000000002E-2</v>
      </c>
      <c r="X129">
        <v>0.99041729999999994</v>
      </c>
      <c r="Y129">
        <v>8.1209970000000006E-2</v>
      </c>
      <c r="Z129">
        <v>3.9866060000000002E-2</v>
      </c>
      <c r="AA129">
        <v>0.99589939999999999</v>
      </c>
      <c r="AB129">
        <v>13</v>
      </c>
      <c r="AC129">
        <v>0.70499999999998397</v>
      </c>
      <c r="AD129">
        <v>-0.1083857</v>
      </c>
      <c r="AE129">
        <v>-0.23939999999998901</v>
      </c>
      <c r="AF129">
        <v>4.6206988622089301E-2</v>
      </c>
      <c r="AG129">
        <v>-0.1083857</v>
      </c>
      <c r="AH129">
        <v>0.72762191371040696</v>
      </c>
      <c r="AI129">
        <v>98.4556283792665</v>
      </c>
      <c r="AJ129">
        <v>86.366361302527295</v>
      </c>
      <c r="AK129">
        <v>0.73709985420810298</v>
      </c>
    </row>
    <row r="130" spans="1:37" x14ac:dyDescent="0.2">
      <c r="A130" t="str">
        <f>"20200111150446743"</f>
        <v>20200111150446743</v>
      </c>
      <c r="B130" t="str">
        <f>"1578726286733239"</f>
        <v>1578726286733239</v>
      </c>
      <c r="C130" t="s">
        <v>37</v>
      </c>
      <c r="D130">
        <v>4.8183499999999997</v>
      </c>
      <c r="E130">
        <v>0.51268849999999999</v>
      </c>
      <c r="F130" t="s">
        <v>38</v>
      </c>
      <c r="G130">
        <v>-510.16129999999998</v>
      </c>
      <c r="H130">
        <v>0.9686188</v>
      </c>
      <c r="I130">
        <v>372.99520000000001</v>
      </c>
      <c r="J130">
        <v>-510.98899999999998</v>
      </c>
      <c r="K130">
        <v>1.082711</v>
      </c>
      <c r="L130">
        <v>373.27269999999999</v>
      </c>
      <c r="M130">
        <v>0.96518590000000004</v>
      </c>
      <c r="N130">
        <v>0</v>
      </c>
      <c r="O130">
        <v>-0.26153179999999998</v>
      </c>
      <c r="P130">
        <v>0.98175259999999998</v>
      </c>
      <c r="Q130">
        <v>0.10125439999999999</v>
      </c>
      <c r="R130">
        <v>-0.16096459999999899</v>
      </c>
      <c r="S130">
        <v>2.9372250000000002</v>
      </c>
      <c r="T130">
        <v>-0.57863439999999999</v>
      </c>
      <c r="U130">
        <v>-1.061615</v>
      </c>
      <c r="V130">
        <v>-0.10150919999999999</v>
      </c>
      <c r="W130">
        <v>9.7007369999999996E-2</v>
      </c>
      <c r="X130">
        <v>0.99009360000000002</v>
      </c>
      <c r="Y130">
        <v>8.4978120000000004E-2</v>
      </c>
      <c r="Z130">
        <v>4.0472920000000003E-2</v>
      </c>
      <c r="AA130">
        <v>0.99556049999999996</v>
      </c>
      <c r="AB130">
        <v>13</v>
      </c>
      <c r="AC130">
        <v>0.82770000000004895</v>
      </c>
      <c r="AD130">
        <v>-0.11409219999999901</v>
      </c>
      <c r="AE130">
        <v>-0.27749999999997499</v>
      </c>
      <c r="AF130">
        <v>5.0506970274861999E-2</v>
      </c>
      <c r="AG130">
        <v>-0.11409219999999901</v>
      </c>
      <c r="AH130">
        <v>0.85683176274658002</v>
      </c>
      <c r="AI130">
        <v>97.571664061763101</v>
      </c>
      <c r="AJ130">
        <v>86.626535527938998</v>
      </c>
      <c r="AK130">
        <v>0.86586872780959001</v>
      </c>
    </row>
    <row r="131" spans="1:37" x14ac:dyDescent="0.2">
      <c r="A131" t="str">
        <f>"20200111150446766"</f>
        <v>20200111150446766</v>
      </c>
      <c r="B131" t="str">
        <f>"1578726286763495"</f>
        <v>1578726286763495</v>
      </c>
      <c r="C131" t="s">
        <v>37</v>
      </c>
      <c r="D131">
        <v>4.9345419999999898</v>
      </c>
      <c r="E131">
        <v>0.50705349999999905</v>
      </c>
      <c r="F131" t="s">
        <v>39</v>
      </c>
      <c r="G131">
        <v>-442.96089999999998</v>
      </c>
      <c r="H131">
        <v>7.9985639999999997E-2</v>
      </c>
      <c r="I131">
        <v>359.56380000000001</v>
      </c>
      <c r="J131">
        <v>-511.11070000000001</v>
      </c>
      <c r="K131">
        <v>1.0818209999999999</v>
      </c>
      <c r="L131">
        <v>373.30540000000002</v>
      </c>
      <c r="M131">
        <v>0.96507639999999995</v>
      </c>
      <c r="N131">
        <v>0</v>
      </c>
      <c r="O131">
        <v>-0.2619261</v>
      </c>
      <c r="P131">
        <v>0.98116360000000002</v>
      </c>
      <c r="Q131">
        <v>0.105922699999999</v>
      </c>
      <c r="R131">
        <v>-0.16155029999999901</v>
      </c>
      <c r="S131">
        <v>2.9624329999999999</v>
      </c>
      <c r="T131">
        <v>-4.3665889999999999E-2</v>
      </c>
      <c r="U131">
        <v>-0.59698490000000004</v>
      </c>
      <c r="V131">
        <v>-0.101173</v>
      </c>
      <c r="W131">
        <v>0.1011682</v>
      </c>
      <c r="X131">
        <v>0.98971160000000002</v>
      </c>
      <c r="Y131">
        <v>-6.6083680000000006E-2</v>
      </c>
      <c r="Z131">
        <v>4.2457520000000002E-3</v>
      </c>
      <c r="AA131">
        <v>0.9978051</v>
      </c>
      <c r="AB131">
        <v>13</v>
      </c>
      <c r="AC131">
        <v>68.149799999999999</v>
      </c>
      <c r="AD131">
        <v>-1.0018353599999901</v>
      </c>
      <c r="AE131">
        <v>-13.7416</v>
      </c>
      <c r="AF131">
        <v>-4.5876158730788603</v>
      </c>
      <c r="AG131">
        <v>-1.0018353599999901</v>
      </c>
      <c r="AH131">
        <v>69.355417006342407</v>
      </c>
      <c r="AI131">
        <v>90.8257726705842</v>
      </c>
      <c r="AJ131">
        <v>93.784400506835098</v>
      </c>
      <c r="AK131">
        <v>69.514198273526304</v>
      </c>
    </row>
    <row r="132" spans="1:37" x14ac:dyDescent="0.2">
      <c r="A132" t="str">
        <f>"20200111150446788"</f>
        <v>20200111150446788</v>
      </c>
      <c r="B132" t="str">
        <f>"1578726286783015"</f>
        <v>1578726286783015</v>
      </c>
      <c r="C132" t="s">
        <v>37</v>
      </c>
      <c r="D132">
        <v>4.83012</v>
      </c>
      <c r="E132">
        <v>0.50664169999999997</v>
      </c>
      <c r="F132" t="s">
        <v>39</v>
      </c>
      <c r="G132">
        <v>-466.84949999999998</v>
      </c>
      <c r="H132" s="1">
        <v>-2.28193199999999E-6</v>
      </c>
      <c r="I132">
        <v>365.01710000000003</v>
      </c>
      <c r="J132">
        <v>-511.23770000000002</v>
      </c>
      <c r="K132">
        <v>1.081045</v>
      </c>
      <c r="L132">
        <v>373.33960000000002</v>
      </c>
      <c r="M132">
        <v>0.96485219999999905</v>
      </c>
      <c r="N132">
        <v>0</v>
      </c>
      <c r="O132">
        <v>-0.26274449999999999</v>
      </c>
      <c r="P132">
        <v>0.98089090000000001</v>
      </c>
      <c r="Q132">
        <v>0.1079671</v>
      </c>
      <c r="R132">
        <v>-0.16185250000000001</v>
      </c>
      <c r="S132">
        <v>2.9737550000000001</v>
      </c>
      <c r="T132">
        <v>-7.2683810000000001E-2</v>
      </c>
      <c r="U132">
        <v>-0.55685419999999997</v>
      </c>
      <c r="V132">
        <v>-0.101629199999999</v>
      </c>
      <c r="W132">
        <v>0.1028896</v>
      </c>
      <c r="X132">
        <v>0.98948729999999996</v>
      </c>
      <c r="Y132">
        <v>-8.0572229999999995E-2</v>
      </c>
      <c r="Z132">
        <v>7.2465580000000002E-3</v>
      </c>
      <c r="AA132">
        <v>0.99672249999999996</v>
      </c>
      <c r="AB132">
        <v>13</v>
      </c>
      <c r="AC132">
        <v>44.388199999999998</v>
      </c>
      <c r="AD132">
        <v>-1.0810472819320001</v>
      </c>
      <c r="AE132">
        <v>-8.3224999999999891</v>
      </c>
      <c r="AF132">
        <v>-3.6307390193605702</v>
      </c>
      <c r="AG132">
        <v>-1.0810472819320001</v>
      </c>
      <c r="AH132">
        <v>44.989540124189801</v>
      </c>
      <c r="AI132">
        <v>91.372028382123503</v>
      </c>
      <c r="AJ132">
        <v>94.613876214663705</v>
      </c>
      <c r="AK132">
        <v>45.148750255555903</v>
      </c>
    </row>
    <row r="133" spans="1:37" x14ac:dyDescent="0.2">
      <c r="A133" t="str">
        <f>"20200111150446812"</f>
        <v>20200111150446812</v>
      </c>
      <c r="B133" t="str">
        <f>"1578726286803512"</f>
        <v>1578726286803512</v>
      </c>
      <c r="C133" t="s">
        <v>37</v>
      </c>
      <c r="D133">
        <v>4.9524249999999999</v>
      </c>
      <c r="E133">
        <v>0.50642310000000001</v>
      </c>
      <c r="F133" t="s">
        <v>46</v>
      </c>
      <c r="G133">
        <v>-381.60489999999999</v>
      </c>
      <c r="H133">
        <v>-0.05</v>
      </c>
      <c r="I133">
        <v>349.1782</v>
      </c>
      <c r="J133">
        <v>-511.36779999999999</v>
      </c>
      <c r="K133">
        <v>1.0803609999999999</v>
      </c>
      <c r="L133">
        <v>373.37450000000001</v>
      </c>
      <c r="M133">
        <v>0.96452909999999903</v>
      </c>
      <c r="N133">
        <v>0</v>
      </c>
      <c r="O133">
        <v>-0.26392470000000001</v>
      </c>
      <c r="P133">
        <v>0.98088899999999901</v>
      </c>
      <c r="Q133">
        <v>0.1079276</v>
      </c>
      <c r="R133">
        <v>-0.16189139999999999</v>
      </c>
      <c r="S133">
        <v>2.9700009999999999</v>
      </c>
      <c r="T133">
        <v>-2.5913240000000001E-2</v>
      </c>
      <c r="U133">
        <v>-0.55355829999999995</v>
      </c>
      <c r="V133">
        <v>-0.10279819999999899</v>
      </c>
      <c r="W133">
        <v>0.10267759999999999</v>
      </c>
      <c r="X133">
        <v>0.98938859999999995</v>
      </c>
      <c r="Y133">
        <v>-8.2716699999999893E-2</v>
      </c>
      <c r="Z133">
        <v>2.606489E-3</v>
      </c>
      <c r="AA133">
        <v>0.9965697</v>
      </c>
      <c r="AB133">
        <v>13</v>
      </c>
      <c r="AC133">
        <v>129.7629</v>
      </c>
      <c r="AD133">
        <v>-1.1303609999999999</v>
      </c>
      <c r="AE133">
        <v>-24.196300000000001</v>
      </c>
      <c r="AF133">
        <v>-10.9089483133199</v>
      </c>
      <c r="AG133">
        <v>-1.1303609999999999</v>
      </c>
      <c r="AH133">
        <v>131.53824860427099</v>
      </c>
      <c r="AI133">
        <v>90.490669091112593</v>
      </c>
      <c r="AJ133">
        <v>94.740899240978607</v>
      </c>
      <c r="AK133">
        <v>131.99467305604401</v>
      </c>
    </row>
    <row r="134" spans="1:37" x14ac:dyDescent="0.2">
      <c r="A134" t="str">
        <f>"20200111150446857"</f>
        <v>20200111150446857</v>
      </c>
      <c r="B134" t="str">
        <f>"1578726286853615"</f>
        <v>1578726286853615</v>
      </c>
      <c r="C134" t="s">
        <v>37</v>
      </c>
      <c r="D134">
        <v>5.0141609999999996</v>
      </c>
      <c r="E134">
        <v>0.50655130000000004</v>
      </c>
      <c r="F134" t="s">
        <v>47</v>
      </c>
      <c r="G134">
        <v>-372.96460000000002</v>
      </c>
      <c r="H134">
        <v>1.0603290000000001</v>
      </c>
      <c r="I134">
        <v>347.65069999999997</v>
      </c>
      <c r="J134">
        <v>-511.60610000000003</v>
      </c>
      <c r="K134">
        <v>1.0794269999999999</v>
      </c>
      <c r="L134">
        <v>373.43770000000001</v>
      </c>
      <c r="M134">
        <v>0.96418709999999996</v>
      </c>
      <c r="N134">
        <v>0</v>
      </c>
      <c r="O134">
        <v>-0.26516620000000002</v>
      </c>
      <c r="P134">
        <v>0.98104259999999999</v>
      </c>
      <c r="Q134">
        <v>0.109198</v>
      </c>
      <c r="R134">
        <v>-0.1600984</v>
      </c>
      <c r="S134">
        <v>2.9674990000000001</v>
      </c>
      <c r="T134">
        <v>-4.2784209999999998E-4</v>
      </c>
      <c r="U134">
        <v>-0.55154419999999904</v>
      </c>
      <c r="V134">
        <v>-0.105974499999999</v>
      </c>
      <c r="W134">
        <v>0.1035446</v>
      </c>
      <c r="X134">
        <v>0.98896309999999998</v>
      </c>
      <c r="Y134">
        <v>-8.4514699999999998E-2</v>
      </c>
      <c r="Z134" s="1">
        <v>4.3373310000000001E-5</v>
      </c>
      <c r="AA134">
        <v>0.99642219999999904</v>
      </c>
      <c r="AB134">
        <v>13</v>
      </c>
      <c r="AC134">
        <v>138.64150000000001</v>
      </c>
      <c r="AD134">
        <v>-1.9098E-2</v>
      </c>
      <c r="AE134">
        <v>-25.786999999999999</v>
      </c>
      <c r="AF134">
        <v>-11.899725977873301</v>
      </c>
      <c r="AG134">
        <v>-1.9098E-2</v>
      </c>
      <c r="AH134">
        <v>140.51630041896999</v>
      </c>
      <c r="AI134">
        <v>90.007759470036007</v>
      </c>
      <c r="AJ134">
        <v>94.840585465909001</v>
      </c>
      <c r="AK134">
        <v>141.01927005383399</v>
      </c>
    </row>
    <row r="135" spans="1:37" x14ac:dyDescent="0.2">
      <c r="A135" t="str">
        <f>"20200111150446878"</f>
        <v>20200111150446878</v>
      </c>
      <c r="B135" t="str">
        <f>"1578726286873135"</f>
        <v>1578726286873135</v>
      </c>
      <c r="C135" t="s">
        <v>37</v>
      </c>
      <c r="D135">
        <v>4.952731</v>
      </c>
      <c r="E135">
        <v>0.50647370000000003</v>
      </c>
      <c r="F135" t="s">
        <v>48</v>
      </c>
      <c r="G135">
        <v>-370.67540000000002</v>
      </c>
      <c r="H135">
        <v>2.8865560000000001</v>
      </c>
      <c r="I135">
        <v>347.54579999999999</v>
      </c>
      <c r="J135">
        <v>-511.73939999999999</v>
      </c>
      <c r="K135">
        <v>1.0791170000000001</v>
      </c>
      <c r="L135">
        <v>373.47250000000003</v>
      </c>
      <c r="M135">
        <v>0.96426279999999998</v>
      </c>
      <c r="N135">
        <v>0</v>
      </c>
      <c r="O135">
        <v>-0.26489620000000003</v>
      </c>
      <c r="P135">
        <v>0.98116530000000002</v>
      </c>
      <c r="Q135">
        <v>0.1095595</v>
      </c>
      <c r="R135">
        <v>-0.1590953</v>
      </c>
      <c r="S135">
        <v>2.964874</v>
      </c>
      <c r="T135">
        <v>3.8019659999999997E-2</v>
      </c>
      <c r="U135">
        <v>-0.54470830000000003</v>
      </c>
      <c r="V135">
        <v>-0.106844699999999</v>
      </c>
      <c r="W135">
        <v>0.1040729</v>
      </c>
      <c r="X135">
        <v>0.98881390000000002</v>
      </c>
      <c r="Y135">
        <v>-8.6270990000000006E-2</v>
      </c>
      <c r="Z135">
        <v>-3.8664089999999999E-3</v>
      </c>
      <c r="AA135">
        <v>0.99626419999999904</v>
      </c>
      <c r="AB135">
        <v>13</v>
      </c>
      <c r="AC135">
        <v>141.063999999999</v>
      </c>
      <c r="AD135">
        <v>1.807439</v>
      </c>
      <c r="AE135">
        <v>-25.9267</v>
      </c>
      <c r="AF135">
        <v>-12.3653700677018</v>
      </c>
      <c r="AG135">
        <v>1.807439</v>
      </c>
      <c r="AH135">
        <v>142.86991067593701</v>
      </c>
      <c r="AI135">
        <v>89.277892340232896</v>
      </c>
      <c r="AJ135">
        <v>94.946614497238102</v>
      </c>
      <c r="AK135">
        <v>143.41541266265699</v>
      </c>
    </row>
    <row r="136" spans="1:37" x14ac:dyDescent="0.2">
      <c r="A136" t="str">
        <f>"20200111150446902"</f>
        <v>20200111150446902</v>
      </c>
      <c r="B136" t="str">
        <f>"1578726286893630"</f>
        <v>1578726286893630</v>
      </c>
      <c r="C136" t="s">
        <v>37</v>
      </c>
      <c r="D136">
        <v>5.0644220000000004</v>
      </c>
      <c r="E136">
        <v>0.50627929999999999</v>
      </c>
      <c r="F136" t="s">
        <v>49</v>
      </c>
      <c r="G136">
        <v>-367.83760000000001</v>
      </c>
      <c r="H136">
        <v>3.3612329999999999</v>
      </c>
      <c r="I136">
        <v>347.29719999999998</v>
      </c>
      <c r="J136">
        <v>-511.87079999999997</v>
      </c>
      <c r="K136">
        <v>1.078654</v>
      </c>
      <c r="L136">
        <v>373.5068</v>
      </c>
      <c r="M136">
        <v>0.96435769999999998</v>
      </c>
      <c r="N136">
        <v>0</v>
      </c>
      <c r="O136">
        <v>-0.26456009999999902</v>
      </c>
      <c r="P136">
        <v>0.98113240000000002</v>
      </c>
      <c r="Q136">
        <v>0.1089106</v>
      </c>
      <c r="R136">
        <v>-0.15974249999999901</v>
      </c>
      <c r="S136">
        <v>2.9649049999999999</v>
      </c>
      <c r="T136">
        <v>4.7021510000000002E-2</v>
      </c>
      <c r="U136">
        <v>-0.53930659999999997</v>
      </c>
      <c r="V136">
        <v>-0.10602300000000001</v>
      </c>
      <c r="W136">
        <v>0.1037637</v>
      </c>
      <c r="X136">
        <v>0.98893489999999995</v>
      </c>
      <c r="Y136">
        <v>-8.7666569999999999E-2</v>
      </c>
      <c r="Z136">
        <v>-4.7886070000000003E-3</v>
      </c>
      <c r="AA136">
        <v>0.99613839999999998</v>
      </c>
      <c r="AB136">
        <v>13</v>
      </c>
      <c r="AC136">
        <v>144.033199999999</v>
      </c>
      <c r="AD136">
        <v>2.2825790000000001</v>
      </c>
      <c r="AE136">
        <v>-26.209599999999998</v>
      </c>
      <c r="AF136">
        <v>-12.8270323016645</v>
      </c>
      <c r="AG136">
        <v>2.2825790000000001</v>
      </c>
      <c r="AH136">
        <v>145.79971379065901</v>
      </c>
      <c r="AI136">
        <v>89.106525150760504</v>
      </c>
      <c r="AJ136">
        <v>95.027770146201505</v>
      </c>
      <c r="AK136">
        <v>146.380666298515</v>
      </c>
    </row>
    <row r="137" spans="1:37" x14ac:dyDescent="0.2">
      <c r="A137" t="str">
        <f>"20200111150446925"</f>
        <v>20200111150446925</v>
      </c>
      <c r="B137" t="str">
        <f>"1578726286913658"</f>
        <v>1578726286913658</v>
      </c>
      <c r="C137" t="s">
        <v>37</v>
      </c>
      <c r="D137">
        <v>4.9079980000000001</v>
      </c>
      <c r="E137">
        <v>0.50618560000000001</v>
      </c>
      <c r="F137" t="s">
        <v>49</v>
      </c>
      <c r="G137">
        <v>-367.48739999999998</v>
      </c>
      <c r="H137">
        <v>3.655125</v>
      </c>
      <c r="I137">
        <v>347.29719999999998</v>
      </c>
      <c r="J137">
        <v>-511.99279999999999</v>
      </c>
      <c r="K137">
        <v>1.077839</v>
      </c>
      <c r="L137">
        <v>373.53899999999999</v>
      </c>
      <c r="M137">
        <v>0.96436889999999997</v>
      </c>
      <c r="N137">
        <v>0</v>
      </c>
      <c r="O137">
        <v>-0.26452789999999998</v>
      </c>
      <c r="P137">
        <v>0.98130419999999996</v>
      </c>
      <c r="Q137">
        <v>0.1060025</v>
      </c>
      <c r="R137">
        <v>-0.1606407</v>
      </c>
      <c r="S137">
        <v>2.9642029999999999</v>
      </c>
      <c r="T137">
        <v>5.2896619999999998E-2</v>
      </c>
      <c r="U137">
        <v>-0.53808590000000001</v>
      </c>
      <c r="V137">
        <v>-0.1052688</v>
      </c>
      <c r="W137">
        <v>0.1012232</v>
      </c>
      <c r="X137">
        <v>0.98927869999999996</v>
      </c>
      <c r="Y137">
        <v>-8.7977059999999996E-2</v>
      </c>
      <c r="Z137">
        <v>-5.3905280000000003E-3</v>
      </c>
      <c r="AA137">
        <v>0.99610789999999905</v>
      </c>
      <c r="AB137">
        <v>13</v>
      </c>
      <c r="AC137">
        <v>144.50540000000001</v>
      </c>
      <c r="AD137">
        <v>2.577286</v>
      </c>
      <c r="AE137">
        <v>-26.241800000000001</v>
      </c>
      <c r="AF137">
        <v>-12.9150709170483</v>
      </c>
      <c r="AG137">
        <v>2.577286</v>
      </c>
      <c r="AH137">
        <v>146.25445281160901</v>
      </c>
      <c r="AI137">
        <v>88.994354687624195</v>
      </c>
      <c r="AJ137">
        <v>95.046441822774298</v>
      </c>
      <c r="AK137">
        <v>146.84619990704999</v>
      </c>
    </row>
    <row r="138" spans="1:37" x14ac:dyDescent="0.2">
      <c r="A138" t="str">
        <f>"20200111150446946"</f>
        <v>20200111150446946</v>
      </c>
      <c r="B138" t="str">
        <f>"1578726286942938"</f>
        <v>1578726286942938</v>
      </c>
      <c r="C138" t="s">
        <v>37</v>
      </c>
      <c r="D138">
        <v>5.257174</v>
      </c>
      <c r="E138">
        <v>0.50558619999999999</v>
      </c>
      <c r="F138" t="s">
        <v>49</v>
      </c>
      <c r="G138">
        <v>-367.77420000000001</v>
      </c>
      <c r="H138">
        <v>3.492175</v>
      </c>
      <c r="I138">
        <v>347.29719999999998</v>
      </c>
      <c r="J138">
        <v>-512.11180000000002</v>
      </c>
      <c r="K138">
        <v>1.0766439999999999</v>
      </c>
      <c r="L138">
        <v>373.57080000000002</v>
      </c>
      <c r="M138">
        <v>0.96431659999999997</v>
      </c>
      <c r="N138">
        <v>0</v>
      </c>
      <c r="O138">
        <v>-0.26472800000000002</v>
      </c>
      <c r="P138">
        <v>0.98131859999999904</v>
      </c>
      <c r="Q138">
        <v>0.102474499999999</v>
      </c>
      <c r="R138">
        <v>-0.16282869999999999</v>
      </c>
      <c r="S138">
        <v>2.963562</v>
      </c>
      <c r="T138">
        <v>4.9613949999999997E-2</v>
      </c>
      <c r="U138">
        <v>-0.53924559999999999</v>
      </c>
      <c r="V138">
        <v>-0.1034021</v>
      </c>
      <c r="W138">
        <v>9.8265420000000006E-2</v>
      </c>
      <c r="X138">
        <v>0.98977369999999898</v>
      </c>
      <c r="Y138">
        <v>-8.7774229999999995E-2</v>
      </c>
      <c r="Z138">
        <v>-5.0583850000000003E-3</v>
      </c>
      <c r="AA138">
        <v>0.99612749999999906</v>
      </c>
      <c r="AB138">
        <v>13</v>
      </c>
      <c r="AC138">
        <v>144.33760000000001</v>
      </c>
      <c r="AD138">
        <v>2.4155310000000001</v>
      </c>
      <c r="AE138">
        <v>-26.273599999999998</v>
      </c>
      <c r="AF138">
        <v>-12.8707274437335</v>
      </c>
      <c r="AG138">
        <v>2.4155310000000001</v>
      </c>
      <c r="AH138">
        <v>146.10381367118899</v>
      </c>
      <c r="AI138">
        <v>89.056469823475894</v>
      </c>
      <c r="AJ138">
        <v>95.034362728386398</v>
      </c>
      <c r="AK138">
        <v>146.68951831746</v>
      </c>
    </row>
    <row r="139" spans="1:37" x14ac:dyDescent="0.2">
      <c r="A139" t="str">
        <f>"20200111150446972"</f>
        <v>20200111150446972</v>
      </c>
      <c r="B139" t="str">
        <f>"1578726286963434"</f>
        <v>1578726286963434</v>
      </c>
      <c r="C139" t="s">
        <v>37</v>
      </c>
      <c r="D139">
        <v>5.4740250000000001</v>
      </c>
      <c r="E139">
        <v>0.53185740000000004</v>
      </c>
      <c r="F139" t="s">
        <v>47</v>
      </c>
      <c r="G139">
        <v>-372.96460000000002</v>
      </c>
      <c r="H139">
        <v>1.873605</v>
      </c>
      <c r="I139">
        <v>348.15339999999998</v>
      </c>
      <c r="J139">
        <v>-512.25409999999999</v>
      </c>
      <c r="K139">
        <v>1.074762</v>
      </c>
      <c r="L139">
        <v>373.60930000000002</v>
      </c>
      <c r="M139">
        <v>0.96418359999999903</v>
      </c>
      <c r="N139">
        <v>0</v>
      </c>
      <c r="O139">
        <v>-0.26522390000000001</v>
      </c>
      <c r="P139">
        <v>0.98104659999999999</v>
      </c>
      <c r="Q139">
        <v>9.8027000000000003E-2</v>
      </c>
      <c r="R139">
        <v>-0.16714809999999999</v>
      </c>
      <c r="S139">
        <v>2.9654539999999998</v>
      </c>
      <c r="T139">
        <v>1.6986250000000001E-2</v>
      </c>
      <c r="U139">
        <v>-0.54168700000000003</v>
      </c>
      <c r="V139">
        <v>-9.9636020000000006E-2</v>
      </c>
      <c r="W139">
        <v>9.4870560000000007E-2</v>
      </c>
      <c r="X139">
        <v>0.99049089999999995</v>
      </c>
      <c r="Y139">
        <v>-8.7645070000000005E-2</v>
      </c>
      <c r="Z139">
        <v>-1.733023E-3</v>
      </c>
      <c r="AA139">
        <v>0.99615030000000004</v>
      </c>
      <c r="AB139">
        <v>13</v>
      </c>
      <c r="AC139">
        <v>139.28949999999901</v>
      </c>
      <c r="AD139">
        <v>0.79884299999999997</v>
      </c>
      <c r="AE139">
        <v>-25.4559</v>
      </c>
      <c r="AF139">
        <v>-12.398387352282199</v>
      </c>
      <c r="AG139">
        <v>0.79884299999999997</v>
      </c>
      <c r="AH139">
        <v>141.04811734573801</v>
      </c>
      <c r="AI139">
        <v>89.676748331478507</v>
      </c>
      <c r="AJ139">
        <v>95.023491917388696</v>
      </c>
      <c r="AK139">
        <v>141.59424270023499</v>
      </c>
    </row>
    <row r="140" spans="1:37" x14ac:dyDescent="0.2">
      <c r="A140" t="str">
        <f>"20200111150446995"</f>
        <v>20200111150446995</v>
      </c>
      <c r="B140" t="str">
        <f>"1578726286983929"</f>
        <v>1578726286983929</v>
      </c>
      <c r="C140" t="s">
        <v>37</v>
      </c>
      <c r="D140">
        <v>5.2795329999999998</v>
      </c>
      <c r="E140">
        <v>0.55967679999999997</v>
      </c>
      <c r="F140" t="s">
        <v>38</v>
      </c>
      <c r="G140">
        <v>-511.57010000000002</v>
      </c>
      <c r="H140">
        <v>0.98994389999999999</v>
      </c>
      <c r="I140">
        <v>373.43119999999999</v>
      </c>
      <c r="J140">
        <v>-512.37879999999996</v>
      </c>
      <c r="K140">
        <v>1.0727629999999999</v>
      </c>
      <c r="L140">
        <v>373.64339999999999</v>
      </c>
      <c r="M140">
        <v>0.96397389999999905</v>
      </c>
      <c r="N140">
        <v>0</v>
      </c>
      <c r="O140">
        <v>-0.26599259999999902</v>
      </c>
      <c r="P140">
        <v>0.98066710000000001</v>
      </c>
      <c r="Q140">
        <v>9.2234369999999996E-2</v>
      </c>
      <c r="R140">
        <v>-0.1725836</v>
      </c>
      <c r="S140">
        <v>2.9635009999999999</v>
      </c>
      <c r="T140">
        <v>-0.36774000000000001</v>
      </c>
      <c r="U140">
        <v>-0.77005000000000001</v>
      </c>
      <c r="V140">
        <v>-9.4987459999999996E-2</v>
      </c>
      <c r="W140">
        <v>9.0236129999999998E-2</v>
      </c>
      <c r="X140">
        <v>0.99138029999999999</v>
      </c>
      <c r="Y140">
        <v>-1.3073950000000001E-2</v>
      </c>
      <c r="Z140">
        <v>3.2577879999999997E-2</v>
      </c>
      <c r="AA140">
        <v>0.99938369999999999</v>
      </c>
      <c r="AB140">
        <v>13</v>
      </c>
      <c r="AC140">
        <v>0.80869999999993003</v>
      </c>
      <c r="AD140">
        <v>-8.2819099999999896E-2</v>
      </c>
      <c r="AE140">
        <v>-0.212199999999995</v>
      </c>
      <c r="AF140">
        <v>-1.0450423779357201E-2</v>
      </c>
      <c r="AG140">
        <v>-8.2819099999999896E-2</v>
      </c>
      <c r="AH140">
        <v>0.82788683359006299</v>
      </c>
      <c r="AI140">
        <v>95.712225274111105</v>
      </c>
      <c r="AJ140">
        <v>90.723206787373897</v>
      </c>
      <c r="AK140">
        <v>0.83208462545209805</v>
      </c>
    </row>
    <row r="141" spans="1:37" x14ac:dyDescent="0.2">
      <c r="A141" t="str">
        <f>"20200111150447034"</f>
        <v>20200111150447034</v>
      </c>
      <c r="B141" t="str">
        <f>"1578726287022970"</f>
        <v>1578726287022970</v>
      </c>
      <c r="C141" t="s">
        <v>37</v>
      </c>
      <c r="D141">
        <v>5.366841</v>
      </c>
      <c r="E141">
        <v>0.56485010000000002</v>
      </c>
      <c r="F141" t="s">
        <v>45</v>
      </c>
      <c r="G141">
        <v>-441.08890000000002</v>
      </c>
      <c r="H141">
        <v>1.4761359999999999</v>
      </c>
      <c r="I141">
        <v>349.09100000000001</v>
      </c>
      <c r="J141">
        <v>-512.59199999999998</v>
      </c>
      <c r="K141">
        <v>1.0692029999999999</v>
      </c>
      <c r="L141">
        <v>373.7022</v>
      </c>
      <c r="M141">
        <v>0.96355029999999997</v>
      </c>
      <c r="N141">
        <v>0</v>
      </c>
      <c r="O141">
        <v>-0.26752680000000001</v>
      </c>
      <c r="P141">
        <v>0.97904290000000005</v>
      </c>
      <c r="Q141">
        <v>8.347069E-2</v>
      </c>
      <c r="R141">
        <v>-0.18576280000000001</v>
      </c>
      <c r="S141">
        <v>2.8829349999999998</v>
      </c>
      <c r="T141">
        <v>1.6312E-2</v>
      </c>
      <c r="U141">
        <v>-0.99288940000000003</v>
      </c>
      <c r="V141">
        <v>-8.3261959999999996E-2</v>
      </c>
      <c r="W141">
        <v>8.3579970000000003E-2</v>
      </c>
      <c r="X141">
        <v>0.99301649999999997</v>
      </c>
      <c r="Y141">
        <v>6.0819239999999997E-2</v>
      </c>
      <c r="Z141">
        <v>-1.27429E-3</v>
      </c>
      <c r="AA141">
        <v>0.99814799999999904</v>
      </c>
      <c r="AB141">
        <v>13</v>
      </c>
      <c r="AC141">
        <v>71.503099999999904</v>
      </c>
      <c r="AD141">
        <v>0.40693299999999999</v>
      </c>
      <c r="AE141">
        <v>-24.6112</v>
      </c>
      <c r="AF141">
        <v>4.5850013658655202</v>
      </c>
      <c r="AG141">
        <v>0.40693299999999999</v>
      </c>
      <c r="AH141">
        <v>75.478812013553807</v>
      </c>
      <c r="AI141">
        <v>89.6916694972345</v>
      </c>
      <c r="AJ141">
        <v>86.523808344260303</v>
      </c>
      <c r="AK141">
        <v>75.619037913536502</v>
      </c>
    </row>
    <row r="142" spans="1:37" x14ac:dyDescent="0.2">
      <c r="A142" t="str">
        <f>"20200111150447058"</f>
        <v>20200111150447058</v>
      </c>
      <c r="B142" t="str">
        <f>"1578726287053226"</f>
        <v>1578726287053226</v>
      </c>
      <c r="C142" t="s">
        <v>37</v>
      </c>
      <c r="D142">
        <v>5.3071979999999996</v>
      </c>
      <c r="E142">
        <v>0.56363980000000002</v>
      </c>
      <c r="F142" t="s">
        <v>38</v>
      </c>
      <c r="G142">
        <v>-512.04240000000004</v>
      </c>
      <c r="H142">
        <v>0.93875609999999998</v>
      </c>
      <c r="I142">
        <v>373.49799999999999</v>
      </c>
      <c r="J142">
        <v>-512.71810000000005</v>
      </c>
      <c r="K142">
        <v>1.067248</v>
      </c>
      <c r="L142">
        <v>373.73689999999999</v>
      </c>
      <c r="M142">
        <v>0.96335780000000004</v>
      </c>
      <c r="N142">
        <v>0</v>
      </c>
      <c r="O142">
        <v>-0.26821519999999999</v>
      </c>
      <c r="P142">
        <v>0.97824800000000001</v>
      </c>
      <c r="Q142">
        <v>8.1387180000000003E-2</v>
      </c>
      <c r="R142">
        <v>-0.19080749999999999</v>
      </c>
      <c r="S142">
        <v>2.91760299999999</v>
      </c>
      <c r="T142">
        <v>-0.69263540000000001</v>
      </c>
      <c r="U142">
        <v>-1.0838620000000001</v>
      </c>
      <c r="V142">
        <v>-7.8829419999999997E-2</v>
      </c>
      <c r="W142">
        <v>8.2746509999999995E-2</v>
      </c>
      <c r="X142">
        <v>0.993448</v>
      </c>
      <c r="Y142">
        <v>8.8224720000000006E-2</v>
      </c>
      <c r="Z142">
        <v>4.9559730000000003E-2</v>
      </c>
      <c r="AA142">
        <v>0.99486699999999995</v>
      </c>
      <c r="AB142">
        <v>13</v>
      </c>
      <c r="AC142">
        <v>0.67570000000000596</v>
      </c>
      <c r="AD142">
        <v>-0.12849189999999999</v>
      </c>
      <c r="AE142">
        <v>-0.23889999999994399</v>
      </c>
      <c r="AF142">
        <v>4.7389958968988101E-2</v>
      </c>
      <c r="AG142">
        <v>-0.12849189999999999</v>
      </c>
      <c r="AH142">
        <v>0.69275106117152696</v>
      </c>
      <c r="AI142">
        <v>100.483885369574</v>
      </c>
      <c r="AJ142">
        <v>86.086587040359206</v>
      </c>
      <c r="AK142">
        <v>0.70615862901402704</v>
      </c>
    </row>
    <row r="143" spans="1:37" x14ac:dyDescent="0.2">
      <c r="A143" t="str">
        <f>"20200111150447079"</f>
        <v>20200111150447079</v>
      </c>
      <c r="B143" t="str">
        <f>"1578726287073722"</f>
        <v>1578726287073722</v>
      </c>
      <c r="C143" t="s">
        <v>37</v>
      </c>
      <c r="D143">
        <v>5.4176769999999896</v>
      </c>
      <c r="E143">
        <v>0.56248469999999995</v>
      </c>
      <c r="F143" t="s">
        <v>38</v>
      </c>
      <c r="G143">
        <v>-512.15170000000001</v>
      </c>
      <c r="H143">
        <v>0.93767289999999903</v>
      </c>
      <c r="I143">
        <v>373.5247</v>
      </c>
      <c r="J143">
        <v>-512.83699999999999</v>
      </c>
      <c r="K143">
        <v>1.065585</v>
      </c>
      <c r="L143">
        <v>373.7697</v>
      </c>
      <c r="M143">
        <v>0.96321509999999999</v>
      </c>
      <c r="N143">
        <v>0</v>
      </c>
      <c r="O143">
        <v>-0.26871830000000002</v>
      </c>
      <c r="P143">
        <v>0.9776224</v>
      </c>
      <c r="Q143">
        <v>8.3595409999999995E-2</v>
      </c>
      <c r="R143">
        <v>-0.19304479999999999</v>
      </c>
      <c r="S143">
        <v>2.9099729999999999</v>
      </c>
      <c r="T143">
        <v>-0.6658385</v>
      </c>
      <c r="U143">
        <v>-1.0876459999999999</v>
      </c>
      <c r="V143">
        <v>-7.6987459999999994E-2</v>
      </c>
      <c r="W143">
        <v>8.6078139999999997E-2</v>
      </c>
      <c r="X143">
        <v>0.99330940000000001</v>
      </c>
      <c r="Y143">
        <v>8.9379009999999995E-2</v>
      </c>
      <c r="Z143">
        <v>4.7765630000000003E-2</v>
      </c>
      <c r="AA143">
        <v>0.99485159999999995</v>
      </c>
      <c r="AB143">
        <v>13</v>
      </c>
      <c r="AC143">
        <v>0.68529999999998303</v>
      </c>
      <c r="AD143">
        <v>-0.1279121</v>
      </c>
      <c r="AE143">
        <v>-0.24500000000000399</v>
      </c>
      <c r="AF143">
        <v>5.0281996810129299E-2</v>
      </c>
      <c r="AG143">
        <v>-0.1279121</v>
      </c>
      <c r="AH143">
        <v>0.70417747848829904</v>
      </c>
      <c r="AI143">
        <v>100.26979191719499</v>
      </c>
      <c r="AJ143">
        <v>85.915710399077298</v>
      </c>
      <c r="AK143">
        <v>0.717464776654411</v>
      </c>
    </row>
    <row r="144" spans="1:37" x14ac:dyDescent="0.2">
      <c r="A144" t="str">
        <f>"20200111150447103"</f>
        <v>20200111150447103</v>
      </c>
      <c r="B144" t="str">
        <f>"1578726287093241"</f>
        <v>1578726287093241</v>
      </c>
      <c r="C144" t="s">
        <v>37</v>
      </c>
      <c r="D144">
        <v>5.3836259999999996</v>
      </c>
      <c r="E144">
        <v>0.56161569999999905</v>
      </c>
      <c r="F144" t="s">
        <v>38</v>
      </c>
      <c r="G144">
        <v>-512.26099999999997</v>
      </c>
      <c r="H144">
        <v>0.93453310000000001</v>
      </c>
      <c r="I144">
        <v>373.55509999999998</v>
      </c>
      <c r="J144">
        <v>-512.96450000000004</v>
      </c>
      <c r="K144">
        <v>1.0639609999999999</v>
      </c>
      <c r="L144">
        <v>373.80509999999998</v>
      </c>
      <c r="M144">
        <v>0.96308479999999996</v>
      </c>
      <c r="N144">
        <v>0</v>
      </c>
      <c r="O144">
        <v>-0.26917209999999903</v>
      </c>
      <c r="P144">
        <v>0.97703519999999899</v>
      </c>
      <c r="Q144">
        <v>8.905631E-2</v>
      </c>
      <c r="R144">
        <v>-0.193577</v>
      </c>
      <c r="S144">
        <v>2.9110719999999999</v>
      </c>
      <c r="T144">
        <v>-0.66235659999999996</v>
      </c>
      <c r="U144">
        <v>-1.085205</v>
      </c>
      <c r="V144">
        <v>-7.6763940000000003E-2</v>
      </c>
      <c r="W144">
        <v>9.2646419999999993E-2</v>
      </c>
      <c r="X144">
        <v>0.99273559999999905</v>
      </c>
      <c r="Y144">
        <v>8.8050229999999993E-2</v>
      </c>
      <c r="Z144">
        <v>4.7751580000000002E-2</v>
      </c>
      <c r="AA144">
        <v>0.99497080000000004</v>
      </c>
      <c r="AB144">
        <v>13</v>
      </c>
      <c r="AC144">
        <v>0.70350000000007595</v>
      </c>
      <c r="AD144">
        <v>-0.12942790000000001</v>
      </c>
      <c r="AE144">
        <v>-0.25</v>
      </c>
      <c r="AF144">
        <v>4.99091000418782E-2</v>
      </c>
      <c r="AG144">
        <v>-0.12942790000000001</v>
      </c>
      <c r="AH144">
        <v>0.72309758873683505</v>
      </c>
      <c r="AI144">
        <v>100.12437485550601</v>
      </c>
      <c r="AJ144">
        <v>86.051635600314896</v>
      </c>
      <c r="AK144">
        <v>0.73628297712389401</v>
      </c>
    </row>
    <row r="145" spans="1:37" x14ac:dyDescent="0.2">
      <c r="A145" t="str">
        <f>"20200111150447126"</f>
        <v>20200111150447126</v>
      </c>
      <c r="B145" t="str">
        <f>"1578726287123030"</f>
        <v>1578726287123030</v>
      </c>
      <c r="C145" t="s">
        <v>37</v>
      </c>
      <c r="D145">
        <v>5.4405519999999896</v>
      </c>
      <c r="E145">
        <v>0.56015719999999902</v>
      </c>
      <c r="F145" t="s">
        <v>38</v>
      </c>
      <c r="G145">
        <v>-512.37049999999999</v>
      </c>
      <c r="H145">
        <v>0.93156830000000002</v>
      </c>
      <c r="I145">
        <v>373.5847</v>
      </c>
      <c r="J145">
        <v>-513.09730000000002</v>
      </c>
      <c r="K145">
        <v>1.06243</v>
      </c>
      <c r="L145">
        <v>373.84190000000001</v>
      </c>
      <c r="M145">
        <v>0.96296440000000005</v>
      </c>
      <c r="N145">
        <v>0</v>
      </c>
      <c r="O145">
        <v>-0.26958599999999999</v>
      </c>
      <c r="P145">
        <v>0.97685200000000005</v>
      </c>
      <c r="Q145">
        <v>9.1075169999999997E-2</v>
      </c>
      <c r="R145">
        <v>-0.19356099999999901</v>
      </c>
      <c r="S145">
        <v>2.9157099999999998</v>
      </c>
      <c r="T145">
        <v>-0.64979940000000003</v>
      </c>
      <c r="U145">
        <v>-1.0802609999999999</v>
      </c>
      <c r="V145">
        <v>-7.713296E-2</v>
      </c>
      <c r="W145">
        <v>9.5711660000000004E-2</v>
      </c>
      <c r="X145">
        <v>0.99241610000000002</v>
      </c>
      <c r="Y145">
        <v>8.5529010000000003E-2</v>
      </c>
      <c r="Z145">
        <v>4.7167349999999997E-2</v>
      </c>
      <c r="AA145">
        <v>0.99521859999999995</v>
      </c>
      <c r="AB145">
        <v>13</v>
      </c>
      <c r="AC145">
        <v>0.72680000000002498</v>
      </c>
      <c r="AD145">
        <v>-0.130861699999999</v>
      </c>
      <c r="AE145">
        <v>-0.25720000000001098</v>
      </c>
      <c r="AF145">
        <v>5.0291014177956901E-2</v>
      </c>
      <c r="AG145">
        <v>-0.130861699999999</v>
      </c>
      <c r="AH145">
        <v>0.74768748562518905</v>
      </c>
      <c r="AI145">
        <v>99.905527006266695</v>
      </c>
      <c r="AJ145">
        <v>86.151962889440796</v>
      </c>
      <c r="AK145">
        <v>0.76071712666039903</v>
      </c>
    </row>
    <row r="146" spans="1:37" x14ac:dyDescent="0.2">
      <c r="A146" t="str">
        <f>"20200111150447149"</f>
        <v>20200111150447149</v>
      </c>
      <c r="B146" t="str">
        <f>"1578726287143526"</f>
        <v>1578726287143526</v>
      </c>
      <c r="C146" t="s">
        <v>37</v>
      </c>
      <c r="D146">
        <v>5.3785109999999996</v>
      </c>
      <c r="E146">
        <v>0.55945230000000001</v>
      </c>
      <c r="F146" t="s">
        <v>38</v>
      </c>
      <c r="G146">
        <v>-512.48099999999999</v>
      </c>
      <c r="H146">
        <v>0.92551919999999899</v>
      </c>
      <c r="I146">
        <v>373.61669999999998</v>
      </c>
      <c r="J146">
        <v>-513.21659999999997</v>
      </c>
      <c r="K146">
        <v>1.0611969999999999</v>
      </c>
      <c r="L146">
        <v>373.875</v>
      </c>
      <c r="M146">
        <v>0.96286700000000003</v>
      </c>
      <c r="N146">
        <v>0</v>
      </c>
      <c r="O146">
        <v>-0.26991690000000002</v>
      </c>
      <c r="P146">
        <v>0.97658619999999996</v>
      </c>
      <c r="Q146">
        <v>9.1412370000000007E-2</v>
      </c>
      <c r="R146">
        <v>-0.19473940000000001</v>
      </c>
      <c r="S146">
        <v>2.920013</v>
      </c>
      <c r="T146">
        <v>-0.64863510000000002</v>
      </c>
      <c r="U146">
        <v>-1.0677190000000001</v>
      </c>
      <c r="V146">
        <v>-7.6244809999999996E-2</v>
      </c>
      <c r="W146">
        <v>9.6907709999999994E-2</v>
      </c>
      <c r="X146">
        <v>0.99236869999999999</v>
      </c>
      <c r="Y146">
        <v>8.1024589999999994E-2</v>
      </c>
      <c r="Z146">
        <v>4.7607969999999999E-2</v>
      </c>
      <c r="AA146">
        <v>0.99557450000000003</v>
      </c>
      <c r="AB146">
        <v>13</v>
      </c>
      <c r="AC146">
        <v>0.73559999999997605</v>
      </c>
      <c r="AD146">
        <v>-0.13567779999999999</v>
      </c>
      <c r="AE146">
        <v>-0.25830000000001901</v>
      </c>
      <c r="AF146">
        <v>4.8684045046393502E-2</v>
      </c>
      <c r="AG146">
        <v>-0.13567779999999999</v>
      </c>
      <c r="AH146">
        <v>0.75514677574145295</v>
      </c>
      <c r="AI146">
        <v>100.16503960460901</v>
      </c>
      <c r="AJ146">
        <v>86.311266283451005</v>
      </c>
      <c r="AK146">
        <v>0.76878166898517497</v>
      </c>
    </row>
    <row r="147" spans="1:37" x14ac:dyDescent="0.2">
      <c r="A147" t="str">
        <f>"20200111150447191"</f>
        <v>20200111150447191</v>
      </c>
      <c r="B147" t="str">
        <f>"1578726287183544"</f>
        <v>1578726287183544</v>
      </c>
      <c r="C147" t="s">
        <v>37</v>
      </c>
      <c r="D147">
        <v>5.425141</v>
      </c>
      <c r="E147">
        <v>0.55898429999999999</v>
      </c>
      <c r="F147" t="s">
        <v>38</v>
      </c>
      <c r="G147">
        <v>-512.59069999999997</v>
      </c>
      <c r="H147">
        <v>0.92259840000000004</v>
      </c>
      <c r="I147">
        <v>373.64599999999899</v>
      </c>
      <c r="J147">
        <v>-513.44560000000001</v>
      </c>
      <c r="K147">
        <v>1.0592010000000001</v>
      </c>
      <c r="L147">
        <v>373.93880000000001</v>
      </c>
      <c r="M147">
        <v>0.96267559999999996</v>
      </c>
      <c r="N147">
        <v>0</v>
      </c>
      <c r="O147">
        <v>-0.27056609999999998</v>
      </c>
      <c r="P147">
        <v>0.97575979999999995</v>
      </c>
      <c r="Q147">
        <v>9.2406180000000004E-2</v>
      </c>
      <c r="R147">
        <v>-0.1983782</v>
      </c>
      <c r="S147">
        <v>2.91967799999999</v>
      </c>
      <c r="T147">
        <v>-0.64668729999999996</v>
      </c>
      <c r="U147">
        <v>-1.066956</v>
      </c>
      <c r="V147">
        <v>-7.3141629999999999E-2</v>
      </c>
      <c r="W147">
        <v>9.9331639999999999E-2</v>
      </c>
      <c r="X147">
        <v>0.99236259999999998</v>
      </c>
      <c r="Y147">
        <v>8.0166059999999997E-2</v>
      </c>
      <c r="Z147">
        <v>4.76976E-2</v>
      </c>
      <c r="AA147">
        <v>0.99563969999999902</v>
      </c>
      <c r="AB147">
        <v>13</v>
      </c>
      <c r="AC147">
        <v>0.85490000000004296</v>
      </c>
      <c r="AD147">
        <v>-0.13660259999999999</v>
      </c>
      <c r="AE147">
        <v>-0.29280000000005602</v>
      </c>
      <c r="AF147">
        <v>4.9436021910871597E-2</v>
      </c>
      <c r="AG147">
        <v>-0.13660259999999999</v>
      </c>
      <c r="AH147">
        <v>0.88207865017215903</v>
      </c>
      <c r="AI147">
        <v>98.789569560318895</v>
      </c>
      <c r="AJ147">
        <v>86.792218749285993</v>
      </c>
      <c r="AK147">
        <v>0.89396137258758002</v>
      </c>
    </row>
    <row r="148" spans="1:37" x14ac:dyDescent="0.2">
      <c r="A148" t="str">
        <f>"20200111150447213"</f>
        <v>20200111150447213</v>
      </c>
      <c r="B148" t="str">
        <f>"1578726287203062"</f>
        <v>1578726287203062</v>
      </c>
      <c r="C148" t="s">
        <v>37</v>
      </c>
      <c r="D148">
        <v>5.4111129999999896</v>
      </c>
      <c r="E148">
        <v>0.55853039999999998</v>
      </c>
      <c r="F148" t="s">
        <v>38</v>
      </c>
      <c r="G148">
        <v>-512.8098</v>
      </c>
      <c r="H148">
        <v>0.91848430000000003</v>
      </c>
      <c r="I148">
        <v>373.70330000000001</v>
      </c>
      <c r="J148">
        <v>-513.56769999999995</v>
      </c>
      <c r="K148">
        <v>1.0583309999999999</v>
      </c>
      <c r="L148">
        <v>373.97280000000001</v>
      </c>
      <c r="M148">
        <v>0.96255619999999997</v>
      </c>
      <c r="N148">
        <v>0</v>
      </c>
      <c r="O148">
        <v>-0.27097399999999999</v>
      </c>
      <c r="P148">
        <v>0.97487659999999998</v>
      </c>
      <c r="Q148">
        <v>9.6061450000000007E-2</v>
      </c>
      <c r="R148">
        <v>-0.20096749999999999</v>
      </c>
      <c r="S148">
        <v>2.9164729999999999</v>
      </c>
      <c r="T148">
        <v>-0.64563300000000001</v>
      </c>
      <c r="U148">
        <v>-1.078217</v>
      </c>
      <c r="V148">
        <v>-7.0808179999999998E-2</v>
      </c>
      <c r="W148">
        <v>0.1036238</v>
      </c>
      <c r="X148">
        <v>0.99209290000000006</v>
      </c>
      <c r="Y148">
        <v>8.341084E-2</v>
      </c>
      <c r="Z148">
        <v>4.737106E-2</v>
      </c>
      <c r="AA148">
        <v>0.99538869999999902</v>
      </c>
      <c r="AB148">
        <v>13</v>
      </c>
      <c r="AC148">
        <v>0.75789999999994895</v>
      </c>
      <c r="AD148">
        <v>-0.13984669999999899</v>
      </c>
      <c r="AE148">
        <v>-0.26949999999999302</v>
      </c>
      <c r="AF148">
        <v>5.2453849452093401E-2</v>
      </c>
      <c r="AG148">
        <v>-0.13984669999999899</v>
      </c>
      <c r="AH148">
        <v>0.77902602923809205</v>
      </c>
      <c r="AI148">
        <v>100.15453123311499</v>
      </c>
      <c r="AJ148">
        <v>86.147940403784503</v>
      </c>
      <c r="AK148">
        <v>0.79321501502032898</v>
      </c>
    </row>
    <row r="149" spans="1:37" x14ac:dyDescent="0.2">
      <c r="A149" t="str">
        <f>"20200111150447257"</f>
        <v>20200111150447257</v>
      </c>
      <c r="B149" t="str">
        <f>"1578726287253814"</f>
        <v>1578726287253814</v>
      </c>
      <c r="C149" t="s">
        <v>37</v>
      </c>
      <c r="D149">
        <v>6.0233400000000001</v>
      </c>
      <c r="E149">
        <v>0.55834280000000003</v>
      </c>
      <c r="F149" t="s">
        <v>38</v>
      </c>
      <c r="G149">
        <v>-513.01509999999996</v>
      </c>
      <c r="H149">
        <v>0.93823480000000004</v>
      </c>
      <c r="I149">
        <v>373.76710000000003</v>
      </c>
      <c r="J149">
        <v>-513.80430000000001</v>
      </c>
      <c r="K149">
        <v>1.0570469999999901</v>
      </c>
      <c r="L149">
        <v>374.0385</v>
      </c>
      <c r="M149">
        <v>0.96229089999999995</v>
      </c>
      <c r="N149">
        <v>0</v>
      </c>
      <c r="O149">
        <v>-0.27188379999999901</v>
      </c>
      <c r="P149">
        <v>0.97401629999999995</v>
      </c>
      <c r="Q149">
        <v>0.1022098</v>
      </c>
      <c r="R149">
        <v>-0.202101799999999</v>
      </c>
      <c r="S149">
        <v>2.9161990000000002</v>
      </c>
      <c r="T149">
        <v>-0.6338106</v>
      </c>
      <c r="U149">
        <v>-1.0845639999999901</v>
      </c>
      <c r="V149">
        <v>-7.0388329999999999E-2</v>
      </c>
      <c r="W149">
        <v>0.1107754</v>
      </c>
      <c r="X149">
        <v>0.99134979999999995</v>
      </c>
      <c r="Y149">
        <v>8.4262710000000005E-2</v>
      </c>
      <c r="Z149">
        <v>4.6596749999999999E-2</v>
      </c>
      <c r="AA149">
        <v>0.9953535</v>
      </c>
      <c r="AB149">
        <v>13</v>
      </c>
      <c r="AC149">
        <v>0.78920000000004997</v>
      </c>
      <c r="AD149">
        <v>-0.11881219999999899</v>
      </c>
      <c r="AE149">
        <v>-0.271399999999971</v>
      </c>
      <c r="AF149">
        <v>4.5671163441769802E-2</v>
      </c>
      <c r="AG149">
        <v>-0.11881219999999899</v>
      </c>
      <c r="AH149">
        <v>0.81670788096716995</v>
      </c>
      <c r="AI149">
        <v>98.264418618547197</v>
      </c>
      <c r="AJ149">
        <v>86.799293365729795</v>
      </c>
      <c r="AK149">
        <v>0.826567575502965</v>
      </c>
    </row>
    <row r="150" spans="1:37" x14ac:dyDescent="0.2">
      <c r="A150" t="str">
        <f>"20200111150447346"</f>
        <v>20200111150447346</v>
      </c>
      <c r="B150" t="str">
        <f>"1578726287343606"</f>
        <v>1578726287343606</v>
      </c>
      <c r="C150" t="s">
        <v>37</v>
      </c>
      <c r="D150">
        <v>4.4688600000000003</v>
      </c>
      <c r="E150">
        <v>0.49922489999999897</v>
      </c>
      <c r="F150" t="s">
        <v>38</v>
      </c>
      <c r="G150">
        <v>-513.23270000000002</v>
      </c>
      <c r="H150">
        <v>0.93705450000000001</v>
      </c>
      <c r="I150">
        <v>373.82549999999998</v>
      </c>
      <c r="J150">
        <v>-514.28470000000004</v>
      </c>
      <c r="K150">
        <v>1.055437</v>
      </c>
      <c r="L150">
        <v>374.17239999999998</v>
      </c>
      <c r="M150">
        <v>0.96174380000000004</v>
      </c>
      <c r="N150">
        <v>0</v>
      </c>
      <c r="O150">
        <v>-0.27376739999999999</v>
      </c>
      <c r="P150">
        <v>0.97343609999999903</v>
      </c>
      <c r="Q150">
        <v>0.11186749999999999</v>
      </c>
      <c r="R150">
        <v>-0.19976869999999999</v>
      </c>
      <c r="S150">
        <v>2.9188540000000001</v>
      </c>
      <c r="T150">
        <v>-0.61288830000000005</v>
      </c>
      <c r="U150">
        <v>-1.0868229999999901</v>
      </c>
      <c r="V150">
        <v>-7.4421459999999995E-2</v>
      </c>
      <c r="W150">
        <v>0.1217525</v>
      </c>
      <c r="X150">
        <v>0.98976649999999999</v>
      </c>
      <c r="Y150">
        <v>8.2512089999999996E-2</v>
      </c>
      <c r="Z150">
        <v>4.558019E-2</v>
      </c>
      <c r="AA150">
        <v>0.99554719999999997</v>
      </c>
      <c r="AB150">
        <v>13</v>
      </c>
      <c r="AC150">
        <v>1.05200000000002</v>
      </c>
      <c r="AD150">
        <v>-0.1183825</v>
      </c>
      <c r="AE150">
        <v>-0.34690000000000498</v>
      </c>
      <c r="AF150">
        <v>4.5112662488898503E-2</v>
      </c>
      <c r="AG150">
        <v>-0.1183825</v>
      </c>
      <c r="AH150">
        <v>1.0942817752073599</v>
      </c>
      <c r="AI150">
        <v>96.169207080919705</v>
      </c>
      <c r="AJ150">
        <v>87.639271360470602</v>
      </c>
      <c r="AK150">
        <v>1.1015907462275001</v>
      </c>
    </row>
    <row r="151" spans="1:37" x14ac:dyDescent="0.2">
      <c r="A151" t="str">
        <f>"20200111150447371"</f>
        <v>20200111150447371</v>
      </c>
      <c r="B151" t="str">
        <f>"1578726287363126"</f>
        <v>1578726287363126</v>
      </c>
      <c r="C151" t="s">
        <v>37</v>
      </c>
      <c r="D151">
        <v>5.3207430000000002</v>
      </c>
      <c r="E151">
        <v>0.46076699999999998</v>
      </c>
      <c r="F151" t="s">
        <v>38</v>
      </c>
      <c r="G151">
        <v>-513.6721</v>
      </c>
      <c r="H151">
        <v>0.85600189999999998</v>
      </c>
      <c r="I151">
        <v>374.04689999999999</v>
      </c>
      <c r="J151">
        <v>-514.42309999999998</v>
      </c>
      <c r="K151">
        <v>1.0551200000000001</v>
      </c>
      <c r="L151">
        <v>374.21120000000002</v>
      </c>
      <c r="M151">
        <v>0.96159450000000002</v>
      </c>
      <c r="N151">
        <v>0</v>
      </c>
      <c r="O151">
        <v>-0.27428219999999998</v>
      </c>
      <c r="P151">
        <v>0.97345890000000002</v>
      </c>
      <c r="Q151">
        <v>0.11200060000000001</v>
      </c>
      <c r="R151">
        <v>-0.1995847</v>
      </c>
      <c r="S151">
        <v>3.0679020000000001</v>
      </c>
      <c r="T151">
        <v>-0.99878489999999998</v>
      </c>
      <c r="U151">
        <v>-0.62731930000000002</v>
      </c>
      <c r="V151">
        <v>-7.5139899999999996E-2</v>
      </c>
      <c r="W151">
        <v>0.1221425</v>
      </c>
      <c r="X151">
        <v>0.98966419999999999</v>
      </c>
      <c r="Y151">
        <v>-5.9997450000000001E-2</v>
      </c>
      <c r="Z151">
        <v>9.4215610000000005E-2</v>
      </c>
      <c r="AA151">
        <v>0.99374229999999997</v>
      </c>
      <c r="AB151">
        <v>13</v>
      </c>
      <c r="AC151">
        <v>0.75099999999997602</v>
      </c>
      <c r="AD151">
        <v>-0.19911809999999999</v>
      </c>
      <c r="AE151">
        <v>-0.16430000000002501</v>
      </c>
      <c r="AF151">
        <v>-4.4980859303614201E-2</v>
      </c>
      <c r="AG151">
        <v>-0.19911809999999999</v>
      </c>
      <c r="AH151">
        <v>0.71902529698634998</v>
      </c>
      <c r="AI151">
        <v>105.45013427251401</v>
      </c>
      <c r="AJ151">
        <v>93.579650522911194</v>
      </c>
      <c r="AK151">
        <v>0.747441417876752</v>
      </c>
    </row>
    <row r="152" spans="1:37" x14ac:dyDescent="0.2">
      <c r="A152" t="str">
        <f>"20200111150447413"</f>
        <v>20200111150447413</v>
      </c>
      <c r="B152" t="str">
        <f>"1578726287403142"</f>
        <v>1578726287403142</v>
      </c>
      <c r="C152" t="s">
        <v>37</v>
      </c>
      <c r="D152">
        <v>5.6079739999999996</v>
      </c>
      <c r="E152">
        <v>0.46036139999999998</v>
      </c>
      <c r="F152" t="s">
        <v>40</v>
      </c>
      <c r="G152">
        <v>-494.31079999999997</v>
      </c>
      <c r="H152" s="1">
        <v>-1.14168699999999E-5</v>
      </c>
      <c r="I152">
        <v>372.19529999999997</v>
      </c>
      <c r="J152">
        <v>-514.64940000000001</v>
      </c>
      <c r="K152">
        <v>1.0546799999999901</v>
      </c>
      <c r="L152">
        <v>374.27480000000003</v>
      </c>
      <c r="M152">
        <v>0.96135749999999998</v>
      </c>
      <c r="N152">
        <v>0</v>
      </c>
      <c r="O152">
        <v>-0.27509809999999901</v>
      </c>
      <c r="P152">
        <v>0.97442379999999995</v>
      </c>
      <c r="Q152">
        <v>0.107215899999999</v>
      </c>
      <c r="R152">
        <v>-0.1974921</v>
      </c>
      <c r="S152">
        <v>3.0377809999999998</v>
      </c>
      <c r="T152">
        <v>-0.15936800000000001</v>
      </c>
      <c r="U152">
        <v>-0.30447390000000002</v>
      </c>
      <c r="V152">
        <v>-7.8257309999999997E-2</v>
      </c>
      <c r="W152">
        <v>0.11769349999999899</v>
      </c>
      <c r="X152">
        <v>0.9899616</v>
      </c>
      <c r="Y152">
        <v>-0.17725669999999999</v>
      </c>
      <c r="Z152">
        <v>1.8831279999999999E-2</v>
      </c>
      <c r="AA152">
        <v>0.98398449999999904</v>
      </c>
      <c r="AB152">
        <v>13</v>
      </c>
      <c r="AC152">
        <v>20.3386</v>
      </c>
      <c r="AD152">
        <v>-1.0546914168699999</v>
      </c>
      <c r="AE152">
        <v>-2.0795000000000501</v>
      </c>
      <c r="AF152">
        <v>-3.58662506161552</v>
      </c>
      <c r="AG152">
        <v>-1.0546914168699999</v>
      </c>
      <c r="AH152">
        <v>20.072448593752199</v>
      </c>
      <c r="AI152">
        <v>92.960984489632196</v>
      </c>
      <c r="AJ152">
        <v>100.13092113676301</v>
      </c>
      <c r="AK152">
        <v>20.417625862627901</v>
      </c>
    </row>
    <row r="153" spans="1:37" x14ac:dyDescent="0.2">
      <c r="A153" t="str">
        <f>"20200111150447438"</f>
        <v>20200111150447438</v>
      </c>
      <c r="B153" t="str">
        <f>"1578726287433397"</f>
        <v>1578726287433397</v>
      </c>
      <c r="C153" t="s">
        <v>37</v>
      </c>
      <c r="D153">
        <v>5.3611190000000004</v>
      </c>
      <c r="E153">
        <v>0.46364040000000001</v>
      </c>
      <c r="F153" t="s">
        <v>43</v>
      </c>
      <c r="G153">
        <v>-168.98650000000001</v>
      </c>
      <c r="H153">
        <v>13.686809999999999</v>
      </c>
      <c r="I153">
        <v>341.17669999999998</v>
      </c>
      <c r="J153">
        <v>-514.78030000000001</v>
      </c>
      <c r="K153">
        <v>1.054484</v>
      </c>
      <c r="L153">
        <v>374.31180000000001</v>
      </c>
      <c r="M153">
        <v>0.96122169999999896</v>
      </c>
      <c r="N153">
        <v>0</v>
      </c>
      <c r="O153">
        <v>-0.27556729999999902</v>
      </c>
      <c r="P153">
        <v>0.97479179999999999</v>
      </c>
      <c r="Q153">
        <v>0.10495539999999901</v>
      </c>
      <c r="R153">
        <v>-0.19689079999999901</v>
      </c>
      <c r="S153">
        <v>3.0083310000000001</v>
      </c>
      <c r="T153">
        <v>0.10993849999999999</v>
      </c>
      <c r="U153">
        <v>-0.28805540000000002</v>
      </c>
      <c r="V153">
        <v>-7.9417509999999997E-2</v>
      </c>
      <c r="W153">
        <v>0.115587</v>
      </c>
      <c r="X153">
        <v>0.99011740000000004</v>
      </c>
      <c r="Y153">
        <v>-0.1824054</v>
      </c>
      <c r="Z153">
        <v>-1.323705E-2</v>
      </c>
      <c r="AA153">
        <v>0.98313430000000002</v>
      </c>
      <c r="AB153">
        <v>13</v>
      </c>
      <c r="AC153">
        <v>345.79379999999998</v>
      </c>
      <c r="AD153">
        <v>12.632326000000001</v>
      </c>
      <c r="AE153">
        <v>-33.135100000000001</v>
      </c>
      <c r="AF153">
        <v>-63.359164684008803</v>
      </c>
      <c r="AG153">
        <v>12.632326000000001</v>
      </c>
      <c r="AH153">
        <v>341.08413017118198</v>
      </c>
      <c r="AI153">
        <v>87.914615779311404</v>
      </c>
      <c r="AJ153">
        <v>100.52321498732999</v>
      </c>
      <c r="AK153">
        <v>347.14887766527102</v>
      </c>
    </row>
    <row r="154" spans="1:37" x14ac:dyDescent="0.2">
      <c r="A154" t="str">
        <f>"20200111150447461"</f>
        <v>20200111150447461</v>
      </c>
      <c r="B154" t="str">
        <f>"1578726287452917"</f>
        <v>1578726287452917</v>
      </c>
      <c r="C154" t="s">
        <v>37</v>
      </c>
      <c r="D154">
        <v>5.4089309999999999</v>
      </c>
      <c r="E154">
        <v>0.46400760000000002</v>
      </c>
      <c r="F154" t="s">
        <v>43</v>
      </c>
      <c r="G154">
        <v>-168.40629999999999</v>
      </c>
      <c r="H154">
        <v>18.69868</v>
      </c>
      <c r="I154">
        <v>338.5061</v>
      </c>
      <c r="J154">
        <v>-514.90909999999997</v>
      </c>
      <c r="K154">
        <v>1.0543290000000001</v>
      </c>
      <c r="L154">
        <v>374.34809999999999</v>
      </c>
      <c r="M154">
        <v>0.96108719999999903</v>
      </c>
      <c r="N154">
        <v>0</v>
      </c>
      <c r="O154">
        <v>-0.27603040000000001</v>
      </c>
      <c r="P154">
        <v>0.97502749999999905</v>
      </c>
      <c r="Q154">
        <v>0.1030538</v>
      </c>
      <c r="R154">
        <v>-0.1967264</v>
      </c>
      <c r="S154">
        <v>2.998535</v>
      </c>
      <c r="T154">
        <v>0.15274450000000001</v>
      </c>
      <c r="U154">
        <v>-0.30996699999999999</v>
      </c>
      <c r="V154">
        <v>-8.0114820000000003E-2</v>
      </c>
      <c r="W154">
        <v>0.1138131</v>
      </c>
      <c r="X154">
        <v>0.99026669999999895</v>
      </c>
      <c r="Y154">
        <v>-0.17518619999999999</v>
      </c>
      <c r="Z154">
        <v>-1.8274240000000001E-2</v>
      </c>
      <c r="AA154">
        <v>0.98436569999999901</v>
      </c>
      <c r="AB154">
        <v>13</v>
      </c>
      <c r="AC154">
        <v>346.50279999999998</v>
      </c>
      <c r="AD154">
        <v>17.644351</v>
      </c>
      <c r="AE154">
        <v>-35.841999999999899</v>
      </c>
      <c r="AF154">
        <v>-61.045036417164702</v>
      </c>
      <c r="AG154">
        <v>17.644351</v>
      </c>
      <c r="AH154">
        <v>342.055674715463</v>
      </c>
      <c r="AI154">
        <v>87.092964174835302</v>
      </c>
      <c r="AJ154">
        <v>100.118773511321</v>
      </c>
      <c r="AK154">
        <v>347.90789614269301</v>
      </c>
    </row>
    <row r="155" spans="1:37" x14ac:dyDescent="0.2">
      <c r="A155" t="str">
        <f>"20200111150447503"</f>
        <v>20200111150447503</v>
      </c>
      <c r="B155" t="str">
        <f>"1578726287492933"</f>
        <v>1578726287492933</v>
      </c>
      <c r="C155" t="s">
        <v>37</v>
      </c>
      <c r="D155">
        <v>5.4218199999999896</v>
      </c>
      <c r="E155">
        <v>0.46481070000000002</v>
      </c>
      <c r="F155" t="s">
        <v>40</v>
      </c>
      <c r="G155">
        <v>-502.53859999999997</v>
      </c>
      <c r="H155" s="1">
        <v>-1.1487439999999901E-5</v>
      </c>
      <c r="I155">
        <v>373.03809999999999</v>
      </c>
      <c r="J155">
        <v>-515.13610000000006</v>
      </c>
      <c r="K155">
        <v>1.0541689999999999</v>
      </c>
      <c r="L155">
        <v>374.41239999999999</v>
      </c>
      <c r="M155">
        <v>0.96084760000000002</v>
      </c>
      <c r="N155">
        <v>0</v>
      </c>
      <c r="O155">
        <v>-0.27685670000000001</v>
      </c>
      <c r="P155">
        <v>0.97513890000000003</v>
      </c>
      <c r="Q155">
        <v>0.102644</v>
      </c>
      <c r="R155">
        <v>-0.1963896</v>
      </c>
      <c r="S155">
        <v>3.0392759999999899</v>
      </c>
      <c r="T155">
        <v>-0.25903979999999999</v>
      </c>
      <c r="U155">
        <v>-0.32183840000000002</v>
      </c>
      <c r="V155">
        <v>-8.1318710000000002E-2</v>
      </c>
      <c r="W155">
        <v>0.1135781</v>
      </c>
      <c r="X155">
        <v>0.99019559999999995</v>
      </c>
      <c r="Y155">
        <v>-0.17256669999999999</v>
      </c>
      <c r="Z155">
        <v>3.0490880000000001E-2</v>
      </c>
      <c r="AA155">
        <v>0.98452580000000001</v>
      </c>
      <c r="AB155">
        <v>13</v>
      </c>
      <c r="AC155">
        <v>12.5975</v>
      </c>
      <c r="AD155">
        <v>-1.05418048744</v>
      </c>
      <c r="AE155">
        <v>-1.3743000000000001</v>
      </c>
      <c r="AF155">
        <v>-2.1524464012937501</v>
      </c>
      <c r="AG155">
        <v>-1.05418048744</v>
      </c>
      <c r="AH155">
        <v>12.399715665758301</v>
      </c>
      <c r="AI155">
        <v>94.788137301250998</v>
      </c>
      <c r="AJ155">
        <v>99.847749527358005</v>
      </c>
      <c r="AK155">
        <v>12.6292228819588</v>
      </c>
    </row>
    <row r="156" spans="1:37" x14ac:dyDescent="0.2">
      <c r="A156" t="str">
        <f>"20200111150447548"</f>
        <v>20200111150447548</v>
      </c>
      <c r="B156" t="str">
        <f>"1578726287543685"</f>
        <v>1578726287543685</v>
      </c>
      <c r="C156" t="s">
        <v>37</v>
      </c>
      <c r="D156">
        <v>5.6354629999999997</v>
      </c>
      <c r="E156">
        <v>0.4771224</v>
      </c>
      <c r="F156" t="s">
        <v>40</v>
      </c>
      <c r="G156">
        <v>-502.32319999999999</v>
      </c>
      <c r="H156" s="1">
        <v>-1.156541E-5</v>
      </c>
      <c r="I156">
        <v>373.0292</v>
      </c>
      <c r="J156">
        <v>-515.37900000000002</v>
      </c>
      <c r="K156">
        <v>1.0540620000000001</v>
      </c>
      <c r="L156">
        <v>374.48129999999998</v>
      </c>
      <c r="M156">
        <v>0.96058770000000004</v>
      </c>
      <c r="N156">
        <v>0</v>
      </c>
      <c r="O156">
        <v>-0.27775179999999999</v>
      </c>
      <c r="P156">
        <v>0.97466580000000003</v>
      </c>
      <c r="Q156">
        <v>0.1048036</v>
      </c>
      <c r="R156">
        <v>-0.1975932</v>
      </c>
      <c r="S156">
        <v>3.0368040000000001</v>
      </c>
      <c r="T156">
        <v>-0.2498522</v>
      </c>
      <c r="U156">
        <v>-0.32781979999999999</v>
      </c>
      <c r="V156">
        <v>-8.0954810000000002E-2</v>
      </c>
      <c r="W156">
        <v>0.1158703</v>
      </c>
      <c r="X156">
        <v>0.98995979999999995</v>
      </c>
      <c r="Y156">
        <v>-0.17159170000000001</v>
      </c>
      <c r="Z156">
        <v>2.9462840000000001E-2</v>
      </c>
      <c r="AA156">
        <v>0.98472749999999998</v>
      </c>
      <c r="AB156">
        <v>13</v>
      </c>
      <c r="AC156">
        <v>13.0558</v>
      </c>
      <c r="AD156">
        <v>-1.05407356541</v>
      </c>
      <c r="AE156">
        <v>-1.45209999999997</v>
      </c>
      <c r="AF156">
        <v>-2.2172660402240898</v>
      </c>
      <c r="AG156">
        <v>-1.05407356541</v>
      </c>
      <c r="AH156">
        <v>12.862557126958601</v>
      </c>
      <c r="AI156">
        <v>94.617066899824195</v>
      </c>
      <c r="AJ156">
        <v>99.780606495454407</v>
      </c>
      <c r="AK156">
        <v>13.0947590897542</v>
      </c>
    </row>
    <row r="157" spans="1:37" x14ac:dyDescent="0.2">
      <c r="A157" t="str">
        <f>"20200111150447571"</f>
        <v>20200111150447571</v>
      </c>
      <c r="B157" t="str">
        <f>"1578726287563205"</f>
        <v>1578726287563205</v>
      </c>
      <c r="C157" t="s">
        <v>37</v>
      </c>
      <c r="D157">
        <v>5.7753990000000002</v>
      </c>
      <c r="E157">
        <v>0.47791889999999998</v>
      </c>
      <c r="F157" t="s">
        <v>50</v>
      </c>
      <c r="G157">
        <v>-273.9753</v>
      </c>
      <c r="H157">
        <v>11.670589999999899</v>
      </c>
      <c r="I157">
        <v>340.52879999999999</v>
      </c>
      <c r="J157">
        <v>-515.50720000000001</v>
      </c>
      <c r="K157">
        <v>1.0540069999999999</v>
      </c>
      <c r="L157">
        <v>374.51780000000002</v>
      </c>
      <c r="M157">
        <v>0.96044979999999902</v>
      </c>
      <c r="N157">
        <v>0</v>
      </c>
      <c r="O157">
        <v>-0.27822649999999999</v>
      </c>
      <c r="P157">
        <v>0.97432830000000004</v>
      </c>
      <c r="Q157">
        <v>0.1052144</v>
      </c>
      <c r="R157">
        <v>-0.1990343</v>
      </c>
      <c r="S157">
        <v>2.9789430000000001</v>
      </c>
      <c r="T157">
        <v>0.13100899999999999</v>
      </c>
      <c r="U157">
        <v>-0.41897579999999901</v>
      </c>
      <c r="V157">
        <v>-7.9967090000000005E-2</v>
      </c>
      <c r="W157">
        <v>0.116336799999999</v>
      </c>
      <c r="X157">
        <v>0.98998529999999996</v>
      </c>
      <c r="Y157">
        <v>-0.14136850000000001</v>
      </c>
      <c r="Z157">
        <v>-1.508163E-2</v>
      </c>
      <c r="AA157">
        <v>0.98984219999999901</v>
      </c>
      <c r="AB157">
        <v>13</v>
      </c>
      <c r="AC157">
        <v>241.53190000000001</v>
      </c>
      <c r="AD157">
        <v>10.616583</v>
      </c>
      <c r="AE157">
        <v>-33.988999999999997</v>
      </c>
      <c r="AF157">
        <v>-34.492679701054499</v>
      </c>
      <c r="AG157">
        <v>10.616583</v>
      </c>
      <c r="AH157">
        <v>240.99456677291801</v>
      </c>
      <c r="AI157">
        <v>87.502981748367205</v>
      </c>
      <c r="AJ157">
        <v>98.145219356823901</v>
      </c>
      <c r="AK157">
        <v>243.68183765234099</v>
      </c>
    </row>
    <row r="158" spans="1:37" x14ac:dyDescent="0.2">
      <c r="A158" t="str">
        <f>"20200111150447593"</f>
        <v>20200111150447593</v>
      </c>
      <c r="B158" t="str">
        <f>"1578726287583701"</f>
        <v>1578726287583701</v>
      </c>
      <c r="C158" t="s">
        <v>37</v>
      </c>
      <c r="D158">
        <v>5.4356720000000003</v>
      </c>
      <c r="E158">
        <v>0.47797489999999998</v>
      </c>
      <c r="F158" t="s">
        <v>43</v>
      </c>
      <c r="G158">
        <v>-168.40549999999999</v>
      </c>
      <c r="H158">
        <v>16.55658</v>
      </c>
      <c r="I158">
        <v>324.43770000000001</v>
      </c>
      <c r="J158">
        <v>-515.62130000000002</v>
      </c>
      <c r="K158">
        <v>1.0539670000000001</v>
      </c>
      <c r="L158">
        <v>374.55029999999999</v>
      </c>
      <c r="M158">
        <v>0.96032669999999998</v>
      </c>
      <c r="N158">
        <v>0</v>
      </c>
      <c r="O158">
        <v>-0.27864899999999998</v>
      </c>
      <c r="P158">
        <v>0.9739738</v>
      </c>
      <c r="Q158">
        <v>0.10481509999999999</v>
      </c>
      <c r="R158">
        <v>-0.20097010000000001</v>
      </c>
      <c r="S158">
        <v>2.9768680000000001</v>
      </c>
      <c r="T158">
        <v>0.13295560000000001</v>
      </c>
      <c r="U158">
        <v>-0.42950440000000001</v>
      </c>
      <c r="V158">
        <v>-7.8445550000000003E-2</v>
      </c>
      <c r="W158">
        <v>0.11597970000000001</v>
      </c>
      <c r="X158">
        <v>0.99014899999999995</v>
      </c>
      <c r="Y158">
        <v>-0.1382679</v>
      </c>
      <c r="Z158">
        <v>-1.525991E-2</v>
      </c>
      <c r="AA158">
        <v>0.99027730000000003</v>
      </c>
      <c r="AB158">
        <v>13</v>
      </c>
      <c r="AC158">
        <v>347.2158</v>
      </c>
      <c r="AD158">
        <v>15.502613</v>
      </c>
      <c r="AE158">
        <v>-50.112599999999901</v>
      </c>
      <c r="AF158">
        <v>-48.535185210747898</v>
      </c>
      <c r="AG158">
        <v>15.502613</v>
      </c>
      <c r="AH158">
        <v>346.74942324683798</v>
      </c>
      <c r="AI158">
        <v>87.464783864354004</v>
      </c>
      <c r="AJ158">
        <v>97.968032884656594</v>
      </c>
      <c r="AK158">
        <v>350.472763186078</v>
      </c>
    </row>
    <row r="159" spans="1:37" x14ac:dyDescent="0.2">
      <c r="A159" t="str">
        <f>"20200111150447615"</f>
        <v>20200111150447615</v>
      </c>
      <c r="B159" t="str">
        <f>"1578726287603222"</f>
        <v>1578726287603222</v>
      </c>
      <c r="C159" t="s">
        <v>37</v>
      </c>
      <c r="D159">
        <v>5.46333</v>
      </c>
      <c r="E159">
        <v>0.47763820000000001</v>
      </c>
      <c r="F159" t="s">
        <v>43</v>
      </c>
      <c r="G159">
        <v>-168.40559999999999</v>
      </c>
      <c r="H159">
        <v>16.852869999999999</v>
      </c>
      <c r="I159">
        <v>323.7337</v>
      </c>
      <c r="J159">
        <v>-515.74109999999996</v>
      </c>
      <c r="K159">
        <v>1.053928</v>
      </c>
      <c r="L159">
        <v>374.58460000000002</v>
      </c>
      <c r="M159">
        <v>0.96019739999999998</v>
      </c>
      <c r="N159">
        <v>0</v>
      </c>
      <c r="O159">
        <v>-0.27909229999999902</v>
      </c>
      <c r="P159">
        <v>0.97350789999999998</v>
      </c>
      <c r="Q159">
        <v>0.104085999999999</v>
      </c>
      <c r="R159">
        <v>-0.20358870000000001</v>
      </c>
      <c r="S159">
        <v>2.9757689999999899</v>
      </c>
      <c r="T159">
        <v>0.13540260000000001</v>
      </c>
      <c r="U159">
        <v>-0.43551640000000003</v>
      </c>
      <c r="V159">
        <v>-7.6258439999999997E-2</v>
      </c>
      <c r="W159">
        <v>0.11528959999999901</v>
      </c>
      <c r="X159">
        <v>0.99040039999999996</v>
      </c>
      <c r="Y159">
        <v>-0.1367003</v>
      </c>
      <c r="Z159">
        <v>-1.552681E-2</v>
      </c>
      <c r="AA159">
        <v>0.99049069999999995</v>
      </c>
      <c r="AB159">
        <v>13</v>
      </c>
      <c r="AC159">
        <v>347.33550000000002</v>
      </c>
      <c r="AD159">
        <v>15.798942</v>
      </c>
      <c r="AE159">
        <v>-50.850900000000003</v>
      </c>
      <c r="AF159">
        <v>-48.017588632002202</v>
      </c>
      <c r="AG159">
        <v>15.798942</v>
      </c>
      <c r="AH159">
        <v>347.02215251715103</v>
      </c>
      <c r="AI159">
        <v>87.4178527968661</v>
      </c>
      <c r="AJ159">
        <v>97.878014753935005</v>
      </c>
      <c r="AK159">
        <v>350.68457297689599</v>
      </c>
    </row>
    <row r="160" spans="1:37" x14ac:dyDescent="0.2">
      <c r="A160" t="str">
        <f>"20200111150447638"</f>
        <v>20200111150447638</v>
      </c>
      <c r="B160" t="str">
        <f>"1578726287633477"</f>
        <v>1578726287633477</v>
      </c>
      <c r="C160" t="s">
        <v>37</v>
      </c>
      <c r="D160">
        <v>5.4095610000000001</v>
      </c>
      <c r="E160">
        <v>0.46664410000000001</v>
      </c>
      <c r="F160" t="s">
        <v>51</v>
      </c>
      <c r="G160">
        <v>-404.63440000000003</v>
      </c>
      <c r="H160">
        <v>6.1484249999999996</v>
      </c>
      <c r="I160">
        <v>358.12029999999999</v>
      </c>
      <c r="J160">
        <v>-515.86429999999996</v>
      </c>
      <c r="K160">
        <v>1.053893</v>
      </c>
      <c r="L160">
        <v>374.6198</v>
      </c>
      <c r="M160">
        <v>0.96006530000000001</v>
      </c>
      <c r="N160">
        <v>0</v>
      </c>
      <c r="O160">
        <v>-0.27954590000000001</v>
      </c>
      <c r="P160">
        <v>0.97321360000000001</v>
      </c>
      <c r="Q160">
        <v>0.1031275</v>
      </c>
      <c r="R160">
        <v>-0.20547559999999901</v>
      </c>
      <c r="S160">
        <v>2.9748540000000001</v>
      </c>
      <c r="T160">
        <v>0.13640620000000001</v>
      </c>
      <c r="U160">
        <v>-0.44082640000000001</v>
      </c>
      <c r="V160">
        <v>-7.4833109999999994E-2</v>
      </c>
      <c r="W160">
        <v>0.11436449999999999</v>
      </c>
      <c r="X160">
        <v>0.99061639999999995</v>
      </c>
      <c r="Y160">
        <v>-0.1353888</v>
      </c>
      <c r="Z160">
        <v>-1.5633660000000001E-2</v>
      </c>
      <c r="AA160">
        <v>0.99066919999999903</v>
      </c>
      <c r="AB160">
        <v>13</v>
      </c>
      <c r="AC160">
        <v>111.22989999999901</v>
      </c>
      <c r="AD160">
        <v>5.0945319999999903</v>
      </c>
      <c r="AE160">
        <v>-16.499500000000001</v>
      </c>
      <c r="AF160">
        <v>-15.2229994495582</v>
      </c>
      <c r="AG160">
        <v>5.0945319999999903</v>
      </c>
      <c r="AH160">
        <v>111.179293564155</v>
      </c>
      <c r="AI160">
        <v>87.400609375834307</v>
      </c>
      <c r="AJ160">
        <v>97.796626259686207</v>
      </c>
      <c r="AK160">
        <v>112.33222728124299</v>
      </c>
    </row>
    <row r="161" spans="1:37" x14ac:dyDescent="0.2">
      <c r="A161" t="str">
        <f>"20200111150447663"</f>
        <v>20200111150447663</v>
      </c>
      <c r="B161" t="str">
        <f>"1578726287652998"</f>
        <v>1578726287652998</v>
      </c>
      <c r="C161" t="s">
        <v>37</v>
      </c>
      <c r="D161">
        <v>5.4184140000000003</v>
      </c>
      <c r="E161">
        <v>0.46548509999999998</v>
      </c>
      <c r="F161" t="s">
        <v>40</v>
      </c>
      <c r="G161">
        <v>-476.66730000000001</v>
      </c>
      <c r="H161" s="1">
        <v>-8.7077990000000005E-6</v>
      </c>
      <c r="I161">
        <v>369.8562</v>
      </c>
      <c r="J161">
        <v>-515.99739999999997</v>
      </c>
      <c r="K161">
        <v>1.0538689999999999</v>
      </c>
      <c r="L161">
        <v>374.65789999999998</v>
      </c>
      <c r="M161">
        <v>0.95992230000000001</v>
      </c>
      <c r="N161">
        <v>0</v>
      </c>
      <c r="O161">
        <v>-0.28003489999999998</v>
      </c>
      <c r="P161">
        <v>0.97288379999999997</v>
      </c>
      <c r="Q161">
        <v>0.104022699999999</v>
      </c>
      <c r="R161">
        <v>-0.20658260000000001</v>
      </c>
      <c r="S161">
        <v>3.013855</v>
      </c>
      <c r="T161">
        <v>-8.103436E-2</v>
      </c>
      <c r="U161">
        <v>-0.36627199999999999</v>
      </c>
      <c r="V161">
        <v>-7.4183659999999998E-2</v>
      </c>
      <c r="W161">
        <v>0.11528629999999999</v>
      </c>
      <c r="X161">
        <v>0.99055839999999995</v>
      </c>
      <c r="Y161">
        <v>-0.162039299999999</v>
      </c>
      <c r="Z161">
        <v>9.5628629999999996E-3</v>
      </c>
      <c r="AA161">
        <v>0.986737999999999</v>
      </c>
      <c r="AB161">
        <v>13</v>
      </c>
      <c r="AC161">
        <v>39.330099999999902</v>
      </c>
      <c r="AD161">
        <v>-1.053877707799</v>
      </c>
      <c r="AE161">
        <v>-4.8016999999999799</v>
      </c>
      <c r="AF161">
        <v>-6.4004287941356299</v>
      </c>
      <c r="AG161">
        <v>-1.053877707799</v>
      </c>
      <c r="AH161">
        <v>39.073375062033399</v>
      </c>
      <c r="AI161">
        <v>91.524683341674603</v>
      </c>
      <c r="AJ161">
        <v>99.302739361532005</v>
      </c>
      <c r="AK161">
        <v>39.608140397021103</v>
      </c>
    </row>
    <row r="162" spans="1:37" x14ac:dyDescent="0.2">
      <c r="A162" t="str">
        <f>"20200111150447686"</f>
        <v>20200111150447686</v>
      </c>
      <c r="B162" t="str">
        <f>"1578726287683254"</f>
        <v>1578726287683254</v>
      </c>
      <c r="C162" t="s">
        <v>37</v>
      </c>
      <c r="D162">
        <v>5.3880589999999904</v>
      </c>
      <c r="E162">
        <v>0.46603719999999998</v>
      </c>
      <c r="F162" t="s">
        <v>40</v>
      </c>
      <c r="G162">
        <v>-473.46870000000001</v>
      </c>
      <c r="H162" s="1">
        <v>-6.8711820000000003E-6</v>
      </c>
      <c r="I162">
        <v>369.5693</v>
      </c>
      <c r="J162">
        <v>-516.12270000000001</v>
      </c>
      <c r="K162">
        <v>1.0538510000000001</v>
      </c>
      <c r="L162">
        <v>374.69389999999999</v>
      </c>
      <c r="M162">
        <v>0.95978809999999903</v>
      </c>
      <c r="N162">
        <v>0</v>
      </c>
      <c r="O162">
        <v>-0.28049390000000002</v>
      </c>
      <c r="P162">
        <v>0.97292420000000002</v>
      </c>
      <c r="Q162">
        <v>0.1055609</v>
      </c>
      <c r="R162">
        <v>-0.20561099999999999</v>
      </c>
      <c r="S162">
        <v>3.015015</v>
      </c>
      <c r="T162">
        <v>-7.4713050000000003E-2</v>
      </c>
      <c r="U162">
        <v>-0.36074829999999902</v>
      </c>
      <c r="V162">
        <v>-7.5602340000000004E-2</v>
      </c>
      <c r="W162">
        <v>0.1168426</v>
      </c>
      <c r="X162">
        <v>0.9902687</v>
      </c>
      <c r="Y162">
        <v>-0.16436039999999999</v>
      </c>
      <c r="Z162">
        <v>8.8546990000000006E-3</v>
      </c>
      <c r="AA162">
        <v>0.98636060000000003</v>
      </c>
      <c r="AB162">
        <v>13</v>
      </c>
      <c r="AC162">
        <v>42.653999999999897</v>
      </c>
      <c r="AD162">
        <v>-1.0538578711819999</v>
      </c>
      <c r="AE162">
        <v>-5.1245999999999796</v>
      </c>
      <c r="AF162">
        <v>-7.0418771450042996</v>
      </c>
      <c r="AG162">
        <v>-1.0538578711819999</v>
      </c>
      <c r="AH162">
        <v>42.353488380094603</v>
      </c>
      <c r="AI162">
        <v>91.406070125665906</v>
      </c>
      <c r="AJ162">
        <v>99.439895239790204</v>
      </c>
      <c r="AK162">
        <v>42.947836128270701</v>
      </c>
    </row>
    <row r="163" spans="1:37" x14ac:dyDescent="0.2">
      <c r="A163" t="str">
        <f>"20200111150447728"</f>
        <v>20200111150447728</v>
      </c>
      <c r="B163" t="str">
        <f>"1578726287723269"</f>
        <v>1578726287723269</v>
      </c>
      <c r="C163" t="s">
        <v>37</v>
      </c>
      <c r="D163">
        <v>5.5181319999999996</v>
      </c>
      <c r="E163">
        <v>0.4684584</v>
      </c>
      <c r="F163" t="s">
        <v>40</v>
      </c>
      <c r="G163">
        <v>-474.49979999999999</v>
      </c>
      <c r="H163" s="1">
        <v>-7.3774190000000002E-6</v>
      </c>
      <c r="I163">
        <v>369.68439999999998</v>
      </c>
      <c r="J163">
        <v>-516.34839999999997</v>
      </c>
      <c r="K163">
        <v>1.0538419999999999</v>
      </c>
      <c r="L163">
        <v>374.75889999999998</v>
      </c>
      <c r="M163">
        <v>0.95954569999999995</v>
      </c>
      <c r="N163">
        <v>0</v>
      </c>
      <c r="O163">
        <v>-0.28132089999999998</v>
      </c>
      <c r="P163">
        <v>0.97353729999999905</v>
      </c>
      <c r="Q163">
        <v>0.1082105</v>
      </c>
      <c r="R163">
        <v>-0.20128579999999999</v>
      </c>
      <c r="S163">
        <v>3.0150759999999899</v>
      </c>
      <c r="T163">
        <v>-7.6339359999999995E-2</v>
      </c>
      <c r="U163">
        <v>-0.3628845</v>
      </c>
      <c r="V163">
        <v>-8.0780900000000003E-2</v>
      </c>
      <c r="W163">
        <v>0.1195121</v>
      </c>
      <c r="X163">
        <v>0.98954089999999995</v>
      </c>
      <c r="Y163">
        <v>-0.16451789999999999</v>
      </c>
      <c r="Z163">
        <v>9.0686640000000006E-3</v>
      </c>
      <c r="AA163">
        <v>0.9863324</v>
      </c>
      <c r="AB163">
        <v>13</v>
      </c>
      <c r="AC163">
        <v>41.848599999999898</v>
      </c>
      <c r="AD163">
        <v>-1.0538493774189901</v>
      </c>
      <c r="AE163">
        <v>-5.0744999999999996</v>
      </c>
      <c r="AF163">
        <v>-6.8998098751255004</v>
      </c>
      <c r="AG163">
        <v>-1.0538493774189901</v>
      </c>
      <c r="AH163">
        <v>41.559949222777597</v>
      </c>
      <c r="AI163">
        <v>91.4329512217207</v>
      </c>
      <c r="AJ163">
        <v>99.426304912606597</v>
      </c>
      <c r="AK163">
        <v>42.141990392279901</v>
      </c>
    </row>
    <row r="164" spans="1:37" x14ac:dyDescent="0.2">
      <c r="A164" t="str">
        <f>"20200111150447751"</f>
        <v>20200111150447751</v>
      </c>
      <c r="B164" t="str">
        <f>"1578726287743765"</f>
        <v>1578726287743765</v>
      </c>
      <c r="C164" t="s">
        <v>37</v>
      </c>
      <c r="D164">
        <v>5.3858680000000003</v>
      </c>
      <c r="E164">
        <v>0.46899560000000001</v>
      </c>
      <c r="F164" t="s">
        <v>39</v>
      </c>
      <c r="G164">
        <v>-448.87610000000001</v>
      </c>
      <c r="H164" s="1">
        <v>-1.2408179999999999E-6</v>
      </c>
      <c r="I164">
        <v>366.51569999999998</v>
      </c>
      <c r="J164">
        <v>-516.47569999999996</v>
      </c>
      <c r="K164">
        <v>1.053857</v>
      </c>
      <c r="L164">
        <v>374.79570000000001</v>
      </c>
      <c r="M164">
        <v>0.959408499999999</v>
      </c>
      <c r="N164">
        <v>0</v>
      </c>
      <c r="O164">
        <v>-0.28178799999999998</v>
      </c>
      <c r="P164">
        <v>0.97379479999999996</v>
      </c>
      <c r="Q164">
        <v>0.1087616</v>
      </c>
      <c r="R164">
        <v>-0.1997371</v>
      </c>
      <c r="S164">
        <v>3.010742</v>
      </c>
      <c r="T164">
        <v>-4.7024490000000002E-2</v>
      </c>
      <c r="U164">
        <v>-0.3678284</v>
      </c>
      <c r="V164">
        <v>-8.2821500000000006E-2</v>
      </c>
      <c r="W164">
        <v>0.1200741</v>
      </c>
      <c r="X164">
        <v>0.98930419999999997</v>
      </c>
      <c r="Y164">
        <v>-0.16331889999999999</v>
      </c>
      <c r="Z164">
        <v>5.5915919999999899E-3</v>
      </c>
      <c r="AA164">
        <v>0.98655749999999998</v>
      </c>
      <c r="AB164">
        <v>13</v>
      </c>
      <c r="AC164">
        <v>67.599599999999896</v>
      </c>
      <c r="AD164">
        <v>-1.0538582408179999</v>
      </c>
      <c r="AE164">
        <v>-8.2800000000000296</v>
      </c>
      <c r="AF164">
        <v>-11.102921770609299</v>
      </c>
      <c r="AG164">
        <v>-1.0538582408179999</v>
      </c>
      <c r="AH164">
        <v>67.1771464969937</v>
      </c>
      <c r="AI164">
        <v>90.886740169949903</v>
      </c>
      <c r="AJ164">
        <v>99.384904883563806</v>
      </c>
      <c r="AK164">
        <v>68.096655575105601</v>
      </c>
    </row>
    <row r="165" spans="1:37" x14ac:dyDescent="0.2">
      <c r="A165" t="str">
        <f>"20200111150447774"</f>
        <v>20200111150447774</v>
      </c>
      <c r="B165" t="str">
        <f>"1578726287763286"</f>
        <v>1578726287763286</v>
      </c>
      <c r="C165" t="s">
        <v>37</v>
      </c>
      <c r="D165">
        <v>5.2434719999999997</v>
      </c>
      <c r="E165">
        <v>0.46996080000000001</v>
      </c>
      <c r="F165" t="s">
        <v>46</v>
      </c>
      <c r="G165">
        <v>-396.12150000000003</v>
      </c>
      <c r="H165">
        <v>-0.05</v>
      </c>
      <c r="I165">
        <v>360.15120000000002</v>
      </c>
      <c r="J165">
        <v>-516.5942</v>
      </c>
      <c r="K165">
        <v>1.0538809999999901</v>
      </c>
      <c r="L165">
        <v>374.83</v>
      </c>
      <c r="M165">
        <v>0.95928069999999899</v>
      </c>
      <c r="N165">
        <v>0</v>
      </c>
      <c r="O165">
        <v>-0.28222179999999902</v>
      </c>
      <c r="P165">
        <v>0.97369989999999995</v>
      </c>
      <c r="Q165">
        <v>0.111485999999999</v>
      </c>
      <c r="R165">
        <v>-0.19869489999999901</v>
      </c>
      <c r="S165">
        <v>3.008667</v>
      </c>
      <c r="T165">
        <v>-2.7594690000000002E-2</v>
      </c>
      <c r="U165">
        <v>-0.36608889999999999</v>
      </c>
      <c r="V165">
        <v>-8.4243659999999998E-2</v>
      </c>
      <c r="W165">
        <v>0.122803199999999</v>
      </c>
      <c r="X165">
        <v>0.98884899999999998</v>
      </c>
      <c r="Y165">
        <v>-0.16427929999999999</v>
      </c>
      <c r="Z165">
        <v>3.2919579999999898E-3</v>
      </c>
      <c r="AA165">
        <v>0.98640839999999996</v>
      </c>
      <c r="AB165">
        <v>13</v>
      </c>
      <c r="AC165">
        <v>120.47269999999899</v>
      </c>
      <c r="AD165">
        <v>-1.1038809999999999</v>
      </c>
      <c r="AE165">
        <v>-14.678799999999899</v>
      </c>
      <c r="AF165">
        <v>-19.918593569942399</v>
      </c>
      <c r="AG165">
        <v>-1.1038809999999999</v>
      </c>
      <c r="AH165">
        <v>119.707775189431</v>
      </c>
      <c r="AI165">
        <v>90.521170909043207</v>
      </c>
      <c r="AJ165">
        <v>99.447092256864394</v>
      </c>
      <c r="AK165">
        <v>121.358643548245</v>
      </c>
    </row>
    <row r="166" spans="1:37" x14ac:dyDescent="0.2">
      <c r="A166" t="str">
        <f>"20200111150447816"</f>
        <v>20200111150447816</v>
      </c>
      <c r="B166" t="str">
        <f>"1578726287813061"</f>
        <v>1578726287813061</v>
      </c>
      <c r="C166" t="s">
        <v>37</v>
      </c>
      <c r="D166">
        <v>5.0569790000000001</v>
      </c>
      <c r="E166">
        <v>0.47234860000000001</v>
      </c>
      <c r="F166" t="s">
        <v>52</v>
      </c>
      <c r="G166">
        <v>-282.40019999999998</v>
      </c>
      <c r="H166">
        <v>0.57258469999999995</v>
      </c>
      <c r="I166">
        <v>345.96230000000003</v>
      </c>
      <c r="J166">
        <v>-516.82190000000003</v>
      </c>
      <c r="K166">
        <v>1.0539449999999999</v>
      </c>
      <c r="L166">
        <v>374.89589999999998</v>
      </c>
      <c r="M166">
        <v>0.95903400000000005</v>
      </c>
      <c r="N166">
        <v>0</v>
      </c>
      <c r="O166">
        <v>-0.28305859999999999</v>
      </c>
      <c r="P166">
        <v>0.97198189999999995</v>
      </c>
      <c r="Q166">
        <v>0.11745999999999999</v>
      </c>
      <c r="R166">
        <v>-0.20360329999999999</v>
      </c>
      <c r="S166">
        <v>3.0061040000000001</v>
      </c>
      <c r="T166">
        <v>-6.1779019999999999E-3</v>
      </c>
      <c r="U166">
        <v>-0.3705444</v>
      </c>
      <c r="V166">
        <v>-7.9914929999999995E-2</v>
      </c>
      <c r="W166">
        <v>0.12878909999999999</v>
      </c>
      <c r="X166">
        <v>0.98844679999999996</v>
      </c>
      <c r="Y166">
        <v>-0.16361579999999901</v>
      </c>
      <c r="Z166">
        <v>7.3850960000000003E-4</v>
      </c>
      <c r="AA166">
        <v>0.98652390000000001</v>
      </c>
      <c r="AB166">
        <v>13</v>
      </c>
      <c r="AC166">
        <v>234.42169999999999</v>
      </c>
      <c r="AD166">
        <v>-0.48136030000000002</v>
      </c>
      <c r="AE166">
        <v>-28.933599999999899</v>
      </c>
      <c r="AF166">
        <v>-38.609152600776603</v>
      </c>
      <c r="AG166">
        <v>-0.48136030000000002</v>
      </c>
      <c r="AH166">
        <v>233.02265246690001</v>
      </c>
      <c r="AI166">
        <v>90.116765152473903</v>
      </c>
      <c r="AJ166">
        <v>99.407778414699905</v>
      </c>
      <c r="AK166">
        <v>236.200031615151</v>
      </c>
    </row>
    <row r="167" spans="1:37" x14ac:dyDescent="0.2">
      <c r="A167" t="str">
        <f>"20200111150447838"</f>
        <v>20200111150447838</v>
      </c>
      <c r="B167" t="str">
        <f>"1578726287833558"</f>
        <v>1578726287833558</v>
      </c>
      <c r="C167" t="s">
        <v>37</v>
      </c>
      <c r="D167">
        <v>5.3082449999999897</v>
      </c>
      <c r="E167">
        <v>0.47264269999999903</v>
      </c>
      <c r="F167" t="s">
        <v>52</v>
      </c>
      <c r="G167">
        <v>-282.32900000000001</v>
      </c>
      <c r="H167">
        <v>3.2570250000000001</v>
      </c>
      <c r="I167">
        <v>343.33620000000002</v>
      </c>
      <c r="J167">
        <v>-516.93979999999999</v>
      </c>
      <c r="K167">
        <v>1.053965</v>
      </c>
      <c r="L167">
        <v>374.93009999999998</v>
      </c>
      <c r="M167">
        <v>0.95890589999999998</v>
      </c>
      <c r="N167">
        <v>0</v>
      </c>
      <c r="O167">
        <v>-0.28349190000000002</v>
      </c>
      <c r="P167">
        <v>0.97062380000000004</v>
      </c>
      <c r="Q167">
        <v>0.1198248</v>
      </c>
      <c r="R167">
        <v>-0.208642299999999</v>
      </c>
      <c r="S167">
        <v>2.998535</v>
      </c>
      <c r="T167">
        <v>2.8171539999999998E-2</v>
      </c>
      <c r="U167">
        <v>-0.40356449999999999</v>
      </c>
      <c r="V167">
        <v>-7.5146039999999997E-2</v>
      </c>
      <c r="W167">
        <v>0.131163</v>
      </c>
      <c r="X167">
        <v>0.98850859999999996</v>
      </c>
      <c r="Y167">
        <v>-0.15304709999999999</v>
      </c>
      <c r="Z167">
        <v>-3.3270700000000001E-3</v>
      </c>
      <c r="AA167">
        <v>0.98821329999999996</v>
      </c>
      <c r="AB167">
        <v>13</v>
      </c>
      <c r="AC167">
        <v>234.61080000000001</v>
      </c>
      <c r="AD167">
        <v>2.2030599999999998</v>
      </c>
      <c r="AE167">
        <v>-31.593899999999898</v>
      </c>
      <c r="AF167">
        <v>-36.213935071710303</v>
      </c>
      <c r="AG167">
        <v>2.2030599999999998</v>
      </c>
      <c r="AH167">
        <v>233.9214552251</v>
      </c>
      <c r="AI167">
        <v>89.466759154251307</v>
      </c>
      <c r="AJ167">
        <v>98.800234546318194</v>
      </c>
      <c r="AK167">
        <v>236.718292029514</v>
      </c>
    </row>
    <row r="168" spans="1:37" x14ac:dyDescent="0.2">
      <c r="A168" t="str">
        <f>"20200111150447861"</f>
        <v>20200111150447861</v>
      </c>
      <c r="B168" t="str">
        <f>"1578726287853078"</f>
        <v>1578726287853078</v>
      </c>
      <c r="C168" t="s">
        <v>37</v>
      </c>
      <c r="D168">
        <v>5.2627829999999998</v>
      </c>
      <c r="E168">
        <v>0.50150909999999904</v>
      </c>
      <c r="F168" t="s">
        <v>52</v>
      </c>
      <c r="G168">
        <v>-282.32900000000001</v>
      </c>
      <c r="H168">
        <v>3.995717</v>
      </c>
      <c r="I168">
        <v>341.96210000000002</v>
      </c>
      <c r="J168">
        <v>-517.06820000000005</v>
      </c>
      <c r="K168">
        <v>1.0539849999999999</v>
      </c>
      <c r="L168">
        <v>374.96749999999997</v>
      </c>
      <c r="M168">
        <v>0.95876620000000001</v>
      </c>
      <c r="N168">
        <v>0</v>
      </c>
      <c r="O168">
        <v>-0.283964099999999</v>
      </c>
      <c r="P168">
        <v>0.96930709999999998</v>
      </c>
      <c r="Q168">
        <v>0.12183620000000001</v>
      </c>
      <c r="R168">
        <v>-0.21354210000000001</v>
      </c>
      <c r="S168">
        <v>2.9956669999999899</v>
      </c>
      <c r="T168">
        <v>3.7562369999999998E-2</v>
      </c>
      <c r="U168">
        <v>-0.42095949999999999</v>
      </c>
      <c r="V168">
        <v>-7.0562860000000005E-2</v>
      </c>
      <c r="W168">
        <v>0.13318269999999999</v>
      </c>
      <c r="X168">
        <v>0.98857640000000002</v>
      </c>
      <c r="Y168">
        <v>-0.1477609</v>
      </c>
      <c r="Z168">
        <v>-4.4104629999999999E-3</v>
      </c>
      <c r="AA168">
        <v>0.98901329999999998</v>
      </c>
      <c r="AB168">
        <v>13</v>
      </c>
      <c r="AC168">
        <v>234.73920000000001</v>
      </c>
      <c r="AD168">
        <v>2.941732</v>
      </c>
      <c r="AE168">
        <v>-33.005399999999902</v>
      </c>
      <c r="AF168">
        <v>-35.009958991647103</v>
      </c>
      <c r="AG168">
        <v>2.941732</v>
      </c>
      <c r="AH168">
        <v>234.41170542493001</v>
      </c>
      <c r="AI168">
        <v>89.288895124671498</v>
      </c>
      <c r="AJ168">
        <v>98.494475866204596</v>
      </c>
      <c r="AK168">
        <v>237.02995307762399</v>
      </c>
    </row>
    <row r="169" spans="1:37" x14ac:dyDescent="0.2">
      <c r="A169" t="str">
        <f>"20200111150447905"</f>
        <v>20200111150447905</v>
      </c>
      <c r="B169" t="str">
        <f>"1578726287903831"</f>
        <v>1578726287903831</v>
      </c>
      <c r="C169" t="s">
        <v>37</v>
      </c>
      <c r="D169">
        <v>5.0072199999999896</v>
      </c>
      <c r="E169">
        <v>0.54528259999999995</v>
      </c>
      <c r="F169" t="s">
        <v>47</v>
      </c>
      <c r="G169">
        <v>-372.96460000000002</v>
      </c>
      <c r="H169">
        <v>1.238062</v>
      </c>
      <c r="I169">
        <v>342.60669999999999</v>
      </c>
      <c r="J169">
        <v>-517.30070000000001</v>
      </c>
      <c r="K169">
        <v>1.053995</v>
      </c>
      <c r="L169">
        <v>375.03530000000001</v>
      </c>
      <c r="M169">
        <v>0.95851239999999904</v>
      </c>
      <c r="N169">
        <v>0</v>
      </c>
      <c r="O169">
        <v>-0.28481889999999999</v>
      </c>
      <c r="P169">
        <v>0.96736149999999999</v>
      </c>
      <c r="Q169">
        <v>0.12473099999999999</v>
      </c>
      <c r="R169">
        <v>-0.22057660000000001</v>
      </c>
      <c r="S169">
        <v>2.94866899999999</v>
      </c>
      <c r="T169">
        <v>3.7682059999999901E-3</v>
      </c>
      <c r="U169">
        <v>-0.66217040000000005</v>
      </c>
      <c r="V169">
        <v>-6.4149020000000001E-2</v>
      </c>
      <c r="W169">
        <v>0.13608799999999999</v>
      </c>
      <c r="X169">
        <v>0.98861769999999904</v>
      </c>
      <c r="Y169">
        <v>-6.788342E-2</v>
      </c>
      <c r="Z169">
        <v>-3.9577349999999999E-4</v>
      </c>
      <c r="AA169">
        <v>0.99769319999999895</v>
      </c>
      <c r="AB169">
        <v>13</v>
      </c>
      <c r="AC169">
        <v>144.33609999999999</v>
      </c>
      <c r="AD169">
        <v>0.18406700000000001</v>
      </c>
      <c r="AE169">
        <v>-32.428600000000003</v>
      </c>
      <c r="AF169">
        <v>-10.027081173034601</v>
      </c>
      <c r="AG169">
        <v>0.18406700000000001</v>
      </c>
      <c r="AH169">
        <v>147.59374560988499</v>
      </c>
      <c r="AI169">
        <v>89.928709696497606</v>
      </c>
      <c r="AJ169">
        <v>93.886533253516603</v>
      </c>
      <c r="AK169">
        <v>147.934073088882</v>
      </c>
    </row>
    <row r="170" spans="1:37" x14ac:dyDescent="0.2">
      <c r="A170" t="str">
        <f>"20200111150447929"</f>
        <v>20200111150447929</v>
      </c>
      <c r="B170" t="str">
        <f>"1578726287923350"</f>
        <v>1578726287923350</v>
      </c>
      <c r="C170" t="s">
        <v>37</v>
      </c>
      <c r="D170">
        <v>5.0982959999999897</v>
      </c>
      <c r="E170">
        <v>0.54481420000000003</v>
      </c>
      <c r="F170" t="s">
        <v>40</v>
      </c>
      <c r="G170">
        <v>-502.70960000000002</v>
      </c>
      <c r="H170" s="1">
        <v>-1.029932E-5</v>
      </c>
      <c r="I170">
        <v>369.84030000000001</v>
      </c>
      <c r="J170">
        <v>-517.42599999999902</v>
      </c>
      <c r="K170">
        <v>1.05399</v>
      </c>
      <c r="L170">
        <v>375.07199999999898</v>
      </c>
      <c r="M170">
        <v>0.95837530000000004</v>
      </c>
      <c r="N170">
        <v>0</v>
      </c>
      <c r="O170">
        <v>-0.28527970000000002</v>
      </c>
      <c r="P170">
        <v>0.96671629999999997</v>
      </c>
      <c r="Q170">
        <v>0.1255579</v>
      </c>
      <c r="R170">
        <v>-0.22292399999999901</v>
      </c>
      <c r="S170">
        <v>2.8932500000000001</v>
      </c>
      <c r="T170">
        <v>-0.2089985</v>
      </c>
      <c r="U170">
        <v>-1.0301209999999901</v>
      </c>
      <c r="V170">
        <v>-6.2191490000000002E-2</v>
      </c>
      <c r="W170">
        <v>0.13691900000000001</v>
      </c>
      <c r="X170">
        <v>0.98862799999999995</v>
      </c>
      <c r="Y170">
        <v>5.3215470000000001E-2</v>
      </c>
      <c r="Z170">
        <v>1.7656249999999998E-2</v>
      </c>
      <c r="AA170">
        <v>0.99842699999999995</v>
      </c>
      <c r="AB170">
        <v>12</v>
      </c>
      <c r="AC170">
        <v>14.716399999999901</v>
      </c>
      <c r="AD170">
        <v>-1.0540002993199999</v>
      </c>
      <c r="AE170">
        <v>-5.2316999999999299</v>
      </c>
      <c r="AF170">
        <v>0.811997992831761</v>
      </c>
      <c r="AG170">
        <v>-1.0540002993199999</v>
      </c>
      <c r="AH170">
        <v>15.526655324037399</v>
      </c>
      <c r="AI170">
        <v>93.878184049992996</v>
      </c>
      <c r="AJ170">
        <v>87.006327999069995</v>
      </c>
      <c r="AK170">
        <v>15.583558095723401</v>
      </c>
    </row>
    <row r="171" spans="1:37" x14ac:dyDescent="0.2">
      <c r="A171" t="str">
        <f>"20200111150447954"</f>
        <v>20200111150447954</v>
      </c>
      <c r="B171" t="str">
        <f>"1578726287943845"</f>
        <v>1578726287943845</v>
      </c>
      <c r="C171" t="s">
        <v>37</v>
      </c>
      <c r="D171">
        <v>5.0703529999999999</v>
      </c>
      <c r="E171">
        <v>0.54511519999999902</v>
      </c>
      <c r="F171" t="s">
        <v>40</v>
      </c>
      <c r="G171">
        <v>-501.71749999999997</v>
      </c>
      <c r="H171" s="1">
        <v>-1.0534020000000001E-5</v>
      </c>
      <c r="I171">
        <v>369.46230000000003</v>
      </c>
      <c r="J171">
        <v>-517.55880000000002</v>
      </c>
      <c r="K171">
        <v>1.0539780000000001</v>
      </c>
      <c r="L171">
        <v>375.11090000000002</v>
      </c>
      <c r="M171">
        <v>0.95823019999999903</v>
      </c>
      <c r="N171">
        <v>0</v>
      </c>
      <c r="O171">
        <v>-0.28576669999999998</v>
      </c>
      <c r="P171">
        <v>0.96622909999999995</v>
      </c>
      <c r="Q171">
        <v>0.1258301</v>
      </c>
      <c r="R171">
        <v>-0.2248742</v>
      </c>
      <c r="S171">
        <v>2.8905029999999998</v>
      </c>
      <c r="T171">
        <v>-0.19394520000000001</v>
      </c>
      <c r="U171">
        <v>-1.032227</v>
      </c>
      <c r="V171">
        <v>-6.0686199999999899E-2</v>
      </c>
      <c r="W171">
        <v>0.13719529999999999</v>
      </c>
      <c r="X171">
        <v>0.98868330000000004</v>
      </c>
      <c r="Y171">
        <v>5.358309E-2</v>
      </c>
      <c r="Z171">
        <v>1.6417250000000001E-2</v>
      </c>
      <c r="AA171">
        <v>0.99842839999999999</v>
      </c>
      <c r="AB171">
        <v>12</v>
      </c>
      <c r="AC171">
        <v>15.8413</v>
      </c>
      <c r="AD171">
        <v>-1.0539885340199999</v>
      </c>
      <c r="AE171">
        <v>-5.6485999999999796</v>
      </c>
      <c r="AF171">
        <v>0.88233634185321497</v>
      </c>
      <c r="AG171">
        <v>-1.0539885340199999</v>
      </c>
      <c r="AH171">
        <v>16.729201632716499</v>
      </c>
      <c r="AI171">
        <v>93.600045936508806</v>
      </c>
      <c r="AJ171">
        <v>86.9808869915923</v>
      </c>
      <c r="AK171">
        <v>16.7855770385795</v>
      </c>
    </row>
    <row r="172" spans="1:37" x14ac:dyDescent="0.2">
      <c r="A172" t="str">
        <f>"20200111150447996"</f>
        <v>20200111150447996</v>
      </c>
      <c r="B172" t="str">
        <f>"1578726287993622"</f>
        <v>1578726287993622</v>
      </c>
      <c r="C172" t="s">
        <v>37</v>
      </c>
      <c r="D172">
        <v>5.0484229999999997</v>
      </c>
      <c r="E172">
        <v>0.54557719999999998</v>
      </c>
      <c r="F172" t="s">
        <v>40</v>
      </c>
      <c r="G172">
        <v>-501.57760000000002</v>
      </c>
      <c r="H172" s="1">
        <v>-1.054493E-5</v>
      </c>
      <c r="I172">
        <v>369.35660000000001</v>
      </c>
      <c r="J172">
        <v>-517.78480000000002</v>
      </c>
      <c r="K172">
        <v>1.053941</v>
      </c>
      <c r="L172">
        <v>375.1773</v>
      </c>
      <c r="M172">
        <v>0.95798269999999996</v>
      </c>
      <c r="N172">
        <v>0</v>
      </c>
      <c r="O172">
        <v>-0.28659499999999999</v>
      </c>
      <c r="P172">
        <v>0.96521100000000004</v>
      </c>
      <c r="Q172">
        <v>0.1222432</v>
      </c>
      <c r="R172">
        <v>-0.2311375</v>
      </c>
      <c r="S172">
        <v>2.8876949999999999</v>
      </c>
      <c r="T172">
        <v>-0.190448799999999</v>
      </c>
      <c r="U172">
        <v>-1.0397639999999999</v>
      </c>
      <c r="V172">
        <v>-5.5247989999999997E-2</v>
      </c>
      <c r="W172">
        <v>0.1336302</v>
      </c>
      <c r="X172">
        <v>0.98949010000000004</v>
      </c>
      <c r="Y172">
        <v>5.5318909999999999E-2</v>
      </c>
      <c r="Z172">
        <v>1.612251E-2</v>
      </c>
      <c r="AA172">
        <v>0.99833859999999996</v>
      </c>
      <c r="AB172">
        <v>12</v>
      </c>
      <c r="AC172">
        <v>16.2072</v>
      </c>
      <c r="AD172">
        <v>-1.0539515449300001</v>
      </c>
      <c r="AE172">
        <v>-5.82069999999998</v>
      </c>
      <c r="AF172">
        <v>0.92781374624525903</v>
      </c>
      <c r="AG172">
        <v>-1.0539515449300001</v>
      </c>
      <c r="AH172">
        <v>17.1313699006961</v>
      </c>
      <c r="AI172">
        <v>93.515359597266993</v>
      </c>
      <c r="AJ172">
        <v>86.899960259333298</v>
      </c>
      <c r="AK172">
        <v>17.1888186586879</v>
      </c>
    </row>
    <row r="173" spans="1:37" x14ac:dyDescent="0.2">
      <c r="A173" t="str">
        <f>"20200111150448018"</f>
        <v>20200111150448018</v>
      </c>
      <c r="B173" t="str">
        <f>"1578726288014118"</f>
        <v>1578726288014118</v>
      </c>
      <c r="C173" t="s">
        <v>37</v>
      </c>
      <c r="D173">
        <v>5.0799289999999999</v>
      </c>
      <c r="E173">
        <v>0.54584519999999903</v>
      </c>
      <c r="F173" t="s">
        <v>40</v>
      </c>
      <c r="G173">
        <v>-503.70929999999998</v>
      </c>
      <c r="H173" s="1">
        <v>-9.9791579999999994E-6</v>
      </c>
      <c r="I173">
        <v>370.00009999999997</v>
      </c>
      <c r="J173">
        <v>-517.90430000000003</v>
      </c>
      <c r="K173">
        <v>1.0539209999999899</v>
      </c>
      <c r="L173">
        <v>375.21260000000001</v>
      </c>
      <c r="M173">
        <v>0.95785119999999901</v>
      </c>
      <c r="N173">
        <v>0</v>
      </c>
      <c r="O173">
        <v>-0.28703309999999999</v>
      </c>
      <c r="P173">
        <v>0.96494999999999997</v>
      </c>
      <c r="Q173">
        <v>0.118838</v>
      </c>
      <c r="R173">
        <v>-0.23398539999999901</v>
      </c>
      <c r="S173">
        <v>2.881653</v>
      </c>
      <c r="T173">
        <v>-0.21577350000000001</v>
      </c>
      <c r="U173">
        <v>-1.0599369999999999</v>
      </c>
      <c r="V173">
        <v>-5.2895289999999998E-2</v>
      </c>
      <c r="W173">
        <v>0.13024639999999901</v>
      </c>
      <c r="X173">
        <v>0.99006970000000005</v>
      </c>
      <c r="Y173">
        <v>6.1803080000000003E-2</v>
      </c>
      <c r="Z173">
        <v>1.8066209999999999E-2</v>
      </c>
      <c r="AA173">
        <v>0.9979249</v>
      </c>
      <c r="AB173">
        <v>12</v>
      </c>
      <c r="AC173">
        <v>14.195</v>
      </c>
      <c r="AD173">
        <v>-1.0539309791579901</v>
      </c>
      <c r="AE173">
        <v>-5.2125000000000297</v>
      </c>
      <c r="AF173">
        <v>0.91398589302720001</v>
      </c>
      <c r="AG173">
        <v>-1.0539309791579901</v>
      </c>
      <c r="AH173">
        <v>15.0208972013353</v>
      </c>
      <c r="AI173">
        <v>94.006156326051993</v>
      </c>
      <c r="AJ173">
        <v>86.517981076874094</v>
      </c>
      <c r="AK173">
        <v>15.085539216566399</v>
      </c>
    </row>
    <row r="174" spans="1:37" x14ac:dyDescent="0.2">
      <c r="A174" t="str">
        <f>"20200111150448041"</f>
        <v>20200111150448041</v>
      </c>
      <c r="B174" t="str">
        <f>"1578726288033637"</f>
        <v>1578726288033637</v>
      </c>
      <c r="C174" t="s">
        <v>37</v>
      </c>
      <c r="D174">
        <v>5.0190429999999999</v>
      </c>
      <c r="E174">
        <v>0.54577410000000004</v>
      </c>
      <c r="F174" t="s">
        <v>38</v>
      </c>
      <c r="G174">
        <v>-517.28110000000004</v>
      </c>
      <c r="H174">
        <v>1.0033289999999999</v>
      </c>
      <c r="I174">
        <v>374.98020000000002</v>
      </c>
      <c r="J174">
        <v>-518.02689999999996</v>
      </c>
      <c r="K174">
        <v>1.053901</v>
      </c>
      <c r="L174">
        <v>375.24869999999999</v>
      </c>
      <c r="M174">
        <v>0.95771569999999995</v>
      </c>
      <c r="N174">
        <v>0</v>
      </c>
      <c r="O174">
        <v>-0.28748420000000002</v>
      </c>
      <c r="P174">
        <v>0.96460879999999904</v>
      </c>
      <c r="Q174">
        <v>0.11704339999999901</v>
      </c>
      <c r="R174">
        <v>-0.236286</v>
      </c>
      <c r="S174">
        <v>2.8782349999999899</v>
      </c>
      <c r="T174">
        <v>-0.2342311</v>
      </c>
      <c r="U174">
        <v>-1.0704959999999999</v>
      </c>
      <c r="V174">
        <v>-5.1056839999999999E-2</v>
      </c>
      <c r="W174">
        <v>0.12848699999999999</v>
      </c>
      <c r="X174">
        <v>0.99039599999999905</v>
      </c>
      <c r="Y174">
        <v>6.5022620000000003E-2</v>
      </c>
      <c r="Z174">
        <v>1.9520920000000001E-2</v>
      </c>
      <c r="AA174">
        <v>0.99769279999999905</v>
      </c>
      <c r="AB174">
        <v>12</v>
      </c>
      <c r="AC174">
        <v>0.74579999999991697</v>
      </c>
      <c r="AD174">
        <v>-5.0571999999999798E-2</v>
      </c>
      <c r="AE174">
        <v>-0.26849999999995999</v>
      </c>
      <c r="AF174">
        <v>4.2570519010526699E-2</v>
      </c>
      <c r="AG174">
        <v>-5.0571999999999798E-2</v>
      </c>
      <c r="AH174">
        <v>0.788297944335002</v>
      </c>
      <c r="AI174">
        <v>93.665363063688801</v>
      </c>
      <c r="AJ174">
        <v>86.908853889378904</v>
      </c>
      <c r="AK174">
        <v>0.79106474154497297</v>
      </c>
    </row>
    <row r="175" spans="1:37" x14ac:dyDescent="0.2">
      <c r="A175" t="str">
        <f>"20200111150448088"</f>
        <v>20200111150448088</v>
      </c>
      <c r="B175" t="str">
        <f>"1578726288083414"</f>
        <v>1578726288083414</v>
      </c>
      <c r="C175" t="s">
        <v>37</v>
      </c>
      <c r="D175">
        <v>4.8199690000000004</v>
      </c>
      <c r="E175">
        <v>0.54483219999999899</v>
      </c>
      <c r="F175" t="s">
        <v>38</v>
      </c>
      <c r="G175">
        <v>-517.40189999999996</v>
      </c>
      <c r="H175">
        <v>0.99919089999999999</v>
      </c>
      <c r="I175">
        <v>375.01440000000002</v>
      </c>
      <c r="J175">
        <v>-518.27340000000004</v>
      </c>
      <c r="K175">
        <v>1.053871</v>
      </c>
      <c r="L175">
        <v>375.3218</v>
      </c>
      <c r="M175">
        <v>0.95743959999999995</v>
      </c>
      <c r="N175">
        <v>0</v>
      </c>
      <c r="O175">
        <v>-0.28839759999999998</v>
      </c>
      <c r="P175">
        <v>0.96426679999999998</v>
      </c>
      <c r="Q175">
        <v>0.11507879999999999</v>
      </c>
      <c r="R175">
        <v>-0.23863400000000001</v>
      </c>
      <c r="S175">
        <v>2.876709</v>
      </c>
      <c r="T175">
        <v>-0.2520463</v>
      </c>
      <c r="U175">
        <v>-1.077545</v>
      </c>
      <c r="V175">
        <v>-4.9644349999999997E-2</v>
      </c>
      <c r="W175">
        <v>0.12663920000000001</v>
      </c>
      <c r="X175">
        <v>0.99070579999999997</v>
      </c>
      <c r="Y175">
        <v>6.6483230000000004E-2</v>
      </c>
      <c r="Z175">
        <v>2.1011470000000001E-2</v>
      </c>
      <c r="AA175">
        <v>0.99756630000000002</v>
      </c>
      <c r="AB175">
        <v>12</v>
      </c>
      <c r="AC175">
        <v>0.87150000000008199</v>
      </c>
      <c r="AD175">
        <v>-5.4680100000000002E-2</v>
      </c>
      <c r="AE175">
        <v>-0.30739999999997197</v>
      </c>
      <c r="AF175">
        <v>4.2831398088018703E-2</v>
      </c>
      <c r="AG175">
        <v>-5.4680100000000002E-2</v>
      </c>
      <c r="AH175">
        <v>0.91990429509656202</v>
      </c>
      <c r="AI175">
        <v>93.398047437741198</v>
      </c>
      <c r="AJ175">
        <v>87.334193053453504</v>
      </c>
      <c r="AK175">
        <v>0.92252282038727196</v>
      </c>
    </row>
    <row r="176" spans="1:37" x14ac:dyDescent="0.2">
      <c r="A176" t="str">
        <f>"20200111150448132"</f>
        <v>20200111150448132</v>
      </c>
      <c r="B176" t="str">
        <f>"1578726288123429"</f>
        <v>1578726288123429</v>
      </c>
      <c r="C176" t="s">
        <v>37</v>
      </c>
      <c r="D176">
        <v>4.8113070000000002</v>
      </c>
      <c r="E176">
        <v>0.545068</v>
      </c>
      <c r="F176" t="s">
        <v>38</v>
      </c>
      <c r="G176">
        <v>-517.6232</v>
      </c>
      <c r="H176">
        <v>0.98730229999999997</v>
      </c>
      <c r="I176">
        <v>375.07830000000001</v>
      </c>
      <c r="J176">
        <v>-518.50670000000002</v>
      </c>
      <c r="K176">
        <v>1.053841</v>
      </c>
      <c r="L176">
        <v>375.39109999999999</v>
      </c>
      <c r="M176">
        <v>0.95717649999999999</v>
      </c>
      <c r="N176">
        <v>0</v>
      </c>
      <c r="O176">
        <v>-0.28926360000000001</v>
      </c>
      <c r="P176">
        <v>0.96396959999999998</v>
      </c>
      <c r="Q176">
        <v>0.11579489999999899</v>
      </c>
      <c r="R176">
        <v>-0.2394889</v>
      </c>
      <c r="S176">
        <v>2.8797000000000001</v>
      </c>
      <c r="T176">
        <v>-0.294927299999999</v>
      </c>
      <c r="U176">
        <v>-1.077698</v>
      </c>
      <c r="V176">
        <v>-4.9624059999999998E-2</v>
      </c>
      <c r="W176">
        <v>0.12752079999999999</v>
      </c>
      <c r="X176">
        <v>0.99059370000000002</v>
      </c>
      <c r="Y176">
        <v>6.5551719999999994E-2</v>
      </c>
      <c r="Z176">
        <v>2.4673480000000001E-2</v>
      </c>
      <c r="AA176">
        <v>0.99754409999999905</v>
      </c>
      <c r="AB176">
        <v>12</v>
      </c>
      <c r="AC176">
        <v>0.88350000000002604</v>
      </c>
      <c r="AD176">
        <v>-6.6538699999999895E-2</v>
      </c>
      <c r="AE176">
        <v>-0.31279999999998098</v>
      </c>
      <c r="AF176">
        <v>4.3623609553215099E-2</v>
      </c>
      <c r="AG176">
        <v>-6.6538699999999895E-2</v>
      </c>
      <c r="AH176">
        <v>0.931517456322697</v>
      </c>
      <c r="AI176">
        <v>94.0812654397009</v>
      </c>
      <c r="AJ176">
        <v>87.318757790097806</v>
      </c>
      <c r="AK176">
        <v>0.93490918775143605</v>
      </c>
    </row>
    <row r="177" spans="1:37" x14ac:dyDescent="0.2">
      <c r="A177" t="str">
        <f>"20200111150448175"</f>
        <v>20200111150448175</v>
      </c>
      <c r="B177" t="str">
        <f>"1578726288163446"</f>
        <v>1578726288163446</v>
      </c>
      <c r="C177" t="s">
        <v>37</v>
      </c>
      <c r="D177">
        <v>4.8956080000000002</v>
      </c>
      <c r="E177">
        <v>0.54752709999999905</v>
      </c>
      <c r="F177" t="s">
        <v>38</v>
      </c>
      <c r="G177">
        <v>-517.83870000000002</v>
      </c>
      <c r="H177">
        <v>0.98303560000000001</v>
      </c>
      <c r="I177">
        <v>375.13990000000001</v>
      </c>
      <c r="J177">
        <v>-518.73220000000003</v>
      </c>
      <c r="K177">
        <v>1.053787</v>
      </c>
      <c r="L177">
        <v>375.45839999999998</v>
      </c>
      <c r="M177">
        <v>0.95692060000000001</v>
      </c>
      <c r="N177">
        <v>0</v>
      </c>
      <c r="O177">
        <v>-0.2900993</v>
      </c>
      <c r="P177">
        <v>0.96399619999999997</v>
      </c>
      <c r="Q177">
        <v>0.1128856</v>
      </c>
      <c r="R177">
        <v>-0.2407657</v>
      </c>
      <c r="S177">
        <v>2.8799440000000001</v>
      </c>
      <c r="T177">
        <v>-0.3055775</v>
      </c>
      <c r="U177">
        <v>-1.082336</v>
      </c>
      <c r="V177">
        <v>-4.9260270000000002E-2</v>
      </c>
      <c r="W177">
        <v>0.1248383</v>
      </c>
      <c r="X177">
        <v>0.99095349999999904</v>
      </c>
      <c r="Y177">
        <v>6.6131640000000005E-2</v>
      </c>
      <c r="Z177">
        <v>2.560051E-2</v>
      </c>
      <c r="AA177">
        <v>0.99748239999999999</v>
      </c>
      <c r="AB177">
        <v>12</v>
      </c>
      <c r="AC177">
        <v>0.89350000000001695</v>
      </c>
      <c r="AD177">
        <v>-7.0751400000000006E-2</v>
      </c>
      <c r="AE177">
        <v>-0.31849999999997097</v>
      </c>
      <c r="AF177">
        <v>4.5326634235249401E-2</v>
      </c>
      <c r="AG177">
        <v>-7.0751400000000006E-2</v>
      </c>
      <c r="AH177">
        <v>0.94223213968628505</v>
      </c>
      <c r="AI177">
        <v>94.289290394554001</v>
      </c>
      <c r="AJ177">
        <v>87.245875820822306</v>
      </c>
      <c r="AK177">
        <v>0.94597128361851002</v>
      </c>
    </row>
    <row r="178" spans="1:37" x14ac:dyDescent="0.2">
      <c r="A178" t="str">
        <f>"20200111150448195"</f>
        <v>20200111150448195</v>
      </c>
      <c r="B178" t="str">
        <f>"1578726288183941"</f>
        <v>1578726288183941</v>
      </c>
      <c r="C178" t="s">
        <v>37</v>
      </c>
      <c r="D178">
        <v>4.8589409999999997</v>
      </c>
      <c r="E178">
        <v>0.54885539999999999</v>
      </c>
      <c r="F178" t="s">
        <v>38</v>
      </c>
      <c r="G178">
        <v>-518.16769999999997</v>
      </c>
      <c r="H178">
        <v>0.95980529999999997</v>
      </c>
      <c r="I178">
        <v>375.24130000000002</v>
      </c>
      <c r="J178">
        <v>-518.84739999999999</v>
      </c>
      <c r="K178">
        <v>1.0537650000000001</v>
      </c>
      <c r="L178">
        <v>375.49279999999999</v>
      </c>
      <c r="M178">
        <v>0.95678960000000002</v>
      </c>
      <c r="N178">
        <v>0</v>
      </c>
      <c r="O178">
        <v>-0.29052679999999997</v>
      </c>
      <c r="P178">
        <v>0.96400059999999999</v>
      </c>
      <c r="Q178">
        <v>0.11145529999999999</v>
      </c>
      <c r="R178">
        <v>-0.241413299999999</v>
      </c>
      <c r="S178">
        <v>2.8914179999999998</v>
      </c>
      <c r="T178">
        <v>-0.48171700000000001</v>
      </c>
      <c r="U178">
        <v>-1.1090389999999899</v>
      </c>
      <c r="V178">
        <v>-4.907893E-2</v>
      </c>
      <c r="W178">
        <v>0.12352339999999901</v>
      </c>
      <c r="X178">
        <v>0.99112730000000004</v>
      </c>
      <c r="Y178">
        <v>7.385506E-2</v>
      </c>
      <c r="Z178">
        <v>3.9432979999999999E-2</v>
      </c>
      <c r="AA178">
        <v>0.99648899999999996</v>
      </c>
      <c r="AB178">
        <v>12</v>
      </c>
      <c r="AC178">
        <v>0.67970000000002495</v>
      </c>
      <c r="AD178">
        <v>-9.3959699999999993E-2</v>
      </c>
      <c r="AE178">
        <v>-0.25149999999996397</v>
      </c>
      <c r="AF178">
        <v>4.2451180285099602E-2</v>
      </c>
      <c r="AG178">
        <v>-9.3959699999999993E-2</v>
      </c>
      <c r="AH178">
        <v>0.71149194379951597</v>
      </c>
      <c r="AI178">
        <v>97.509752689673903</v>
      </c>
      <c r="AJ178">
        <v>86.585494175234999</v>
      </c>
      <c r="AK178">
        <v>0.71892371919648201</v>
      </c>
    </row>
    <row r="179" spans="1:37" x14ac:dyDescent="0.2">
      <c r="A179" t="str">
        <f>"20200111150448219"</f>
        <v>20200111150448219</v>
      </c>
      <c r="B179" t="str">
        <f>"1578726288213222"</f>
        <v>1578726288213222</v>
      </c>
      <c r="C179" t="s">
        <v>37</v>
      </c>
      <c r="D179">
        <v>4.8981639999999897</v>
      </c>
      <c r="E179">
        <v>0.54935049999999996</v>
      </c>
      <c r="F179" t="s">
        <v>38</v>
      </c>
      <c r="G179">
        <v>-518.27539999999999</v>
      </c>
      <c r="H179">
        <v>0.95851369999999902</v>
      </c>
      <c r="I179">
        <v>375.27050000000003</v>
      </c>
      <c r="J179">
        <v>-518.97109999999998</v>
      </c>
      <c r="K179">
        <v>1.053688</v>
      </c>
      <c r="L179">
        <v>375.52980000000002</v>
      </c>
      <c r="M179">
        <v>0.95665250000000002</v>
      </c>
      <c r="N179">
        <v>0</v>
      </c>
      <c r="O179">
        <v>-0.29098779999999902</v>
      </c>
      <c r="P179">
        <v>0.96410099999999999</v>
      </c>
      <c r="Q179">
        <v>0.1109402</v>
      </c>
      <c r="R179">
        <v>-0.24125070000000001</v>
      </c>
      <c r="S179">
        <v>2.8866580000000002</v>
      </c>
      <c r="T179">
        <v>-0.48064200000000001</v>
      </c>
      <c r="U179">
        <v>-1.1216429999999999</v>
      </c>
      <c r="V179">
        <v>-4.974613E-2</v>
      </c>
      <c r="W179">
        <v>0.1227823</v>
      </c>
      <c r="X179">
        <v>0.99118609999999896</v>
      </c>
      <c r="Y179">
        <v>7.7662700000000001E-2</v>
      </c>
      <c r="Z179">
        <v>3.9134469999999998E-2</v>
      </c>
      <c r="AA179">
        <v>0.99621130000000002</v>
      </c>
      <c r="AB179">
        <v>12</v>
      </c>
      <c r="AC179">
        <v>0.695699999999987</v>
      </c>
      <c r="AD179">
        <v>-9.5174300000000003E-2</v>
      </c>
      <c r="AE179">
        <v>-0.25929999999999598</v>
      </c>
      <c r="AF179">
        <v>4.48854439819239E-2</v>
      </c>
      <c r="AG179">
        <v>-9.5174300000000003E-2</v>
      </c>
      <c r="AH179">
        <v>0.72906854167751201</v>
      </c>
      <c r="AI179">
        <v>97.423568062596303</v>
      </c>
      <c r="AJ179">
        <v>86.477005262908406</v>
      </c>
      <c r="AK179">
        <v>0.73662323403875796</v>
      </c>
    </row>
    <row r="180" spans="1:37" x14ac:dyDescent="0.2">
      <c r="A180" t="str">
        <f>"20200111150448264"</f>
        <v>20200111150448264</v>
      </c>
      <c r="B180" t="str">
        <f>"1578726288253237"</f>
        <v>1578726288253237</v>
      </c>
      <c r="C180" t="s">
        <v>37</v>
      </c>
      <c r="D180">
        <v>4.8496569999999997</v>
      </c>
      <c r="E180">
        <v>0.54980980000000002</v>
      </c>
      <c r="F180" t="s">
        <v>38</v>
      </c>
      <c r="G180">
        <v>-518.38210000000004</v>
      </c>
      <c r="H180">
        <v>0.95324129999999996</v>
      </c>
      <c r="I180">
        <v>375.29969999999997</v>
      </c>
      <c r="J180">
        <v>-519.19889999999998</v>
      </c>
      <c r="K180">
        <v>1.053139</v>
      </c>
      <c r="L180">
        <v>375.59809999999999</v>
      </c>
      <c r="M180">
        <v>0.95642299999999902</v>
      </c>
      <c r="N180">
        <v>0</v>
      </c>
      <c r="O180">
        <v>-0.29182259999999999</v>
      </c>
      <c r="P180">
        <v>0.96482129999999999</v>
      </c>
      <c r="Q180">
        <v>0.10892300000000001</v>
      </c>
      <c r="R180">
        <v>-0.2392821</v>
      </c>
      <c r="S180">
        <v>2.8869020000000001</v>
      </c>
      <c r="T180">
        <v>-0.4927589</v>
      </c>
      <c r="U180">
        <v>-1.1247559999999901</v>
      </c>
      <c r="V180">
        <v>-5.2703319999999998E-2</v>
      </c>
      <c r="W180">
        <v>0.118585199999999</v>
      </c>
      <c r="X180">
        <v>0.99154419999999899</v>
      </c>
      <c r="Y180">
        <v>7.7831910000000004E-2</v>
      </c>
      <c r="Z180">
        <v>4.0209889999999998E-2</v>
      </c>
      <c r="AA180">
        <v>0.99615529999999997</v>
      </c>
      <c r="AB180">
        <v>12</v>
      </c>
      <c r="AC180">
        <v>0.81679999999994302</v>
      </c>
      <c r="AD180">
        <v>-9.9897699999999895E-2</v>
      </c>
      <c r="AE180">
        <v>-0.29840000000001499</v>
      </c>
      <c r="AF180">
        <v>4.6425476988979399E-2</v>
      </c>
      <c r="AG180">
        <v>-9.9897699999999895E-2</v>
      </c>
      <c r="AH180">
        <v>0.85701728805552302</v>
      </c>
      <c r="AI180">
        <v>96.638996980905503</v>
      </c>
      <c r="AJ180">
        <v>86.899261429643403</v>
      </c>
      <c r="AK180">
        <v>0.86406799929460898</v>
      </c>
    </row>
    <row r="181" spans="1:37" x14ac:dyDescent="0.2">
      <c r="A181" t="str">
        <f>"20200111150448289"</f>
        <v>20200111150448289</v>
      </c>
      <c r="B181" t="str">
        <f>"1578726288283493"</f>
        <v>1578726288283493</v>
      </c>
      <c r="C181" t="s">
        <v>37</v>
      </c>
      <c r="D181">
        <v>4.9029989999999897</v>
      </c>
      <c r="E181">
        <v>0.54999759999999998</v>
      </c>
      <c r="F181" t="s">
        <v>38</v>
      </c>
      <c r="G181">
        <v>-518.58749999999998</v>
      </c>
      <c r="H181">
        <v>0.94373439999999997</v>
      </c>
      <c r="I181">
        <v>375.3603</v>
      </c>
      <c r="J181">
        <v>-519.32060000000001</v>
      </c>
      <c r="K181">
        <v>1.0529299999999999</v>
      </c>
      <c r="L181">
        <v>375.63459999999998</v>
      </c>
      <c r="M181">
        <v>0.95629989999999998</v>
      </c>
      <c r="N181">
        <v>0</v>
      </c>
      <c r="O181">
        <v>-0.292265</v>
      </c>
      <c r="P181">
        <v>0.96472329999999995</v>
      </c>
      <c r="Q181">
        <v>0.10881209999999999</v>
      </c>
      <c r="R181">
        <v>-0.23972750000000001</v>
      </c>
      <c r="S181">
        <v>2.889221</v>
      </c>
      <c r="T181">
        <v>-0.51707259999999999</v>
      </c>
      <c r="U181">
        <v>-1.1227419999999999</v>
      </c>
      <c r="V181">
        <v>-5.2710439999999997E-2</v>
      </c>
      <c r="W181">
        <v>0.1172295</v>
      </c>
      <c r="X181">
        <v>0.99170499999999995</v>
      </c>
      <c r="Y181">
        <v>7.6771210000000006E-2</v>
      </c>
      <c r="Z181">
        <v>4.2303729999999998E-2</v>
      </c>
      <c r="AA181">
        <v>0.99615089999999995</v>
      </c>
      <c r="AB181">
        <v>12</v>
      </c>
      <c r="AC181">
        <v>0.73310000000003495</v>
      </c>
      <c r="AD181">
        <v>-0.109195599999999</v>
      </c>
      <c r="AE181">
        <v>-0.274299999999982</v>
      </c>
      <c r="AF181">
        <v>4.7137931929063501E-2</v>
      </c>
      <c r="AG181">
        <v>-0.109195599999999</v>
      </c>
      <c r="AH181">
        <v>0.76634540838177401</v>
      </c>
      <c r="AI181">
        <v>98.094321515430494</v>
      </c>
      <c r="AJ181">
        <v>86.480169273615104</v>
      </c>
      <c r="AK181">
        <v>0.77551979254802805</v>
      </c>
    </row>
    <row r="182" spans="1:37" x14ac:dyDescent="0.2">
      <c r="A182" t="str">
        <f>"20200111150448332"</f>
        <v>20200111150448332</v>
      </c>
      <c r="B182" t="str">
        <f>"1578726288323509"</f>
        <v>1578726288323509</v>
      </c>
      <c r="C182" t="s">
        <v>37</v>
      </c>
      <c r="D182">
        <v>4.9289259999999997</v>
      </c>
      <c r="E182">
        <v>0.5494038</v>
      </c>
      <c r="F182" t="s">
        <v>38</v>
      </c>
      <c r="G182">
        <v>-518.68870000000004</v>
      </c>
      <c r="H182">
        <v>0.93734050000000002</v>
      </c>
      <c r="I182">
        <v>375.3888</v>
      </c>
      <c r="J182">
        <v>-519.52639999999997</v>
      </c>
      <c r="K182">
        <v>1.052708</v>
      </c>
      <c r="L182">
        <v>375.69650000000001</v>
      </c>
      <c r="M182">
        <v>0.95608689999999996</v>
      </c>
      <c r="N182">
        <v>0</v>
      </c>
      <c r="O182">
        <v>-0.2930123</v>
      </c>
      <c r="P182">
        <v>0.96407399999999999</v>
      </c>
      <c r="Q182">
        <v>0.11268689999999899</v>
      </c>
      <c r="R182">
        <v>-0.24054819999999999</v>
      </c>
      <c r="S182">
        <v>2.8901979999999998</v>
      </c>
      <c r="T182">
        <v>-0.52891460000000001</v>
      </c>
      <c r="U182">
        <v>-1.1233519999999999</v>
      </c>
      <c r="V182">
        <v>-5.251948E-2</v>
      </c>
      <c r="W182">
        <v>0.1190951</v>
      </c>
      <c r="X182">
        <v>0.99149290000000001</v>
      </c>
      <c r="Y182">
        <v>7.6209869999999999E-2</v>
      </c>
      <c r="Z182">
        <v>4.3414840000000003E-2</v>
      </c>
      <c r="AA182">
        <v>0.99614619999999998</v>
      </c>
      <c r="AB182">
        <v>12</v>
      </c>
      <c r="AC182">
        <v>0.83769999999992695</v>
      </c>
      <c r="AD182">
        <v>-0.115367499999999</v>
      </c>
      <c r="AE182">
        <v>-0.30770000000001102</v>
      </c>
      <c r="AF182">
        <v>4.7931525449425298E-2</v>
      </c>
      <c r="AG182">
        <v>-0.115367499999999</v>
      </c>
      <c r="AH182">
        <v>0.87644540703801399</v>
      </c>
      <c r="AI182">
        <v>97.4877349300383</v>
      </c>
      <c r="AJ182">
        <v>86.869695353156402</v>
      </c>
      <c r="AK182">
        <v>0.88530426560939501</v>
      </c>
    </row>
    <row r="183" spans="1:37" x14ac:dyDescent="0.2">
      <c r="A183" t="str">
        <f>"20200111150448355"</f>
        <v>20200111150448355</v>
      </c>
      <c r="B183" t="str">
        <f>"1578726288343029"</f>
        <v>1578726288343029</v>
      </c>
      <c r="C183" t="s">
        <v>37</v>
      </c>
      <c r="D183">
        <v>4.9084260000000004</v>
      </c>
      <c r="E183">
        <v>0.54932340000000002</v>
      </c>
      <c r="F183" t="s">
        <v>38</v>
      </c>
      <c r="G183">
        <v>-518.87950000000001</v>
      </c>
      <c r="H183">
        <v>0.93549629999999995</v>
      </c>
      <c r="I183">
        <v>375.44499999999999</v>
      </c>
      <c r="J183">
        <v>-519.63070000000005</v>
      </c>
      <c r="K183">
        <v>1.0526249999999999</v>
      </c>
      <c r="L183">
        <v>375.72789999999998</v>
      </c>
      <c r="M183">
        <v>0.95597690000000002</v>
      </c>
      <c r="N183">
        <v>0</v>
      </c>
      <c r="O183">
        <v>-0.29339159999999997</v>
      </c>
      <c r="P183">
        <v>0.96378449999999904</v>
      </c>
      <c r="Q183">
        <v>0.1147249</v>
      </c>
      <c r="R183">
        <v>-0.240745399999999</v>
      </c>
      <c r="S183">
        <v>2.892639</v>
      </c>
      <c r="T183">
        <v>-0.52411179999999902</v>
      </c>
      <c r="U183">
        <v>-1.1239619999999999</v>
      </c>
      <c r="V183">
        <v>-5.2643379999999997E-2</v>
      </c>
      <c r="W183">
        <v>0.1201271</v>
      </c>
      <c r="X183">
        <v>0.99136179999999996</v>
      </c>
      <c r="Y183">
        <v>7.5669239999999999E-2</v>
      </c>
      <c r="Z183">
        <v>4.3100010000000001E-2</v>
      </c>
      <c r="AA183">
        <v>0.996201</v>
      </c>
      <c r="AB183">
        <v>11</v>
      </c>
      <c r="AC183">
        <v>0.75120000000003895</v>
      </c>
      <c r="AD183">
        <v>-0.117128699999999</v>
      </c>
      <c r="AE183">
        <v>-0.282899999999983</v>
      </c>
      <c r="AF183">
        <v>4.9007371116401202E-2</v>
      </c>
      <c r="AG183">
        <v>-0.117128699999999</v>
      </c>
      <c r="AH183">
        <v>0.78443989705564299</v>
      </c>
      <c r="AI183">
        <v>98.476097401877794</v>
      </c>
      <c r="AJ183">
        <v>86.425129659605901</v>
      </c>
      <c r="AK183">
        <v>0.79464885759692505</v>
      </c>
    </row>
    <row r="184" spans="1:37" x14ac:dyDescent="0.2">
      <c r="A184" t="str">
        <f>"20200111150448396"</f>
        <v>20200111150448396</v>
      </c>
      <c r="B184" t="str">
        <f>"1578726288393782"</f>
        <v>1578726288393782</v>
      </c>
      <c r="C184" t="s">
        <v>37</v>
      </c>
      <c r="D184">
        <v>4.953379</v>
      </c>
      <c r="E184">
        <v>0.54959590000000003</v>
      </c>
      <c r="F184" t="s">
        <v>38</v>
      </c>
      <c r="G184">
        <v>-519.053</v>
      </c>
      <c r="H184">
        <v>0.94857880000000006</v>
      </c>
      <c r="I184">
        <v>375.50369999999998</v>
      </c>
      <c r="J184">
        <v>-519.81439999999998</v>
      </c>
      <c r="K184">
        <v>1.052524</v>
      </c>
      <c r="L184">
        <v>375.78339999999997</v>
      </c>
      <c r="M184">
        <v>0.9557776</v>
      </c>
      <c r="N184">
        <v>0</v>
      </c>
      <c r="O184">
        <v>-0.29406569999999999</v>
      </c>
      <c r="P184">
        <v>0.96398600000000001</v>
      </c>
      <c r="Q184">
        <v>0.1164598</v>
      </c>
      <c r="R184">
        <v>-0.23909899999999901</v>
      </c>
      <c r="S184">
        <v>2.89392099999999</v>
      </c>
      <c r="T184">
        <v>-0.52128419999999998</v>
      </c>
      <c r="U184">
        <v>-1.1244510000000001</v>
      </c>
      <c r="V184">
        <v>-5.4980830000000001E-2</v>
      </c>
      <c r="W184">
        <v>0.12026580000000001</v>
      </c>
      <c r="X184">
        <v>0.99121809999999999</v>
      </c>
      <c r="Y184">
        <v>7.4949799999999997E-2</v>
      </c>
      <c r="Z184">
        <v>4.3023029999999997E-2</v>
      </c>
      <c r="AA184">
        <v>0.9962588</v>
      </c>
      <c r="AB184">
        <v>11</v>
      </c>
      <c r="AC184">
        <v>0.76139999999997998</v>
      </c>
      <c r="AD184">
        <v>-0.103945199999999</v>
      </c>
      <c r="AE184">
        <v>-0.27969999999999101</v>
      </c>
      <c r="AF184">
        <v>4.2728035849478797E-2</v>
      </c>
      <c r="AG184">
        <v>-0.103945199999999</v>
      </c>
      <c r="AH184">
        <v>0.79689899839870404</v>
      </c>
      <c r="AI184">
        <v>97.420998420317204</v>
      </c>
      <c r="AJ184">
        <v>86.930860580597496</v>
      </c>
      <c r="AK184">
        <v>0.80478463162479197</v>
      </c>
    </row>
    <row r="185" spans="1:37" x14ac:dyDescent="0.2">
      <c r="A185" t="str">
        <f>"20200111150448421"</f>
        <v>20200111150448421</v>
      </c>
      <c r="B185" t="str">
        <f>"1578726288413301"</f>
        <v>1578726288413301</v>
      </c>
      <c r="C185" t="s">
        <v>37</v>
      </c>
      <c r="D185">
        <v>4.9573809999999998</v>
      </c>
      <c r="E185">
        <v>0.54965159999999902</v>
      </c>
      <c r="F185" t="s">
        <v>38</v>
      </c>
      <c r="G185">
        <v>-519.2269</v>
      </c>
      <c r="H185">
        <v>0.94786719999999902</v>
      </c>
      <c r="I185">
        <v>375.5557</v>
      </c>
      <c r="J185">
        <v>-519.91869999999994</v>
      </c>
      <c r="K185">
        <v>1.052497</v>
      </c>
      <c r="L185">
        <v>375.815</v>
      </c>
      <c r="M185">
        <v>0.95566139999999999</v>
      </c>
      <c r="N185">
        <v>0</v>
      </c>
      <c r="O185">
        <v>-0.29445169999999998</v>
      </c>
      <c r="P185">
        <v>0.96405260000000004</v>
      </c>
      <c r="Q185">
        <v>0.11813599999999901</v>
      </c>
      <c r="R185">
        <v>-0.23800540000000001</v>
      </c>
      <c r="S185">
        <v>2.896118</v>
      </c>
      <c r="T185">
        <v>-0.51603379999999999</v>
      </c>
      <c r="U185">
        <v>-1.1218870000000001</v>
      </c>
      <c r="V185">
        <v>-5.644863E-2</v>
      </c>
      <c r="W185">
        <v>0.121182199999999</v>
      </c>
      <c r="X185">
        <v>0.99102400000000002</v>
      </c>
      <c r="Y185">
        <v>7.3489579999999999E-2</v>
      </c>
      <c r="Z185">
        <v>4.2760739999999998E-2</v>
      </c>
      <c r="AA185">
        <v>0.99637880000000001</v>
      </c>
      <c r="AB185">
        <v>10</v>
      </c>
      <c r="AC185">
        <v>0.69179999999994302</v>
      </c>
      <c r="AD185">
        <v>-0.1046298</v>
      </c>
      <c r="AE185">
        <v>-0.25929999999999598</v>
      </c>
      <c r="AF185">
        <v>4.3234387175547798E-2</v>
      </c>
      <c r="AG185">
        <v>-0.1046298</v>
      </c>
      <c r="AH185">
        <v>0.72298080741959603</v>
      </c>
      <c r="AI185">
        <v>98.220191872004904</v>
      </c>
      <c r="AJ185">
        <v>86.577777172840698</v>
      </c>
      <c r="AK185">
        <v>0.73179085480728501</v>
      </c>
    </row>
    <row r="186" spans="1:37" x14ac:dyDescent="0.2">
      <c r="A186" t="str">
        <f>"20200111150448444"</f>
        <v>20200111150448444</v>
      </c>
      <c r="B186" t="str">
        <f>"1578726288433329"</f>
        <v>1578726288433329</v>
      </c>
      <c r="C186" t="s">
        <v>37</v>
      </c>
      <c r="D186">
        <v>4.9849600000000001</v>
      </c>
      <c r="E186">
        <v>0.53075530000000004</v>
      </c>
      <c r="F186" t="s">
        <v>38</v>
      </c>
      <c r="G186">
        <v>-519.31200000000001</v>
      </c>
      <c r="H186">
        <v>0.94563199999999903</v>
      </c>
      <c r="I186">
        <v>375.58069999999998</v>
      </c>
      <c r="J186">
        <v>-520.0145</v>
      </c>
      <c r="K186">
        <v>1.052487</v>
      </c>
      <c r="L186">
        <v>375.84410000000003</v>
      </c>
      <c r="M186">
        <v>0.95555389999999996</v>
      </c>
      <c r="N186">
        <v>0</v>
      </c>
      <c r="O186">
        <v>-0.29480640000000002</v>
      </c>
      <c r="P186">
        <v>0.96392099999999903</v>
      </c>
      <c r="Q186">
        <v>0.11916259999999999</v>
      </c>
      <c r="R186">
        <v>-0.2380266</v>
      </c>
      <c r="S186">
        <v>2.8983759999999998</v>
      </c>
      <c r="T186">
        <v>-0.51066650000000002</v>
      </c>
      <c r="U186">
        <v>-1.1178889999999999</v>
      </c>
      <c r="V186">
        <v>-5.67591E-2</v>
      </c>
      <c r="W186">
        <v>0.1215864</v>
      </c>
      <c r="X186">
        <v>0.99095669999999902</v>
      </c>
      <c r="Y186">
        <v>7.1629810000000002E-2</v>
      </c>
      <c r="Z186">
        <v>4.2517520000000003E-2</v>
      </c>
      <c r="AA186">
        <v>0.99652469999999904</v>
      </c>
      <c r="AB186">
        <v>10</v>
      </c>
      <c r="AC186">
        <v>0.70249999999998602</v>
      </c>
      <c r="AD186">
        <v>-0.10685500000000001</v>
      </c>
      <c r="AE186">
        <v>-0.26340000000004599</v>
      </c>
      <c r="AF186">
        <v>4.3704989245927403E-2</v>
      </c>
      <c r="AG186">
        <v>-0.10685500000000001</v>
      </c>
      <c r="AH186">
        <v>0.73404101195363602</v>
      </c>
      <c r="AI186">
        <v>98.267981145424599</v>
      </c>
      <c r="AJ186">
        <v>86.592617299624607</v>
      </c>
      <c r="AK186">
        <v>0.74306414550824895</v>
      </c>
    </row>
    <row r="187" spans="1:37" x14ac:dyDescent="0.2">
      <c r="A187" t="str">
        <f>"20200111150448465"</f>
        <v>20200111150448465</v>
      </c>
      <c r="B187" t="str">
        <f>"1578726288453823"</f>
        <v>1578726288453823</v>
      </c>
      <c r="C187" t="s">
        <v>37</v>
      </c>
      <c r="D187">
        <v>5.0622559999999996</v>
      </c>
      <c r="E187">
        <v>0.53417269999999994</v>
      </c>
      <c r="F187" t="s">
        <v>38</v>
      </c>
      <c r="G187">
        <v>-519.3854</v>
      </c>
      <c r="H187">
        <v>0.9424053</v>
      </c>
      <c r="I187">
        <v>375.63580000000002</v>
      </c>
      <c r="J187">
        <v>-520.10019999999997</v>
      </c>
      <c r="K187">
        <v>1.052473</v>
      </c>
      <c r="L187">
        <v>375.87009999999998</v>
      </c>
      <c r="M187">
        <v>0.95545749999999996</v>
      </c>
      <c r="N187">
        <v>0</v>
      </c>
      <c r="O187">
        <v>-0.29512270000000002</v>
      </c>
      <c r="P187">
        <v>0.96367269999999905</v>
      </c>
      <c r="Q187">
        <v>0.120532999999999</v>
      </c>
      <c r="R187">
        <v>-0.2383429</v>
      </c>
      <c r="S187">
        <v>2.9358520000000001</v>
      </c>
      <c r="T187">
        <v>-0.51378729999999995</v>
      </c>
      <c r="U187">
        <v>-0.97149660000000004</v>
      </c>
      <c r="V187">
        <v>-5.6712409999999998E-2</v>
      </c>
      <c r="W187">
        <v>0.12244919999999999</v>
      </c>
      <c r="X187">
        <v>0.99085309999999904</v>
      </c>
      <c r="Y187">
        <v>2.3523530000000001E-2</v>
      </c>
      <c r="Z187">
        <v>4.681606E-2</v>
      </c>
      <c r="AA187">
        <v>0.99862649999999997</v>
      </c>
      <c r="AB187">
        <v>10</v>
      </c>
      <c r="AC187">
        <v>0.71479999999996802</v>
      </c>
      <c r="AD187">
        <v>-0.11006769999999901</v>
      </c>
      <c r="AE187">
        <v>-0.23429999999996201</v>
      </c>
      <c r="AF187">
        <v>1.26393918363702E-2</v>
      </c>
      <c r="AG187">
        <v>-0.11006769999999901</v>
      </c>
      <c r="AH187">
        <v>0.73634401380875103</v>
      </c>
      <c r="AI187">
        <v>98.500314966033102</v>
      </c>
      <c r="AJ187">
        <v>89.016610874177303</v>
      </c>
      <c r="AK187">
        <v>0.74463223102499698</v>
      </c>
    </row>
    <row r="188" spans="1:37" x14ac:dyDescent="0.2">
      <c r="A188" t="str">
        <f>"20200111150448488"</f>
        <v>20200111150448488</v>
      </c>
      <c r="B188" t="str">
        <f>"1578726288483103"</f>
        <v>1578726288483103</v>
      </c>
      <c r="C188" t="s">
        <v>37</v>
      </c>
      <c r="D188">
        <v>5.1558089999999996</v>
      </c>
      <c r="E188">
        <v>0.53468950000000004</v>
      </c>
      <c r="F188" t="s">
        <v>38</v>
      </c>
      <c r="G188">
        <v>-519.46960000000001</v>
      </c>
      <c r="H188">
        <v>0.93716219999999995</v>
      </c>
      <c r="I188">
        <v>375.65480000000002</v>
      </c>
      <c r="J188">
        <v>-520.18859999999995</v>
      </c>
      <c r="K188">
        <v>1.05246</v>
      </c>
      <c r="L188">
        <v>375.89699999999999</v>
      </c>
      <c r="M188">
        <v>0.95535829999999999</v>
      </c>
      <c r="N188">
        <v>0</v>
      </c>
      <c r="O188">
        <v>-0.29544670000000001</v>
      </c>
      <c r="P188">
        <v>0.96344099999999999</v>
      </c>
      <c r="Q188">
        <v>0.121519499999999</v>
      </c>
      <c r="R188">
        <v>-0.2387772</v>
      </c>
      <c r="S188">
        <v>2.932922</v>
      </c>
      <c r="T188">
        <v>-0.53647699999999998</v>
      </c>
      <c r="U188">
        <v>-0.99945069999999903</v>
      </c>
      <c r="V188">
        <v>-5.6564730000000001E-2</v>
      </c>
      <c r="W188">
        <v>0.1229555</v>
      </c>
      <c r="X188">
        <v>0.99079879999999998</v>
      </c>
      <c r="Y188">
        <v>3.2221809999999997E-2</v>
      </c>
      <c r="Z188">
        <v>4.8097510000000003E-2</v>
      </c>
      <c r="AA188">
        <v>0.99832279999999995</v>
      </c>
      <c r="AB188">
        <v>10</v>
      </c>
      <c r="AC188">
        <v>0.71899999999993702</v>
      </c>
      <c r="AD188">
        <v>-0.11529780000000001</v>
      </c>
      <c r="AE188">
        <v>-0.242199999999968</v>
      </c>
      <c r="AF188">
        <v>1.8533599228154202E-2</v>
      </c>
      <c r="AG188">
        <v>-0.11529780000000001</v>
      </c>
      <c r="AH188">
        <v>0.74133975645152395</v>
      </c>
      <c r="AI188">
        <v>98.837458021653902</v>
      </c>
      <c r="AJ188">
        <v>88.567895681315605</v>
      </c>
      <c r="AK188">
        <v>0.75048098675502395</v>
      </c>
    </row>
    <row r="189" spans="1:37" x14ac:dyDescent="0.2">
      <c r="A189" t="str">
        <f>"20200111150448534"</f>
        <v>20200111150448534</v>
      </c>
      <c r="B189" t="str">
        <f>"1578726288523119"</f>
        <v>1578726288523119</v>
      </c>
      <c r="C189" t="s">
        <v>37</v>
      </c>
      <c r="D189">
        <v>5.1338169999999996</v>
      </c>
      <c r="E189">
        <v>0.534945</v>
      </c>
      <c r="F189" t="s">
        <v>38</v>
      </c>
      <c r="G189">
        <v>-519.54920000000004</v>
      </c>
      <c r="H189">
        <v>0.93405469999999902</v>
      </c>
      <c r="I189">
        <v>375.67790000000002</v>
      </c>
      <c r="J189">
        <v>-520.36099999999999</v>
      </c>
      <c r="K189">
        <v>1.05244</v>
      </c>
      <c r="L189">
        <v>375.94959999999998</v>
      </c>
      <c r="M189">
        <v>0.95516710000000005</v>
      </c>
      <c r="N189">
        <v>0</v>
      </c>
      <c r="O189">
        <v>-0.29606719999999997</v>
      </c>
      <c r="P189">
        <v>0.96296729999999997</v>
      </c>
      <c r="Q189">
        <v>0.1225426</v>
      </c>
      <c r="R189">
        <v>-0.24016179999999901</v>
      </c>
      <c r="S189">
        <v>2.9331669999999899</v>
      </c>
      <c r="T189">
        <v>-0.54314980000000002</v>
      </c>
      <c r="U189">
        <v>-1.005371</v>
      </c>
      <c r="V189">
        <v>-5.5744429999999998E-2</v>
      </c>
      <c r="W189">
        <v>0.1231742</v>
      </c>
      <c r="X189">
        <v>0.99081819999999898</v>
      </c>
      <c r="Y189">
        <v>3.3430969999999997E-2</v>
      </c>
      <c r="Z189">
        <v>4.8660589999999997E-2</v>
      </c>
      <c r="AA189">
        <v>0.99825569999999897</v>
      </c>
      <c r="AB189">
        <v>9</v>
      </c>
      <c r="AC189">
        <v>0.81179999999994801</v>
      </c>
      <c r="AD189">
        <v>-0.1183853</v>
      </c>
      <c r="AE189">
        <v>-0.27169999999995298</v>
      </c>
      <c r="AF189">
        <v>1.8811785477052E-2</v>
      </c>
      <c r="AG189">
        <v>-0.1183853</v>
      </c>
      <c r="AH189">
        <v>0.83978577685604305</v>
      </c>
      <c r="AI189">
        <v>98.022172154287603</v>
      </c>
      <c r="AJ189">
        <v>88.7167493019586</v>
      </c>
      <c r="AK189">
        <v>0.84829777409741702</v>
      </c>
    </row>
    <row r="190" spans="1:37" x14ac:dyDescent="0.2">
      <c r="A190" t="str">
        <f>"20200111150448557"</f>
        <v>20200111150448557</v>
      </c>
      <c r="B190" t="str">
        <f>"1578726288553375"</f>
        <v>1578726288553375</v>
      </c>
      <c r="C190" t="s">
        <v>37</v>
      </c>
      <c r="D190">
        <v>5.2080769999999896</v>
      </c>
      <c r="E190">
        <v>0.53509719999999905</v>
      </c>
      <c r="F190" t="s">
        <v>38</v>
      </c>
      <c r="G190">
        <v>-519.76729999999998</v>
      </c>
      <c r="H190">
        <v>0.94220090000000001</v>
      </c>
      <c r="I190">
        <v>375.7448</v>
      </c>
      <c r="J190">
        <v>-520.44320000000005</v>
      </c>
      <c r="K190">
        <v>1.052438</v>
      </c>
      <c r="L190">
        <v>375.97469999999998</v>
      </c>
      <c r="M190">
        <v>0.95507770000000003</v>
      </c>
      <c r="N190">
        <v>0</v>
      </c>
      <c r="O190">
        <v>-0.29635539999999999</v>
      </c>
      <c r="P190">
        <v>0.96235170000000003</v>
      </c>
      <c r="Q190">
        <v>0.12294620000000001</v>
      </c>
      <c r="R190">
        <v>-0.24241219999999999</v>
      </c>
      <c r="S190">
        <v>2.9325559999999999</v>
      </c>
      <c r="T190">
        <v>-0.54468539999999999</v>
      </c>
      <c r="U190">
        <v>-1.010864</v>
      </c>
      <c r="V190">
        <v>-5.3710769999999998E-2</v>
      </c>
      <c r="W190">
        <v>0.123257899999999</v>
      </c>
      <c r="X190">
        <v>0.99092009999999897</v>
      </c>
      <c r="Y190">
        <v>3.4867969999999998E-2</v>
      </c>
      <c r="Z190">
        <v>4.8707920000000002E-2</v>
      </c>
      <c r="AA190">
        <v>0.99820429999999905</v>
      </c>
      <c r="AB190">
        <v>9</v>
      </c>
      <c r="AC190">
        <v>0.675900000000069</v>
      </c>
      <c r="AD190">
        <v>-0.11023709999999901</v>
      </c>
      <c r="AE190">
        <v>-0.229899999999986</v>
      </c>
      <c r="AF190">
        <v>1.8817108734902801E-2</v>
      </c>
      <c r="AG190">
        <v>-0.11023709999999901</v>
      </c>
      <c r="AH190">
        <v>0.69704997942966396</v>
      </c>
      <c r="AI190">
        <v>98.983567817648407</v>
      </c>
      <c r="AJ190">
        <v>88.453655890700105</v>
      </c>
      <c r="AK190">
        <v>0.70596386282900203</v>
      </c>
    </row>
    <row r="191" spans="1:37" x14ac:dyDescent="0.2">
      <c r="A191" t="str">
        <f>"20200111150448578"</f>
        <v>20200111150448578</v>
      </c>
      <c r="B191" t="str">
        <f>"1578726288573873"</f>
        <v>1578726288573873</v>
      </c>
      <c r="C191" t="s">
        <v>37</v>
      </c>
      <c r="D191">
        <v>5.1325709999999898</v>
      </c>
      <c r="E191">
        <v>0.53508900000000004</v>
      </c>
      <c r="F191" t="s">
        <v>38</v>
      </c>
      <c r="G191">
        <v>-519.83870000000002</v>
      </c>
      <c r="H191">
        <v>0.94045190000000001</v>
      </c>
      <c r="I191">
        <v>375.76420000000002</v>
      </c>
      <c r="J191">
        <v>-520.51739999999995</v>
      </c>
      <c r="K191">
        <v>1.0524340000000001</v>
      </c>
      <c r="L191">
        <v>375.99740000000003</v>
      </c>
      <c r="M191">
        <v>0.95499840000000003</v>
      </c>
      <c r="N191">
        <v>0</v>
      </c>
      <c r="O191">
        <v>-0.29661129999999902</v>
      </c>
      <c r="P191">
        <v>0.96175759999999899</v>
      </c>
      <c r="Q191">
        <v>0.12381540000000001</v>
      </c>
      <c r="R191">
        <v>-0.24431999999999901</v>
      </c>
      <c r="S191">
        <v>2.9298099999999998</v>
      </c>
      <c r="T191">
        <v>-0.54293630000000004</v>
      </c>
      <c r="U191">
        <v>-1.019836</v>
      </c>
      <c r="V191">
        <v>-5.1977339999999997E-2</v>
      </c>
      <c r="W191">
        <v>0.1238645</v>
      </c>
      <c r="X191">
        <v>0.99093690000000001</v>
      </c>
      <c r="Y191">
        <v>3.7559009999999997E-2</v>
      </c>
      <c r="Z191">
        <v>4.8370070000000001E-2</v>
      </c>
      <c r="AA191">
        <v>0.99812299999999998</v>
      </c>
      <c r="AB191">
        <v>8</v>
      </c>
      <c r="AC191">
        <v>0.67869999999993502</v>
      </c>
      <c r="AD191">
        <v>-0.1119821</v>
      </c>
      <c r="AE191">
        <v>-0.23320000000001001</v>
      </c>
      <c r="AF191">
        <v>2.0886964025276299E-2</v>
      </c>
      <c r="AG191">
        <v>-0.1119821</v>
      </c>
      <c r="AH191">
        <v>0.70027624822363099</v>
      </c>
      <c r="AI191">
        <v>99.081351450092995</v>
      </c>
      <c r="AJ191">
        <v>88.291559663629897</v>
      </c>
      <c r="AK191">
        <v>0.70948085232285696</v>
      </c>
    </row>
    <row r="192" spans="1:37" x14ac:dyDescent="0.2">
      <c r="A192" t="str">
        <f>"20200111150448602"</f>
        <v>20200111150448602</v>
      </c>
      <c r="B192" t="str">
        <f>"1578726288593391"</f>
        <v>1578726288593391</v>
      </c>
      <c r="C192" t="s">
        <v>37</v>
      </c>
      <c r="D192">
        <v>5.237978</v>
      </c>
      <c r="E192">
        <v>0.53454449999999998</v>
      </c>
      <c r="F192" t="s">
        <v>38</v>
      </c>
      <c r="G192">
        <v>-519.90800000000002</v>
      </c>
      <c r="H192">
        <v>0.93930079999999905</v>
      </c>
      <c r="I192">
        <v>375.78339999999997</v>
      </c>
      <c r="J192">
        <v>-520.59690000000001</v>
      </c>
      <c r="K192">
        <v>1.0524469999999999</v>
      </c>
      <c r="L192">
        <v>376.02170000000001</v>
      </c>
      <c r="M192">
        <v>0.95491519999999996</v>
      </c>
      <c r="N192">
        <v>0</v>
      </c>
      <c r="O192">
        <v>-0.2968788</v>
      </c>
      <c r="P192">
        <v>0.961180699999999</v>
      </c>
      <c r="Q192">
        <v>0.1243018</v>
      </c>
      <c r="R192">
        <v>-0.24633440000000001</v>
      </c>
      <c r="S192">
        <v>2.9283450000000002</v>
      </c>
      <c r="T192">
        <v>-0.54369009999999995</v>
      </c>
      <c r="U192">
        <v>-1.027039</v>
      </c>
      <c r="V192">
        <v>-5.0159450000000001E-2</v>
      </c>
      <c r="W192">
        <v>0.124095</v>
      </c>
      <c r="X192">
        <v>0.99100169999999999</v>
      </c>
      <c r="Y192">
        <v>3.9605149999999999E-2</v>
      </c>
      <c r="Z192">
        <v>4.8297569999999998E-2</v>
      </c>
      <c r="AA192">
        <v>0.99804749999999998</v>
      </c>
      <c r="AB192">
        <v>8</v>
      </c>
      <c r="AC192">
        <v>0.68889999999998897</v>
      </c>
      <c r="AD192">
        <v>-0.113146199999999</v>
      </c>
      <c r="AE192">
        <v>-0.23830000000003701</v>
      </c>
      <c r="AF192">
        <v>2.2494535339862801E-2</v>
      </c>
      <c r="AG192">
        <v>-0.113146199999999</v>
      </c>
      <c r="AH192">
        <v>0.71144670915025099</v>
      </c>
      <c r="AI192">
        <v>99.032019391499901</v>
      </c>
      <c r="AJ192">
        <v>88.189024289198002</v>
      </c>
      <c r="AK192">
        <v>0.72073884774952801</v>
      </c>
    </row>
    <row r="193" spans="1:37" x14ac:dyDescent="0.2">
      <c r="A193" t="str">
        <f>"20200111150448645"</f>
        <v>20200111150448645</v>
      </c>
      <c r="B193" t="str">
        <f>"1578726288633411"</f>
        <v>1578726288633411</v>
      </c>
      <c r="C193" t="s">
        <v>37</v>
      </c>
      <c r="D193">
        <v>5.2993579999999998</v>
      </c>
      <c r="E193">
        <v>0.5339235</v>
      </c>
      <c r="F193" t="s">
        <v>38</v>
      </c>
      <c r="G193">
        <v>-519.97529999999995</v>
      </c>
      <c r="H193">
        <v>0.93737939999999997</v>
      </c>
      <c r="I193">
        <v>375.803</v>
      </c>
      <c r="J193">
        <v>-520.73249999999996</v>
      </c>
      <c r="K193">
        <v>1.052457</v>
      </c>
      <c r="L193">
        <v>376.0634</v>
      </c>
      <c r="M193">
        <v>0.95477869999999998</v>
      </c>
      <c r="N193">
        <v>0</v>
      </c>
      <c r="O193">
        <v>-0.29731740000000001</v>
      </c>
      <c r="P193">
        <v>0.96017469999999905</v>
      </c>
      <c r="Q193">
        <v>0.13007560000000001</v>
      </c>
      <c r="R193">
        <v>-0.24727539999999901</v>
      </c>
      <c r="S193">
        <v>2.9273069999999999</v>
      </c>
      <c r="T193">
        <v>-0.54183970000000004</v>
      </c>
      <c r="U193">
        <v>-1.0298769999999999</v>
      </c>
      <c r="V193">
        <v>-4.9416750000000002E-2</v>
      </c>
      <c r="W193">
        <v>0.12948699999999999</v>
      </c>
      <c r="X193">
        <v>0.99034899999999904</v>
      </c>
      <c r="Y193">
        <v>4.0092580000000003E-2</v>
      </c>
      <c r="Z193">
        <v>4.8172430000000002E-2</v>
      </c>
      <c r="AA193">
        <v>0.99803410000000004</v>
      </c>
      <c r="AB193">
        <v>8</v>
      </c>
      <c r="AC193">
        <v>0.75720000000001098</v>
      </c>
      <c r="AD193">
        <v>-0.1150776</v>
      </c>
      <c r="AE193">
        <v>-0.26039999999994701</v>
      </c>
      <c r="AF193">
        <v>2.30201675898077E-2</v>
      </c>
      <c r="AG193">
        <v>-0.1150776</v>
      </c>
      <c r="AH193">
        <v>0.78418295669043703</v>
      </c>
      <c r="AI193">
        <v>98.344932104932894</v>
      </c>
      <c r="AJ193">
        <v>88.318530440464997</v>
      </c>
      <c r="AK193">
        <v>0.79291594239325203</v>
      </c>
    </row>
    <row r="194" spans="1:37" x14ac:dyDescent="0.2">
      <c r="A194" t="str">
        <f>"20200111150448667"</f>
        <v>20200111150448667</v>
      </c>
      <c r="B194" t="str">
        <f>"1578726288663667"</f>
        <v>1578726288663667</v>
      </c>
      <c r="C194" t="s">
        <v>37</v>
      </c>
      <c r="D194">
        <v>5.3269159999999998</v>
      </c>
      <c r="E194">
        <v>0.53307660000000001</v>
      </c>
      <c r="F194" t="s">
        <v>38</v>
      </c>
      <c r="G194">
        <v>-520.10130000000004</v>
      </c>
      <c r="H194">
        <v>0.9379537</v>
      </c>
      <c r="I194">
        <v>375.84179999999998</v>
      </c>
      <c r="J194">
        <v>-520.80060000000003</v>
      </c>
      <c r="K194">
        <v>1.05244</v>
      </c>
      <c r="L194">
        <v>376.08440000000002</v>
      </c>
      <c r="M194">
        <v>0.95471319999999904</v>
      </c>
      <c r="N194">
        <v>0</v>
      </c>
      <c r="O194">
        <v>-0.29752679999999998</v>
      </c>
      <c r="P194">
        <v>0.96021959999999995</v>
      </c>
      <c r="Q194">
        <v>0.13083800000000001</v>
      </c>
      <c r="R194">
        <v>-0.2466981</v>
      </c>
      <c r="S194">
        <v>2.9316409999999999</v>
      </c>
      <c r="T194">
        <v>-0.53189839999999999</v>
      </c>
      <c r="U194">
        <v>-1.0288389999999901</v>
      </c>
      <c r="V194">
        <v>-5.0197650000000003E-2</v>
      </c>
      <c r="W194">
        <v>0.13008330000000001</v>
      </c>
      <c r="X194">
        <v>0.99023159999999899</v>
      </c>
      <c r="Y194">
        <v>3.8973050000000002E-2</v>
      </c>
      <c r="Z194">
        <v>4.7373129999999999E-2</v>
      </c>
      <c r="AA194">
        <v>0.99811669999999997</v>
      </c>
      <c r="AB194">
        <v>8</v>
      </c>
      <c r="AC194">
        <v>0.69929999999999304</v>
      </c>
      <c r="AD194">
        <v>-0.1144863</v>
      </c>
      <c r="AE194">
        <v>-0.24260000000003801</v>
      </c>
      <c r="AF194">
        <v>2.3002632777167201E-2</v>
      </c>
      <c r="AG194">
        <v>-0.1144863</v>
      </c>
      <c r="AH194">
        <v>0.72252576019720904</v>
      </c>
      <c r="AI194">
        <v>98.999341420247205</v>
      </c>
      <c r="AJ194">
        <v>88.176523461193199</v>
      </c>
      <c r="AK194">
        <v>0.73190143335761204</v>
      </c>
    </row>
    <row r="195" spans="1:37" x14ac:dyDescent="0.2">
      <c r="A195" t="str">
        <f>"20200111150448714"</f>
        <v>20200111150448714</v>
      </c>
      <c r="B195" t="str">
        <f>"1578726288703682"</f>
        <v>1578726288703682</v>
      </c>
      <c r="C195" t="s">
        <v>37</v>
      </c>
      <c r="D195">
        <v>5.3028089999999999</v>
      </c>
      <c r="E195">
        <v>0.53218489999999996</v>
      </c>
      <c r="F195" t="s">
        <v>38</v>
      </c>
      <c r="G195">
        <v>-520.16150000000005</v>
      </c>
      <c r="H195">
        <v>0.93674389999999996</v>
      </c>
      <c r="I195">
        <v>375.8621</v>
      </c>
      <c r="J195">
        <v>-520.93510000000003</v>
      </c>
      <c r="K195">
        <v>1.0523959999999899</v>
      </c>
      <c r="L195">
        <v>376.12580000000003</v>
      </c>
      <c r="M195">
        <v>0.95459249999999995</v>
      </c>
      <c r="N195">
        <v>0</v>
      </c>
      <c r="O195">
        <v>-0.29791299999999998</v>
      </c>
      <c r="P195">
        <v>0.96021089999999998</v>
      </c>
      <c r="Q195">
        <v>0.12862299999999999</v>
      </c>
      <c r="R195">
        <v>-0.24789330000000001</v>
      </c>
      <c r="S195">
        <v>2.934631</v>
      </c>
      <c r="T195">
        <v>-0.53136430000000001</v>
      </c>
      <c r="U195">
        <v>-1.0199579999999999</v>
      </c>
      <c r="V195">
        <v>-4.9453129999999998E-2</v>
      </c>
      <c r="W195">
        <v>0.12758419999999901</v>
      </c>
      <c r="X195">
        <v>0.99059409999999903</v>
      </c>
      <c r="Y195">
        <v>3.5601090000000002E-2</v>
      </c>
      <c r="Z195">
        <v>4.7667220000000003E-2</v>
      </c>
      <c r="AA195">
        <v>0.99822860000000002</v>
      </c>
      <c r="AB195">
        <v>7</v>
      </c>
      <c r="AC195">
        <v>0.77359999999998696</v>
      </c>
      <c r="AD195">
        <v>-0.11565209999999899</v>
      </c>
      <c r="AE195">
        <v>-0.26370000000002802</v>
      </c>
      <c r="AF195">
        <v>2.0843207842794999E-2</v>
      </c>
      <c r="AG195">
        <v>-0.11565209999999899</v>
      </c>
      <c r="AH195">
        <v>0.80099433493360495</v>
      </c>
      <c r="AI195">
        <v>98.213167997790293</v>
      </c>
      <c r="AJ195">
        <v>88.509404685826397</v>
      </c>
      <c r="AK195">
        <v>0.809568880419274</v>
      </c>
    </row>
    <row r="196" spans="1:37" x14ac:dyDescent="0.2">
      <c r="A196" t="str">
        <f>"20200111150448756"</f>
        <v>20200111150448756</v>
      </c>
      <c r="B196" t="str">
        <f>"1578726288743698"</f>
        <v>1578726288743698</v>
      </c>
      <c r="C196" t="s">
        <v>37</v>
      </c>
      <c r="D196">
        <v>5.3466740000000001</v>
      </c>
      <c r="E196">
        <v>0.53132049999999997</v>
      </c>
      <c r="F196" t="s">
        <v>38</v>
      </c>
      <c r="G196">
        <v>-520.32860000000005</v>
      </c>
      <c r="H196">
        <v>0.940044199999999</v>
      </c>
      <c r="I196">
        <v>375.91559999999998</v>
      </c>
      <c r="J196">
        <v>-521.04629999999997</v>
      </c>
      <c r="K196">
        <v>1.052327</v>
      </c>
      <c r="L196">
        <v>376.16019999999997</v>
      </c>
      <c r="M196">
        <v>0.95450409999999997</v>
      </c>
      <c r="N196">
        <v>0</v>
      </c>
      <c r="O196">
        <v>-0.29819479999999998</v>
      </c>
      <c r="P196">
        <v>0.96012509999999995</v>
      </c>
      <c r="Q196">
        <v>0.1259594</v>
      </c>
      <c r="R196">
        <v>-0.24958730000000001</v>
      </c>
      <c r="S196">
        <v>2.9349369999999899</v>
      </c>
      <c r="T196">
        <v>-0.54383519999999996</v>
      </c>
      <c r="U196">
        <v>-1.015808</v>
      </c>
      <c r="V196">
        <v>-4.8100410000000003E-2</v>
      </c>
      <c r="W196">
        <v>0.12472569999999999</v>
      </c>
      <c r="X196">
        <v>0.99102469999999998</v>
      </c>
      <c r="Y196">
        <v>3.4209639999999999E-2</v>
      </c>
      <c r="Z196">
        <v>4.8949079999999999E-2</v>
      </c>
      <c r="AA196">
        <v>0.99821530000000003</v>
      </c>
      <c r="AB196">
        <v>7</v>
      </c>
      <c r="AC196">
        <v>0.71769999999992196</v>
      </c>
      <c r="AD196">
        <v>-0.1122828</v>
      </c>
      <c r="AE196">
        <v>-0.24459999999999099</v>
      </c>
      <c r="AF196">
        <v>1.9039790262674799E-2</v>
      </c>
      <c r="AG196">
        <v>-0.1122828</v>
      </c>
      <c r="AH196">
        <v>0.74172156562209801</v>
      </c>
      <c r="AI196">
        <v>98.605360655408504</v>
      </c>
      <c r="AJ196">
        <v>88.529555887957997</v>
      </c>
      <c r="AK196">
        <v>0.75041376699657003</v>
      </c>
    </row>
    <row r="197" spans="1:37" x14ac:dyDescent="0.2">
      <c r="A197" t="str">
        <f>"20200111150448776"</f>
        <v>20200111150448776</v>
      </c>
      <c r="B197" t="str">
        <f>"1578726288773954"</f>
        <v>1578726288773954</v>
      </c>
      <c r="C197" t="s">
        <v>37</v>
      </c>
      <c r="D197">
        <v>5.3259349999999896</v>
      </c>
      <c r="E197">
        <v>0.53106359999999997</v>
      </c>
      <c r="F197" t="s">
        <v>38</v>
      </c>
      <c r="G197">
        <v>-520.43320000000006</v>
      </c>
      <c r="H197">
        <v>0.93635480000000004</v>
      </c>
      <c r="I197">
        <v>375.9479</v>
      </c>
      <c r="J197">
        <v>-521.10040000000004</v>
      </c>
      <c r="K197">
        <v>1.052297</v>
      </c>
      <c r="L197">
        <v>376.17689999999999</v>
      </c>
      <c r="M197">
        <v>0.95446609999999998</v>
      </c>
      <c r="N197">
        <v>0</v>
      </c>
      <c r="O197">
        <v>-0.29831679999999999</v>
      </c>
      <c r="P197">
        <v>0.9601809</v>
      </c>
      <c r="Q197">
        <v>0.12482509999999999</v>
      </c>
      <c r="R197">
        <v>-0.249942999999999</v>
      </c>
      <c r="S197">
        <v>2.933411</v>
      </c>
      <c r="T197">
        <v>-0.55490660000000003</v>
      </c>
      <c r="U197">
        <v>-1.015808</v>
      </c>
      <c r="V197">
        <v>-4.7902680000000003E-2</v>
      </c>
      <c r="W197">
        <v>0.1235068</v>
      </c>
      <c r="X197">
        <v>0.99118689999999998</v>
      </c>
      <c r="Y197">
        <v>3.4400449999999999E-2</v>
      </c>
      <c r="Z197">
        <v>4.9957120000000001E-2</v>
      </c>
      <c r="AA197">
        <v>0.99815880000000001</v>
      </c>
      <c r="AB197">
        <v>6</v>
      </c>
      <c r="AC197">
        <v>0.66719999999997903</v>
      </c>
      <c r="AD197">
        <v>-0.1159422</v>
      </c>
      <c r="AE197">
        <v>-0.22899999999998499</v>
      </c>
      <c r="AF197">
        <v>1.90219057271616E-2</v>
      </c>
      <c r="AG197">
        <v>-0.1159422</v>
      </c>
      <c r="AH197">
        <v>0.68658671492753698</v>
      </c>
      <c r="AI197">
        <v>99.581361823173907</v>
      </c>
      <c r="AJ197">
        <v>88.413024648114103</v>
      </c>
      <c r="AK197">
        <v>0.69656711360307499</v>
      </c>
    </row>
    <row r="198" spans="1:37" x14ac:dyDescent="0.2">
      <c r="A198" t="str">
        <f>"20200111150448823"</f>
        <v>20200111150448823</v>
      </c>
      <c r="B198" t="str">
        <f>"1578726288813970"</f>
        <v>1578726288813970</v>
      </c>
      <c r="C198" t="s">
        <v>37</v>
      </c>
      <c r="D198">
        <v>5.3253810000000001</v>
      </c>
      <c r="E198">
        <v>0.53016660000000004</v>
      </c>
      <c r="F198" t="s">
        <v>38</v>
      </c>
      <c r="G198">
        <v>-520.48299999999995</v>
      </c>
      <c r="H198">
        <v>0.93423149999999999</v>
      </c>
      <c r="I198">
        <v>375.96260000000001</v>
      </c>
      <c r="J198">
        <v>-521.20870000000002</v>
      </c>
      <c r="K198">
        <v>1.052249</v>
      </c>
      <c r="L198">
        <v>376.21050000000002</v>
      </c>
      <c r="M198">
        <v>0.95440179999999997</v>
      </c>
      <c r="N198">
        <v>0</v>
      </c>
      <c r="O198">
        <v>-0.2985218</v>
      </c>
      <c r="P198">
        <v>0.96051549999999997</v>
      </c>
      <c r="Q198">
        <v>0.122998</v>
      </c>
      <c r="R198">
        <v>-0.24956320000000001</v>
      </c>
      <c r="S198">
        <v>2.93304399999999</v>
      </c>
      <c r="T198">
        <v>-0.56106630000000002</v>
      </c>
      <c r="U198">
        <v>-1.015228</v>
      </c>
      <c r="V198">
        <v>-4.8576330000000001E-2</v>
      </c>
      <c r="W198">
        <v>0.1215268</v>
      </c>
      <c r="X198">
        <v>0.99139880000000002</v>
      </c>
      <c r="Y198">
        <v>3.4144140000000003E-2</v>
      </c>
      <c r="Z198">
        <v>5.0569469999999998E-2</v>
      </c>
      <c r="AA198">
        <v>0.99813669999999999</v>
      </c>
      <c r="AB198">
        <v>6</v>
      </c>
      <c r="AC198">
        <v>0.72569999999996004</v>
      </c>
      <c r="AD198">
        <v>-0.118017499999999</v>
      </c>
      <c r="AE198">
        <v>-0.247900000000015</v>
      </c>
      <c r="AF198">
        <v>1.94971940222773E-2</v>
      </c>
      <c r="AG198">
        <v>-0.118017499999999</v>
      </c>
      <c r="AH198">
        <v>0.74887765913281501</v>
      </c>
      <c r="AI198">
        <v>98.952745414983397</v>
      </c>
      <c r="AJ198">
        <v>88.508628725987094</v>
      </c>
      <c r="AK198">
        <v>0.75837063447185005</v>
      </c>
    </row>
    <row r="199" spans="1:37" x14ac:dyDescent="0.2">
      <c r="A199" t="str">
        <f>"20200111150448845"</f>
        <v>20200111150448845</v>
      </c>
      <c r="B199" t="str">
        <f>"1578726288833490"</f>
        <v>1578726288833490</v>
      </c>
      <c r="C199" t="s">
        <v>37</v>
      </c>
      <c r="D199">
        <v>5.3658479999999997</v>
      </c>
      <c r="E199">
        <v>0.52997759999999905</v>
      </c>
      <c r="F199" t="s">
        <v>38</v>
      </c>
      <c r="G199">
        <v>-520.57629999999995</v>
      </c>
      <c r="H199">
        <v>0.92858369999999901</v>
      </c>
      <c r="I199">
        <v>375.9932</v>
      </c>
      <c r="J199">
        <v>-521.25630000000001</v>
      </c>
      <c r="K199">
        <v>1.052233</v>
      </c>
      <c r="L199">
        <v>376.22539999999998</v>
      </c>
      <c r="M199">
        <v>0.95437989999999995</v>
      </c>
      <c r="N199">
        <v>0</v>
      </c>
      <c r="O199">
        <v>-0.29859150000000001</v>
      </c>
      <c r="P199">
        <v>0.96052479999999996</v>
      </c>
      <c r="Q199">
        <v>0.1218595</v>
      </c>
      <c r="R199">
        <v>-0.250085</v>
      </c>
      <c r="S199">
        <v>2.93499799999999</v>
      </c>
      <c r="T199">
        <v>-0.57383479999999998</v>
      </c>
      <c r="U199">
        <v>-1.007477</v>
      </c>
      <c r="V199">
        <v>-4.8152279999999999E-2</v>
      </c>
      <c r="W199">
        <v>0.1203259</v>
      </c>
      <c r="X199">
        <v>0.9915659</v>
      </c>
      <c r="Y199">
        <v>3.173488E-2</v>
      </c>
      <c r="Z199">
        <v>5.1934470000000003E-2</v>
      </c>
      <c r="AA199">
        <v>0.99814609999999904</v>
      </c>
      <c r="AB199">
        <v>5</v>
      </c>
      <c r="AC199">
        <v>0.680000000000063</v>
      </c>
      <c r="AD199">
        <v>-0.1236493</v>
      </c>
      <c r="AE199">
        <v>-0.23219999999997701</v>
      </c>
      <c r="AF199">
        <v>1.8030882848635001E-2</v>
      </c>
      <c r="AG199">
        <v>-0.1236493</v>
      </c>
      <c r="AH199">
        <v>0.69765316862910698</v>
      </c>
      <c r="AI199">
        <v>100.04722138100399</v>
      </c>
      <c r="AJ199">
        <v>88.519517143074196</v>
      </c>
      <c r="AK199">
        <v>0.70875539209590899</v>
      </c>
    </row>
    <row r="200" spans="1:37" x14ac:dyDescent="0.2">
      <c r="A200" t="str">
        <f>"20200111150448866"</f>
        <v>20200111150448866</v>
      </c>
      <c r="B200" t="str">
        <f>"1578726288863746"</f>
        <v>1578726288863746</v>
      </c>
      <c r="C200" t="s">
        <v>37</v>
      </c>
      <c r="D200">
        <v>5.3311320000000002</v>
      </c>
      <c r="E200">
        <v>0.52968110000000002</v>
      </c>
      <c r="F200" t="s">
        <v>38</v>
      </c>
      <c r="G200">
        <v>-520.61980000000005</v>
      </c>
      <c r="H200">
        <v>0.92685289999999998</v>
      </c>
      <c r="I200">
        <v>376.00670000000002</v>
      </c>
      <c r="J200">
        <v>-521.30099999999902</v>
      </c>
      <c r="K200">
        <v>1.0522260000000001</v>
      </c>
      <c r="L200">
        <v>376.23930000000001</v>
      </c>
      <c r="M200">
        <v>0.95436379999999998</v>
      </c>
      <c r="N200">
        <v>0</v>
      </c>
      <c r="O200">
        <v>-0.29864220000000002</v>
      </c>
      <c r="P200">
        <v>0.96052179999999998</v>
      </c>
      <c r="Q200">
        <v>0.1213422</v>
      </c>
      <c r="R200">
        <v>-0.2503475</v>
      </c>
      <c r="S200">
        <v>2.9342649999999999</v>
      </c>
      <c r="T200">
        <v>-0.57804829999999996</v>
      </c>
      <c r="U200">
        <v>-1.0074459999999901</v>
      </c>
      <c r="V200">
        <v>-4.795232E-2</v>
      </c>
      <c r="W200">
        <v>0.1197517</v>
      </c>
      <c r="X200">
        <v>0.99164519999999901</v>
      </c>
      <c r="Y200">
        <v>3.1813170000000002E-2</v>
      </c>
      <c r="Z200">
        <v>5.2322929999999997E-2</v>
      </c>
      <c r="AA200">
        <v>0.99812330000000005</v>
      </c>
      <c r="AB200">
        <v>5</v>
      </c>
      <c r="AC200">
        <v>0.68119999999987602</v>
      </c>
      <c r="AD200">
        <v>-0.12537309999999999</v>
      </c>
      <c r="AE200">
        <v>-0.23259999999999001</v>
      </c>
      <c r="AF200">
        <v>1.80038055200069E-2</v>
      </c>
      <c r="AG200">
        <v>-0.12537309999999999</v>
      </c>
      <c r="AH200">
        <v>0.69839101637071999</v>
      </c>
      <c r="AI200">
        <v>100.173859919745</v>
      </c>
      <c r="AJ200">
        <v>88.523300511216604</v>
      </c>
      <c r="AK200">
        <v>0.70978346202496101</v>
      </c>
    </row>
    <row r="201" spans="1:37" x14ac:dyDescent="0.2">
      <c r="A201" t="str">
        <f>"20200111150448914"</f>
        <v>20200111150448914</v>
      </c>
      <c r="B201" t="str">
        <f>"1578726288903762"</f>
        <v>1578726288903762</v>
      </c>
      <c r="C201" t="s">
        <v>37</v>
      </c>
      <c r="D201">
        <v>5.4326280000000002</v>
      </c>
      <c r="E201">
        <v>0.5295069</v>
      </c>
      <c r="F201" t="s">
        <v>38</v>
      </c>
      <c r="G201">
        <v>-520.66129999999998</v>
      </c>
      <c r="H201">
        <v>0.92529539999999999</v>
      </c>
      <c r="I201">
        <v>376.01929999999999</v>
      </c>
      <c r="J201">
        <v>-521.38980000000004</v>
      </c>
      <c r="K201">
        <v>1.0522119999999999</v>
      </c>
      <c r="L201">
        <v>376.267</v>
      </c>
      <c r="M201">
        <v>0.95434779999999997</v>
      </c>
      <c r="N201">
        <v>0</v>
      </c>
      <c r="O201">
        <v>-0.29869289999999998</v>
      </c>
      <c r="P201">
        <v>0.96063580000000004</v>
      </c>
      <c r="Q201">
        <v>0.12462769999999999</v>
      </c>
      <c r="R201">
        <v>-0.24828809999999901</v>
      </c>
      <c r="S201">
        <v>2.9342649999999999</v>
      </c>
      <c r="T201">
        <v>-0.5822929</v>
      </c>
      <c r="U201">
        <v>-1.0075379999999901</v>
      </c>
      <c r="V201">
        <v>-5.0003779999999998E-2</v>
      </c>
      <c r="W201">
        <v>0.122923399999999</v>
      </c>
      <c r="X201">
        <v>0.99115560000000003</v>
      </c>
      <c r="Y201">
        <v>3.1851570000000003E-2</v>
      </c>
      <c r="Z201">
        <v>5.2705519999999999E-2</v>
      </c>
      <c r="AA201">
        <v>0.99810200000000004</v>
      </c>
      <c r="AB201">
        <v>5</v>
      </c>
      <c r="AC201">
        <v>0.72850000000005299</v>
      </c>
      <c r="AD201">
        <v>-0.12691659999999999</v>
      </c>
      <c r="AE201">
        <v>-0.247700000000008</v>
      </c>
      <c r="AF201">
        <v>1.82964253905714E-2</v>
      </c>
      <c r="AG201">
        <v>-0.12691659999999999</v>
      </c>
      <c r="AH201">
        <v>0.74885626499455704</v>
      </c>
      <c r="AI201">
        <v>99.616302452697397</v>
      </c>
      <c r="AJ201">
        <v>88.600399724128906</v>
      </c>
      <c r="AK201">
        <v>0.75975541337935204</v>
      </c>
    </row>
    <row r="202" spans="1:37" x14ac:dyDescent="0.2">
      <c r="A202" t="str">
        <f>"20200111150448957"</f>
        <v>20200111150448957</v>
      </c>
      <c r="B202" t="str">
        <f>"1578726288953538"</f>
        <v>1578726288953538</v>
      </c>
      <c r="C202" t="s">
        <v>37</v>
      </c>
      <c r="D202">
        <v>5.4179709999999996</v>
      </c>
      <c r="E202">
        <v>0.47604179999999902</v>
      </c>
      <c r="F202" t="s">
        <v>38</v>
      </c>
      <c r="G202">
        <v>-520.76869999999997</v>
      </c>
      <c r="H202">
        <v>0.93119699999999905</v>
      </c>
      <c r="I202">
        <v>376.05470000000003</v>
      </c>
      <c r="J202">
        <v>-521.46230000000003</v>
      </c>
      <c r="K202">
        <v>1.0521860000000001</v>
      </c>
      <c r="L202">
        <v>376.28980000000001</v>
      </c>
      <c r="M202">
        <v>0.95435639999999999</v>
      </c>
      <c r="N202">
        <v>0</v>
      </c>
      <c r="O202">
        <v>-0.29866520000000002</v>
      </c>
      <c r="P202">
        <v>0.96159169999999905</v>
      </c>
      <c r="Q202">
        <v>0.12827819999999901</v>
      </c>
      <c r="R202">
        <v>-0.2426654</v>
      </c>
      <c r="S202">
        <v>2.9380489999999999</v>
      </c>
      <c r="T202">
        <v>-0.57259189999999904</v>
      </c>
      <c r="U202">
        <v>-1.0030209999999999</v>
      </c>
      <c r="V202">
        <v>-5.5625250000000001E-2</v>
      </c>
      <c r="W202">
        <v>0.12647269999999999</v>
      </c>
      <c r="X202">
        <v>0.99040930000000005</v>
      </c>
      <c r="Y202">
        <v>2.998959E-2</v>
      </c>
      <c r="Z202">
        <v>5.1966289999999998E-2</v>
      </c>
      <c r="AA202">
        <v>0.99819840000000004</v>
      </c>
      <c r="AB202">
        <v>4</v>
      </c>
      <c r="AC202">
        <v>0.69360000000005995</v>
      </c>
      <c r="AD202">
        <v>-0.120989</v>
      </c>
      <c r="AE202">
        <v>-0.23509999999998801</v>
      </c>
      <c r="AF202">
        <v>1.6757675883009901E-2</v>
      </c>
      <c r="AG202">
        <v>-0.120989</v>
      </c>
      <c r="AH202">
        <v>0.71270740442860503</v>
      </c>
      <c r="AI202">
        <v>99.632051448011097</v>
      </c>
      <c r="AJ202">
        <v>88.653069664181203</v>
      </c>
      <c r="AK202">
        <v>0.72309819675432696</v>
      </c>
    </row>
    <row r="203" spans="1:37" x14ac:dyDescent="0.2">
      <c r="A203" t="str">
        <f>"20200111150448980"</f>
        <v>20200111150448980</v>
      </c>
      <c r="B203" t="str">
        <f>"1578726288973058"</f>
        <v>1578726288973058</v>
      </c>
      <c r="C203" t="s">
        <v>37</v>
      </c>
      <c r="D203">
        <v>5.3959199999999896</v>
      </c>
      <c r="E203">
        <v>0.46537119999999998</v>
      </c>
      <c r="F203" t="s">
        <v>40</v>
      </c>
      <c r="G203">
        <v>-509.55880000000002</v>
      </c>
      <c r="H203" s="1">
        <v>-8.8993979999999994E-6</v>
      </c>
      <c r="I203">
        <v>374.06310000000002</v>
      </c>
      <c r="J203">
        <v>-521.49739999999997</v>
      </c>
      <c r="K203">
        <v>1.052179</v>
      </c>
      <c r="L203">
        <v>376.30079999999998</v>
      </c>
      <c r="M203">
        <v>0.954370099999999</v>
      </c>
      <c r="N203">
        <v>0</v>
      </c>
      <c r="O203">
        <v>-0.29862040000000001</v>
      </c>
      <c r="P203">
        <v>0.96186510000000003</v>
      </c>
      <c r="Q203">
        <v>0.12914809999999999</v>
      </c>
      <c r="R203">
        <v>-0.24111489999999999</v>
      </c>
      <c r="S203">
        <v>3.0130619999999899</v>
      </c>
      <c r="T203">
        <v>-0.2663375</v>
      </c>
      <c r="U203">
        <v>-0.56362919999999905</v>
      </c>
      <c r="V203">
        <v>-5.7139410000000002E-2</v>
      </c>
      <c r="W203">
        <v>0.1272867</v>
      </c>
      <c r="X203">
        <v>0.99021879999999995</v>
      </c>
      <c r="Y203">
        <v>-0.1165301</v>
      </c>
      <c r="Z203">
        <v>3.0732820000000001E-2</v>
      </c>
      <c r="AA203">
        <v>0.99271149999999997</v>
      </c>
      <c r="AB203">
        <v>4</v>
      </c>
      <c r="AC203">
        <v>11.9385999999999</v>
      </c>
      <c r="AD203">
        <v>-1.0521878993980001</v>
      </c>
      <c r="AE203">
        <v>-2.2376999999999598</v>
      </c>
      <c r="AF203">
        <v>-1.4188710866965699</v>
      </c>
      <c r="AG203">
        <v>-1.0521878993980001</v>
      </c>
      <c r="AH203">
        <v>11.9722492804382</v>
      </c>
      <c r="AI203">
        <v>94.987839241662599</v>
      </c>
      <c r="AJ203">
        <v>96.758787761030703</v>
      </c>
      <c r="AK203">
        <v>12.1018613183781</v>
      </c>
    </row>
    <row r="204" spans="1:37" x14ac:dyDescent="0.2">
      <c r="A204" t="str">
        <f>"20200111150449006"</f>
        <v>20200111150449006</v>
      </c>
      <c r="B204" t="str">
        <f>"1578726289003314"</f>
        <v>1578726289003314</v>
      </c>
      <c r="C204" t="s">
        <v>37</v>
      </c>
      <c r="D204">
        <v>6.0590440000000001</v>
      </c>
      <c r="E204">
        <v>0.46088190000000001</v>
      </c>
      <c r="F204" t="s">
        <v>40</v>
      </c>
      <c r="G204">
        <v>-505.14499999999998</v>
      </c>
      <c r="H204" s="1">
        <v>-1.07439699999999E-5</v>
      </c>
      <c r="I204">
        <v>373.74209999999999</v>
      </c>
      <c r="J204">
        <v>-521.53390000000002</v>
      </c>
      <c r="K204">
        <v>1.0521579999999999</v>
      </c>
      <c r="L204">
        <v>376.31229999999999</v>
      </c>
      <c r="M204">
        <v>0.95439289999999999</v>
      </c>
      <c r="N204">
        <v>0</v>
      </c>
      <c r="O204">
        <v>-0.29854720000000001</v>
      </c>
      <c r="P204">
        <v>0.96198150000000004</v>
      </c>
      <c r="Q204">
        <v>0.13040539999999901</v>
      </c>
      <c r="R204">
        <v>-0.2399715</v>
      </c>
      <c r="S204">
        <v>3.0263059999999999</v>
      </c>
      <c r="T204">
        <v>-0.19472629999999999</v>
      </c>
      <c r="U204">
        <v>-0.473541299999999</v>
      </c>
      <c r="V204">
        <v>-5.8188959999999998E-2</v>
      </c>
      <c r="W204">
        <v>0.1284785</v>
      </c>
      <c r="X204">
        <v>0.99000370000000004</v>
      </c>
      <c r="Y204">
        <v>-0.146541</v>
      </c>
      <c r="Z204">
        <v>2.3423679999999999E-2</v>
      </c>
      <c r="AA204">
        <v>0.98892719999999901</v>
      </c>
      <c r="AB204">
        <v>4</v>
      </c>
      <c r="AC204">
        <v>16.3889</v>
      </c>
      <c r="AD204">
        <v>-1.0521687439699901</v>
      </c>
      <c r="AE204">
        <v>-2.5701999999999998</v>
      </c>
      <c r="AF204">
        <v>-2.4301085299320699</v>
      </c>
      <c r="AG204">
        <v>-1.0521687439699901</v>
      </c>
      <c r="AH204">
        <v>16.3430631920689</v>
      </c>
      <c r="AI204">
        <v>93.643676265295099</v>
      </c>
      <c r="AJ204">
        <v>98.457546230954193</v>
      </c>
      <c r="AK204">
        <v>16.556213366376799</v>
      </c>
    </row>
    <row r="205" spans="1:37" x14ac:dyDescent="0.2">
      <c r="A205" t="str">
        <f>"20200111150449046"</f>
        <v>20200111150449046</v>
      </c>
      <c r="B205" t="str">
        <f>"1578726289043864"</f>
        <v>1578726289043864</v>
      </c>
      <c r="C205" t="s">
        <v>37</v>
      </c>
      <c r="D205">
        <v>5.3082760000000002</v>
      </c>
      <c r="E205">
        <v>0.45778599999999903</v>
      </c>
      <c r="F205" t="s">
        <v>40</v>
      </c>
      <c r="G205">
        <v>-505.27229999999997</v>
      </c>
      <c r="H205" s="1">
        <v>-1.0771240000000001E-5</v>
      </c>
      <c r="I205">
        <v>373.9803</v>
      </c>
      <c r="J205">
        <v>-521.5829</v>
      </c>
      <c r="K205">
        <v>1.0521290000000001</v>
      </c>
      <c r="L205">
        <v>376.3279</v>
      </c>
      <c r="M205">
        <v>0.95444269999999998</v>
      </c>
      <c r="N205">
        <v>0</v>
      </c>
      <c r="O205">
        <v>-0.29838759999999998</v>
      </c>
      <c r="P205">
        <v>0.96264550000000004</v>
      </c>
      <c r="Q205">
        <v>0.12983889999999901</v>
      </c>
      <c r="R205">
        <v>-0.23760410000000001</v>
      </c>
      <c r="S205">
        <v>3.0365599999999899</v>
      </c>
      <c r="T205">
        <v>-0.19647300000000001</v>
      </c>
      <c r="U205">
        <v>-0.43545529999999999</v>
      </c>
      <c r="V205">
        <v>-6.0479419999999999E-2</v>
      </c>
      <c r="W205">
        <v>0.12780459999999999</v>
      </c>
      <c r="X205">
        <v>0.98995359999999999</v>
      </c>
      <c r="Y205">
        <v>-0.1589682</v>
      </c>
      <c r="Z205">
        <v>2.3975139999999999E-2</v>
      </c>
      <c r="AA205">
        <v>0.98699249999999905</v>
      </c>
      <c r="AB205">
        <v>3</v>
      </c>
      <c r="AC205">
        <v>16.310600000000001</v>
      </c>
      <c r="AD205">
        <v>-1.05213977124</v>
      </c>
      <c r="AE205">
        <v>-2.3475999999999999</v>
      </c>
      <c r="AF205">
        <v>-2.61557357881478</v>
      </c>
      <c r="AG205">
        <v>-1.05213977124</v>
      </c>
      <c r="AH205">
        <v>16.202010432340199</v>
      </c>
      <c r="AI205">
        <v>93.668145808038304</v>
      </c>
      <c r="AJ205">
        <v>99.170433067877596</v>
      </c>
      <c r="AK205">
        <v>16.445466405489402</v>
      </c>
    </row>
    <row r="206" spans="1:37" x14ac:dyDescent="0.2">
      <c r="A206" t="str">
        <f>"20200111150449069"</f>
        <v>20200111150449069</v>
      </c>
      <c r="B206" t="str">
        <f>"1578726289063384"</f>
        <v>1578726289063384</v>
      </c>
      <c r="C206" t="s">
        <v>37</v>
      </c>
      <c r="D206">
        <v>5.3628869999999997</v>
      </c>
      <c r="E206">
        <v>0.45663679999999901</v>
      </c>
      <c r="F206" t="s">
        <v>40</v>
      </c>
      <c r="G206">
        <v>-505.9633</v>
      </c>
      <c r="H206" s="1">
        <v>-1.056121E-5</v>
      </c>
      <c r="I206">
        <v>374.25470000000001</v>
      </c>
      <c r="J206">
        <v>-521.60709999999995</v>
      </c>
      <c r="K206">
        <v>1.052117</v>
      </c>
      <c r="L206">
        <v>376.33569999999997</v>
      </c>
      <c r="M206">
        <v>0.95447839999999995</v>
      </c>
      <c r="N206">
        <v>0</v>
      </c>
      <c r="O206">
        <v>-0.29827229999999999</v>
      </c>
      <c r="P206">
        <v>0.96285560000000003</v>
      </c>
      <c r="Q206">
        <v>0.130442</v>
      </c>
      <c r="R206">
        <v>-0.23641909999999999</v>
      </c>
      <c r="S206">
        <v>3.04437299999999</v>
      </c>
      <c r="T206">
        <v>-0.20507020000000001</v>
      </c>
      <c r="U206">
        <v>-0.40408329999999998</v>
      </c>
      <c r="V206">
        <v>-6.155327E-2</v>
      </c>
      <c r="W206">
        <v>0.1283366</v>
      </c>
      <c r="X206">
        <v>0.98981859999999999</v>
      </c>
      <c r="Y206">
        <v>-0.1690767</v>
      </c>
      <c r="Z206">
        <v>2.531483E-2</v>
      </c>
      <c r="AA206">
        <v>0.98527770000000003</v>
      </c>
      <c r="AB206">
        <v>3</v>
      </c>
      <c r="AC206">
        <v>15.643799999999899</v>
      </c>
      <c r="AD206">
        <v>-1.0521275612100001</v>
      </c>
      <c r="AE206">
        <v>-2.08099999999996</v>
      </c>
      <c r="AF206">
        <v>-2.66799064495997</v>
      </c>
      <c r="AG206">
        <v>-1.0521275612100001</v>
      </c>
      <c r="AH206">
        <v>15.4835911135083</v>
      </c>
      <c r="AI206">
        <v>93.831051348317104</v>
      </c>
      <c r="AJ206">
        <v>99.776678636788802</v>
      </c>
      <c r="AK206">
        <v>15.7469597147184</v>
      </c>
    </row>
    <row r="207" spans="1:37" x14ac:dyDescent="0.2">
      <c r="A207" t="str">
        <f>"20200111150449117"</f>
        <v>20200111150449117</v>
      </c>
      <c r="B207" t="str">
        <f>"1578726289113160"</f>
        <v>1578726289113160</v>
      </c>
      <c r="C207" t="s">
        <v>37</v>
      </c>
      <c r="D207">
        <v>5.3368019999999996</v>
      </c>
      <c r="E207">
        <v>0.45474989999999998</v>
      </c>
      <c r="F207" t="s">
        <v>40</v>
      </c>
      <c r="G207">
        <v>-506.00900000000001</v>
      </c>
      <c r="H207" s="1">
        <v>-1.0568579999999999E-5</v>
      </c>
      <c r="I207">
        <v>374.33339999999998</v>
      </c>
      <c r="J207">
        <v>-521.64760000000001</v>
      </c>
      <c r="K207">
        <v>1.052052</v>
      </c>
      <c r="L207">
        <v>376.34870000000001</v>
      </c>
      <c r="M207">
        <v>0.95456569999999996</v>
      </c>
      <c r="N207">
        <v>0</v>
      </c>
      <c r="O207">
        <v>-0.29799059999999999</v>
      </c>
      <c r="P207">
        <v>0.96309489999999998</v>
      </c>
      <c r="Q207">
        <v>0.131573</v>
      </c>
      <c r="R207">
        <v>-0.23481269999999899</v>
      </c>
      <c r="S207">
        <v>3.047485</v>
      </c>
      <c r="T207">
        <v>-0.20556089999999999</v>
      </c>
      <c r="U207">
        <v>-0.39120479999999902</v>
      </c>
      <c r="V207">
        <v>-6.2866050000000007E-2</v>
      </c>
      <c r="W207">
        <v>0.129166899999999</v>
      </c>
      <c r="X207">
        <v>0.98962809999999901</v>
      </c>
      <c r="Y207">
        <v>-0.17299819999999999</v>
      </c>
      <c r="Z207">
        <v>2.5473180000000002E-2</v>
      </c>
      <c r="AA207">
        <v>0.98459269999999999</v>
      </c>
      <c r="AB207">
        <v>3</v>
      </c>
      <c r="AC207">
        <v>15.638599999999901</v>
      </c>
      <c r="AD207">
        <v>-1.05206256858</v>
      </c>
      <c r="AE207">
        <v>-2.0153000000000199</v>
      </c>
      <c r="AF207">
        <v>-2.7242996479280999</v>
      </c>
      <c r="AG207">
        <v>-1.05206256858</v>
      </c>
      <c r="AH207">
        <v>15.4598337350647</v>
      </c>
      <c r="AI207">
        <v>93.8341578491208</v>
      </c>
      <c r="AJ207">
        <v>99.993939244052001</v>
      </c>
      <c r="AK207">
        <v>15.733248340242801</v>
      </c>
    </row>
    <row r="208" spans="1:37" x14ac:dyDescent="0.2">
      <c r="A208" t="str">
        <f>"20200111150449159"</f>
        <v>20200111150449159</v>
      </c>
      <c r="B208" t="str">
        <f>"1578726289153176"</f>
        <v>1578726289153176</v>
      </c>
      <c r="C208" t="s">
        <v>37</v>
      </c>
      <c r="D208">
        <v>5.3373879999999998</v>
      </c>
      <c r="E208">
        <v>0.45433580000000001</v>
      </c>
      <c r="F208" t="s">
        <v>40</v>
      </c>
      <c r="G208">
        <v>-505.64</v>
      </c>
      <c r="H208" s="1">
        <v>-1.0752960000000001E-5</v>
      </c>
      <c r="I208">
        <v>374.39229999999998</v>
      </c>
      <c r="J208">
        <v>-521.67420000000004</v>
      </c>
      <c r="K208">
        <v>1.0519399999999901</v>
      </c>
      <c r="L208">
        <v>376.35730000000001</v>
      </c>
      <c r="M208">
        <v>0.95462760000000002</v>
      </c>
      <c r="N208">
        <v>0</v>
      </c>
      <c r="O208">
        <v>-0.29778929999999998</v>
      </c>
      <c r="P208">
        <v>0.96302600000000005</v>
      </c>
      <c r="Q208">
        <v>0.1304025</v>
      </c>
      <c r="R208">
        <v>-0.23574629999999899</v>
      </c>
      <c r="S208">
        <v>3.0513919999999999</v>
      </c>
      <c r="T208">
        <v>-0.20054449999999999</v>
      </c>
      <c r="U208">
        <v>-0.3729248</v>
      </c>
      <c r="V208">
        <v>-6.1733940000000001E-2</v>
      </c>
      <c r="W208">
        <v>0.12764329999999999</v>
      </c>
      <c r="X208">
        <v>0.98989699999999903</v>
      </c>
      <c r="Y208">
        <v>-0.17879349999999999</v>
      </c>
      <c r="Z208">
        <v>2.5011889999999998E-2</v>
      </c>
      <c r="AA208">
        <v>0.98356869999999996</v>
      </c>
      <c r="AB208">
        <v>2</v>
      </c>
      <c r="AC208">
        <v>16.034199999999998</v>
      </c>
      <c r="AD208">
        <v>-1.0519507529599901</v>
      </c>
      <c r="AE208">
        <v>-1.9650000000000301</v>
      </c>
      <c r="AF208">
        <v>-2.8867397247436202</v>
      </c>
      <c r="AG208">
        <v>-1.0519507529599901</v>
      </c>
      <c r="AH208">
        <v>15.824800985629899</v>
      </c>
      <c r="AI208">
        <v>93.741567070626999</v>
      </c>
      <c r="AJ208">
        <v>100.33814942808699</v>
      </c>
      <c r="AK208">
        <v>16.120303745893199</v>
      </c>
    </row>
    <row r="209" spans="1:37" x14ac:dyDescent="0.2">
      <c r="A209" t="str">
        <f>"20200111150449182"</f>
        <v>20200111150449182</v>
      </c>
      <c r="B209" t="str">
        <f>"1578726289173671"</f>
        <v>1578726289173671</v>
      </c>
      <c r="C209" t="s">
        <v>37</v>
      </c>
      <c r="D209">
        <v>5.3536929999999998</v>
      </c>
      <c r="E209">
        <v>0.45437929999999999</v>
      </c>
      <c r="F209" t="s">
        <v>40</v>
      </c>
      <c r="G209">
        <v>-506.3673</v>
      </c>
      <c r="H209" s="1">
        <v>-1.046325E-5</v>
      </c>
      <c r="I209">
        <v>374.48570000000001</v>
      </c>
      <c r="J209">
        <v>-521.68790000000001</v>
      </c>
      <c r="K209">
        <v>1.052114</v>
      </c>
      <c r="L209">
        <v>376.36169999999998</v>
      </c>
      <c r="M209">
        <v>0.95460149999999999</v>
      </c>
      <c r="N209">
        <v>0</v>
      </c>
      <c r="O209">
        <v>-0.29787929999999901</v>
      </c>
      <c r="P209">
        <v>0.96314109999999997</v>
      </c>
      <c r="Q209">
        <v>0.1292866</v>
      </c>
      <c r="R209">
        <v>-0.2358904</v>
      </c>
      <c r="S209">
        <v>3.0522459999999998</v>
      </c>
      <c r="T209">
        <v>-0.20976220000000001</v>
      </c>
      <c r="U209">
        <v>-0.37319949999999902</v>
      </c>
      <c r="V209">
        <v>-6.1702849999999997E-2</v>
      </c>
      <c r="W209">
        <v>0.1273397</v>
      </c>
      <c r="X209">
        <v>0.98993809999999904</v>
      </c>
      <c r="Y209">
        <v>-0.17873929999999999</v>
      </c>
      <c r="Z209">
        <v>2.615545E-2</v>
      </c>
      <c r="AA209">
        <v>0.9835488</v>
      </c>
      <c r="AB209">
        <v>1</v>
      </c>
      <c r="AC209">
        <v>15.320600000000001</v>
      </c>
      <c r="AD209">
        <v>-1.05212446325</v>
      </c>
      <c r="AE209">
        <v>-1.8759999999999699</v>
      </c>
      <c r="AF209">
        <v>-2.7600382743686702</v>
      </c>
      <c r="AG209">
        <v>-1.05212446325</v>
      </c>
      <c r="AH209">
        <v>15.113694207012699</v>
      </c>
      <c r="AI209">
        <v>93.917580961040599</v>
      </c>
      <c r="AJ209">
        <v>100.34922076924499</v>
      </c>
      <c r="AK209">
        <v>15.399627584628099</v>
      </c>
    </row>
    <row r="210" spans="1:37" x14ac:dyDescent="0.2">
      <c r="A210" t="str">
        <f>"20200111150449224"</f>
        <v>20200111150449224</v>
      </c>
      <c r="B210" t="str">
        <f>"1578726289213688"</f>
        <v>1578726289213688</v>
      </c>
      <c r="C210" t="s">
        <v>37</v>
      </c>
      <c r="D210">
        <v>5.3567159999999996</v>
      </c>
      <c r="E210">
        <v>0.45407799999999998</v>
      </c>
      <c r="F210" t="s">
        <v>40</v>
      </c>
      <c r="G210">
        <v>-506.88619999999997</v>
      </c>
      <c r="H210" s="1">
        <v>-1.0254709999999999E-5</v>
      </c>
      <c r="I210">
        <v>374.5471</v>
      </c>
      <c r="J210">
        <v>-521.71770000000004</v>
      </c>
      <c r="K210">
        <v>1.052848</v>
      </c>
      <c r="L210">
        <v>376.37079999999997</v>
      </c>
      <c r="M210">
        <v>0.95451640000000004</v>
      </c>
      <c r="N210">
        <v>0</v>
      </c>
      <c r="O210">
        <v>-0.29815510000000001</v>
      </c>
      <c r="P210">
        <v>0.96388240000000003</v>
      </c>
      <c r="Q210">
        <v>0.1247853</v>
      </c>
      <c r="R210">
        <v>-0.23528660000000001</v>
      </c>
      <c r="S210">
        <v>3.0523069999999999</v>
      </c>
      <c r="T210">
        <v>-0.216962399999999</v>
      </c>
      <c r="U210">
        <v>-0.37417600000000001</v>
      </c>
      <c r="V210">
        <v>-6.2753069999999994E-2</v>
      </c>
      <c r="W210">
        <v>0.12635209999999999</v>
      </c>
      <c r="X210">
        <v>0.98999859999999995</v>
      </c>
      <c r="Y210">
        <v>-0.17863979999999999</v>
      </c>
      <c r="Z210">
        <v>2.706482E-2</v>
      </c>
      <c r="AA210">
        <v>0.98354219999999903</v>
      </c>
      <c r="AB210">
        <v>1</v>
      </c>
      <c r="AC210">
        <v>14.8315</v>
      </c>
      <c r="AD210">
        <v>-1.0528582547100001</v>
      </c>
      <c r="AE210">
        <v>-1.8236999999999699</v>
      </c>
      <c r="AF210">
        <v>-2.6680934115771202</v>
      </c>
      <c r="AG210">
        <v>-1.0528582547100001</v>
      </c>
      <c r="AH210">
        <v>14.6280528645317</v>
      </c>
      <c r="AI210">
        <v>94.050188748095195</v>
      </c>
      <c r="AJ210">
        <v>100.336871694975</v>
      </c>
      <c r="AK210">
        <v>14.906614758721901</v>
      </c>
    </row>
    <row r="211" spans="1:37" x14ac:dyDescent="0.2">
      <c r="A211" t="str">
        <f>"20200111150449272"</f>
        <v>20200111150449272</v>
      </c>
      <c r="B211" t="str">
        <f>"1578726289263766"</f>
        <v>1578726289263766</v>
      </c>
      <c r="C211" t="s">
        <v>37</v>
      </c>
      <c r="D211">
        <v>5.4657549999999997</v>
      </c>
      <c r="E211">
        <v>0.50801579999999902</v>
      </c>
      <c r="F211" t="s">
        <v>40</v>
      </c>
      <c r="G211">
        <v>-507.73129999999998</v>
      </c>
      <c r="H211" s="1">
        <v>-9.9251699999999906E-6</v>
      </c>
      <c r="I211">
        <v>374.67579999999998</v>
      </c>
      <c r="J211">
        <v>-521.75040000000001</v>
      </c>
      <c r="K211">
        <v>1.0530870000000001</v>
      </c>
      <c r="L211">
        <v>376.38040000000001</v>
      </c>
      <c r="M211">
        <v>0.95441169999999997</v>
      </c>
      <c r="N211">
        <v>0</v>
      </c>
      <c r="O211">
        <v>-0.29847089999999998</v>
      </c>
      <c r="P211">
        <v>0.96414669999999902</v>
      </c>
      <c r="Q211">
        <v>0.1218306</v>
      </c>
      <c r="R211">
        <v>-0.23575109999999999</v>
      </c>
      <c r="S211">
        <v>3.0518800000000001</v>
      </c>
      <c r="T211">
        <v>-0.22973739999999901</v>
      </c>
      <c r="U211">
        <v>-0.36984250000000002</v>
      </c>
      <c r="V211">
        <v>-6.2729080000000007E-2</v>
      </c>
      <c r="W211">
        <v>0.12551760000000001</v>
      </c>
      <c r="X211">
        <v>0.99010619999999905</v>
      </c>
      <c r="Y211">
        <v>-0.18018039999999999</v>
      </c>
      <c r="Z211">
        <v>2.8742029999999998E-2</v>
      </c>
      <c r="AA211">
        <v>0.98321349999999996</v>
      </c>
      <c r="AB211">
        <v>2</v>
      </c>
      <c r="AC211">
        <v>14.0191</v>
      </c>
      <c r="AD211">
        <v>-1.05309692517</v>
      </c>
      <c r="AE211">
        <v>-1.7046000000000201</v>
      </c>
      <c r="AF211">
        <v>-2.5432781975839598</v>
      </c>
      <c r="AG211">
        <v>-1.05309692517</v>
      </c>
      <c r="AH211">
        <v>13.812056323054</v>
      </c>
      <c r="AI211">
        <v>94.288251190815203</v>
      </c>
      <c r="AJ211">
        <v>100.43327074582299</v>
      </c>
      <c r="AK211">
        <v>14.0836847804587</v>
      </c>
    </row>
    <row r="212" spans="1:37" x14ac:dyDescent="0.2">
      <c r="A212" t="str">
        <f>"20200111150449318"</f>
        <v>20200111150449318</v>
      </c>
      <c r="B212" t="str">
        <f>"1578726289313543"</f>
        <v>1578726289313543</v>
      </c>
      <c r="C212" t="s">
        <v>37</v>
      </c>
      <c r="D212">
        <v>5.1991680000000002</v>
      </c>
      <c r="E212">
        <v>0.5553382</v>
      </c>
      <c r="F212" t="s">
        <v>40</v>
      </c>
      <c r="G212">
        <v>-499.90989999999999</v>
      </c>
      <c r="H212" s="1">
        <v>-1.158246E-5</v>
      </c>
      <c r="I212">
        <v>370.53660000000002</v>
      </c>
      <c r="J212">
        <v>-521.78060000000005</v>
      </c>
      <c r="K212">
        <v>1.0533520000000001</v>
      </c>
      <c r="L212">
        <v>376.3895</v>
      </c>
      <c r="M212">
        <v>0.9543353</v>
      </c>
      <c r="N212">
        <v>0</v>
      </c>
      <c r="O212">
        <v>-0.29868749999999999</v>
      </c>
      <c r="P212">
        <v>0.96359240000000002</v>
      </c>
      <c r="Q212">
        <v>0.121938799999999</v>
      </c>
      <c r="R212">
        <v>-0.2379522</v>
      </c>
      <c r="S212">
        <v>2.9372560000000001</v>
      </c>
      <c r="T212">
        <v>-0.1416277</v>
      </c>
      <c r="U212">
        <v>-0.78591919999999904</v>
      </c>
      <c r="V212">
        <v>-6.0724819999999999E-2</v>
      </c>
      <c r="W212">
        <v>0.12739310000000001</v>
      </c>
      <c r="X212">
        <v>0.98999169999999903</v>
      </c>
      <c r="Y212">
        <v>-4.1510489999999997E-2</v>
      </c>
      <c r="Z212">
        <v>1.4827150000000001E-2</v>
      </c>
      <c r="AA212">
        <v>0.99902800000000003</v>
      </c>
      <c r="AB212">
        <v>2</v>
      </c>
      <c r="AC212">
        <v>21.870699999999999</v>
      </c>
      <c r="AD212">
        <v>-1.0533635824600001</v>
      </c>
      <c r="AE212">
        <v>-5.8528999999999698</v>
      </c>
      <c r="AF212">
        <v>-0.94484451484961296</v>
      </c>
      <c r="AG212">
        <v>-1.0533635824600001</v>
      </c>
      <c r="AH212">
        <v>22.5716472796407</v>
      </c>
      <c r="AI212">
        <v>92.6695808928784</v>
      </c>
      <c r="AJ212">
        <v>92.396990169219904</v>
      </c>
      <c r="AK212">
        <v>22.615958235516</v>
      </c>
    </row>
    <row r="213" spans="1:37" x14ac:dyDescent="0.2">
      <c r="A213" t="str">
        <f>"20200111150449359"</f>
        <v>20200111150449359</v>
      </c>
      <c r="B213" t="str">
        <f>"1578726289353090"</f>
        <v>1578726289353090</v>
      </c>
      <c r="C213" t="s">
        <v>37</v>
      </c>
      <c r="D213">
        <v>5.1295299999999999</v>
      </c>
      <c r="E213">
        <v>0.55721709999999902</v>
      </c>
      <c r="F213" t="s">
        <v>38</v>
      </c>
      <c r="G213">
        <v>-521.1404</v>
      </c>
      <c r="H213">
        <v>0.94848539999999903</v>
      </c>
      <c r="I213">
        <v>376.13010000000003</v>
      </c>
      <c r="J213">
        <v>-521.81010000000003</v>
      </c>
      <c r="K213">
        <v>1.0534729999999899</v>
      </c>
      <c r="L213">
        <v>376.39859999999999</v>
      </c>
      <c r="M213">
        <v>0.95429750000000002</v>
      </c>
      <c r="N213">
        <v>0</v>
      </c>
      <c r="O213">
        <v>-0.298776599999999</v>
      </c>
      <c r="P213">
        <v>0.96363849999999995</v>
      </c>
      <c r="Q213">
        <v>0.11763179999999999</v>
      </c>
      <c r="R213">
        <v>-0.23992459999999999</v>
      </c>
      <c r="S213">
        <v>2.884277</v>
      </c>
      <c r="T213">
        <v>-0.47238530000000001</v>
      </c>
      <c r="U213">
        <v>-1.1696169999999999</v>
      </c>
      <c r="V213">
        <v>-5.8969229999999997E-2</v>
      </c>
      <c r="W213">
        <v>0.1245624</v>
      </c>
      <c r="X213">
        <v>0.9904579</v>
      </c>
      <c r="Y213">
        <v>8.405029E-2</v>
      </c>
      <c r="Z213">
        <v>3.9005310000000001E-2</v>
      </c>
      <c r="AA213">
        <v>0.99569779999999997</v>
      </c>
      <c r="AB213">
        <v>2</v>
      </c>
      <c r="AC213">
        <v>0.66970000000003405</v>
      </c>
      <c r="AD213">
        <v>-0.104987599999999</v>
      </c>
      <c r="AE213">
        <v>-0.26849999999995999</v>
      </c>
      <c r="AF213">
        <v>5.4975569186409501E-2</v>
      </c>
      <c r="AG213">
        <v>-0.104987599999999</v>
      </c>
      <c r="AH213">
        <v>0.70441756596042904</v>
      </c>
      <c r="AI213">
        <v>98.451733157594603</v>
      </c>
      <c r="AJ213">
        <v>85.537453394000295</v>
      </c>
      <c r="AK213">
        <v>0.71431702807279096</v>
      </c>
    </row>
    <row r="214" spans="1:37" x14ac:dyDescent="0.2">
      <c r="A214" t="str">
        <f>"20200111150449383"</f>
        <v>20200111150449383</v>
      </c>
      <c r="B214" t="str">
        <f>"1578726289373587"</f>
        <v>1578726289373587</v>
      </c>
      <c r="C214" t="s">
        <v>37</v>
      </c>
      <c r="D214">
        <v>5.0989180000000003</v>
      </c>
      <c r="E214">
        <v>0.55742809999999998</v>
      </c>
      <c r="F214" t="s">
        <v>38</v>
      </c>
      <c r="G214">
        <v>-521.17099999999903</v>
      </c>
      <c r="H214">
        <v>0.94489539999999905</v>
      </c>
      <c r="I214">
        <v>376.13400000000001</v>
      </c>
      <c r="J214">
        <v>-521.82590000000005</v>
      </c>
      <c r="K214">
        <v>1.053458</v>
      </c>
      <c r="L214">
        <v>376.40339999999998</v>
      </c>
      <c r="M214">
        <v>0.954287199999999</v>
      </c>
      <c r="N214">
        <v>0</v>
      </c>
      <c r="O214">
        <v>-0.29879629999999902</v>
      </c>
      <c r="P214">
        <v>0.96345759999999903</v>
      </c>
      <c r="Q214">
        <v>0.115047</v>
      </c>
      <c r="R214">
        <v>-0.24189659999999999</v>
      </c>
      <c r="S214">
        <v>2.8768310000000001</v>
      </c>
      <c r="T214">
        <v>-0.48894099999999902</v>
      </c>
      <c r="U214">
        <v>-1.1891780000000001</v>
      </c>
      <c r="V214">
        <v>-5.7056349999999999E-2</v>
      </c>
      <c r="W214">
        <v>0.122516899999999</v>
      </c>
      <c r="X214">
        <v>0.99082499999999996</v>
      </c>
      <c r="Y214">
        <v>9.0807719999999995E-2</v>
      </c>
      <c r="Z214">
        <v>3.984509E-2</v>
      </c>
      <c r="AA214">
        <v>0.99507099999999904</v>
      </c>
      <c r="AB214">
        <v>2</v>
      </c>
      <c r="AC214">
        <v>0.65490000000011095</v>
      </c>
      <c r="AD214">
        <v>-0.1085626</v>
      </c>
      <c r="AE214">
        <v>-0.269399999999961</v>
      </c>
      <c r="AF214">
        <v>5.9994980302075201E-2</v>
      </c>
      <c r="AG214">
        <v>-0.1085626</v>
      </c>
      <c r="AH214">
        <v>0.68927860236929495</v>
      </c>
      <c r="AI214">
        <v>98.917486763746396</v>
      </c>
      <c r="AJ214">
        <v>85.025498161745205</v>
      </c>
      <c r="AK214">
        <v>0.70035007493708101</v>
      </c>
    </row>
    <row r="215" spans="1:37" x14ac:dyDescent="0.2">
      <c r="A215" t="str">
        <f>"20200111150449425"</f>
        <v>20200111150449425</v>
      </c>
      <c r="B215" t="str">
        <f>"1578726289413602"</f>
        <v>1578726289413602</v>
      </c>
      <c r="C215" t="s">
        <v>37</v>
      </c>
      <c r="D215">
        <v>5.1146459999999996</v>
      </c>
      <c r="E215">
        <v>0.55504519999999902</v>
      </c>
      <c r="F215" t="s">
        <v>38</v>
      </c>
      <c r="G215">
        <v>-521.18619999999999</v>
      </c>
      <c r="H215">
        <v>0.94203630000000005</v>
      </c>
      <c r="I215">
        <v>376.13709999999998</v>
      </c>
      <c r="J215">
        <v>-521.85440000000006</v>
      </c>
      <c r="K215">
        <v>1.0534600000000001</v>
      </c>
      <c r="L215">
        <v>376.41239999999999</v>
      </c>
      <c r="M215">
        <v>0.95426819999999901</v>
      </c>
      <c r="N215">
        <v>0</v>
      </c>
      <c r="O215">
        <v>-0.2988325</v>
      </c>
      <c r="P215">
        <v>0.96326100000000003</v>
      </c>
      <c r="Q215">
        <v>0.11393109999999999</v>
      </c>
      <c r="R215">
        <v>-0.24320320000000001</v>
      </c>
      <c r="S215">
        <v>2.8737789999999999</v>
      </c>
      <c r="T215">
        <v>-0.50083169999999999</v>
      </c>
      <c r="U215">
        <v>-1.194153</v>
      </c>
      <c r="V215">
        <v>-5.5783100000000002E-2</v>
      </c>
      <c r="W215">
        <v>0.12230149999999999</v>
      </c>
      <c r="X215">
        <v>0.99092409999999997</v>
      </c>
      <c r="Y215">
        <v>9.2706700000000003E-2</v>
      </c>
      <c r="Z215">
        <v>4.0673090000000002E-2</v>
      </c>
      <c r="AA215">
        <v>0.99486239999999904</v>
      </c>
      <c r="AB215">
        <v>2</v>
      </c>
      <c r="AC215">
        <v>0.66820000000006896</v>
      </c>
      <c r="AD215">
        <v>-0.111423699999999</v>
      </c>
      <c r="AE215">
        <v>-0.27530000000001498</v>
      </c>
      <c r="AF215">
        <v>6.1568843588864601E-2</v>
      </c>
      <c r="AG215">
        <v>-0.111423699999999</v>
      </c>
      <c r="AH215">
        <v>0.70321991516052096</v>
      </c>
      <c r="AI215">
        <v>98.9697932347582</v>
      </c>
      <c r="AJ215">
        <v>84.996355529659098</v>
      </c>
      <c r="AK215">
        <v>0.71464971314688897</v>
      </c>
    </row>
    <row r="216" spans="1:37" x14ac:dyDescent="0.2">
      <c r="A216" t="str">
        <f>"20200111150449470"</f>
        <v>20200111150449470</v>
      </c>
      <c r="B216" t="str">
        <f>"1578726289463378"</f>
        <v>1578726289463378</v>
      </c>
      <c r="C216" t="s">
        <v>37</v>
      </c>
      <c r="D216">
        <v>5.067304</v>
      </c>
      <c r="E216">
        <v>0.55505319999999903</v>
      </c>
      <c r="F216" t="s">
        <v>38</v>
      </c>
      <c r="G216">
        <v>-521.21569999999997</v>
      </c>
      <c r="H216">
        <v>0.9348128</v>
      </c>
      <c r="I216">
        <v>376.14949999999999</v>
      </c>
      <c r="J216">
        <v>-521.88509999999997</v>
      </c>
      <c r="K216">
        <v>1.0534920000000001</v>
      </c>
      <c r="L216">
        <v>376.42189999999999</v>
      </c>
      <c r="M216">
        <v>0.9542351</v>
      </c>
      <c r="N216">
        <v>0</v>
      </c>
      <c r="O216">
        <v>-0.29891609999999902</v>
      </c>
      <c r="P216">
        <v>0.96306290000000006</v>
      </c>
      <c r="Q216">
        <v>0.1149987</v>
      </c>
      <c r="R216">
        <v>-0.24348429999999999</v>
      </c>
      <c r="S216">
        <v>2.8792110000000002</v>
      </c>
      <c r="T216">
        <v>-0.53500080000000005</v>
      </c>
      <c r="U216">
        <v>-1.1822509999999999</v>
      </c>
      <c r="V216">
        <v>-5.5537089999999997E-2</v>
      </c>
      <c r="W216">
        <v>0.124112899999999</v>
      </c>
      <c r="X216">
        <v>0.9907127</v>
      </c>
      <c r="Y216">
        <v>8.8836990000000005E-2</v>
      </c>
      <c r="Z216">
        <v>4.3730499999999999E-2</v>
      </c>
      <c r="AA216">
        <v>0.99508569999999996</v>
      </c>
      <c r="AB216">
        <v>2</v>
      </c>
      <c r="AC216">
        <v>0.669399999999996</v>
      </c>
      <c r="AD216">
        <v>-0.118679199999999</v>
      </c>
      <c r="AE216">
        <v>-0.27240000000000397</v>
      </c>
      <c r="AF216">
        <v>5.8270363341199803E-2</v>
      </c>
      <c r="AG216">
        <v>-0.118679199999999</v>
      </c>
      <c r="AH216">
        <v>0.70130807256712202</v>
      </c>
      <c r="AI216">
        <v>99.572537601529504</v>
      </c>
      <c r="AJ216">
        <v>85.250311869537896</v>
      </c>
      <c r="AK216">
        <v>0.71366182495939001</v>
      </c>
    </row>
    <row r="217" spans="1:37" x14ac:dyDescent="0.2">
      <c r="A217" t="str">
        <f>"20200111150449494"</f>
        <v>20200111150449494</v>
      </c>
      <c r="B217" t="str">
        <f>"1578726289483874"</f>
        <v>1578726289483874</v>
      </c>
      <c r="C217" t="s">
        <v>37</v>
      </c>
      <c r="D217">
        <v>5.0849159999999998</v>
      </c>
      <c r="E217">
        <v>0.55515719999999902</v>
      </c>
      <c r="F217" t="s">
        <v>38</v>
      </c>
      <c r="G217">
        <v>-521.24360000000001</v>
      </c>
      <c r="H217">
        <v>0.93361090000000002</v>
      </c>
      <c r="I217">
        <v>376.15730000000002</v>
      </c>
      <c r="J217">
        <v>-521.90160000000003</v>
      </c>
      <c r="K217">
        <v>1.053504</v>
      </c>
      <c r="L217">
        <v>376.4271</v>
      </c>
      <c r="M217">
        <v>0.95421209999999901</v>
      </c>
      <c r="N217">
        <v>0</v>
      </c>
      <c r="O217">
        <v>-0.29897959999999901</v>
      </c>
      <c r="P217">
        <v>0.96295159999999902</v>
      </c>
      <c r="Q217">
        <v>0.118125299999999</v>
      </c>
      <c r="R217">
        <v>-0.24242759999999999</v>
      </c>
      <c r="S217">
        <v>2.8795169999999999</v>
      </c>
      <c r="T217">
        <v>-0.53821509999999995</v>
      </c>
      <c r="U217">
        <v>-1.1859440000000001</v>
      </c>
      <c r="V217">
        <v>-5.6574060000000002E-2</v>
      </c>
      <c r="W217">
        <v>0.1275638</v>
      </c>
      <c r="X217">
        <v>0.99021550000000003</v>
      </c>
      <c r="Y217">
        <v>8.9842969999999994E-2</v>
      </c>
      <c r="Z217">
        <v>4.3893969999999997E-2</v>
      </c>
      <c r="AA217">
        <v>0.99498819999999999</v>
      </c>
      <c r="AB217">
        <v>2</v>
      </c>
      <c r="AC217">
        <v>0.65800000000001502</v>
      </c>
      <c r="AD217">
        <v>-0.119893099999999</v>
      </c>
      <c r="AE217">
        <v>-0.269799999999975</v>
      </c>
      <c r="AF217">
        <v>5.90425163842348E-2</v>
      </c>
      <c r="AG217">
        <v>-0.119893099999999</v>
      </c>
      <c r="AH217">
        <v>0.68898627247627797</v>
      </c>
      <c r="AI217">
        <v>99.836066664557194</v>
      </c>
      <c r="AJ217">
        <v>85.102017872046503</v>
      </c>
      <c r="AK217">
        <v>0.70182794033106699</v>
      </c>
    </row>
    <row r="218" spans="1:37" x14ac:dyDescent="0.2">
      <c r="A218" t="str">
        <f>"20200111150449517"</f>
        <v>20200111150449517</v>
      </c>
      <c r="B218" t="str">
        <f>"1578726289513154"</f>
        <v>1578726289513154</v>
      </c>
      <c r="C218" t="s">
        <v>37</v>
      </c>
      <c r="D218">
        <v>4.9982069999999998</v>
      </c>
      <c r="E218">
        <v>0.55514410000000003</v>
      </c>
      <c r="F218" t="s">
        <v>38</v>
      </c>
      <c r="G218">
        <v>-521.2681</v>
      </c>
      <c r="H218">
        <v>0.93779539999999995</v>
      </c>
      <c r="I218">
        <v>376.1662</v>
      </c>
      <c r="J218">
        <v>-521.91639999999995</v>
      </c>
      <c r="K218">
        <v>1.0535060000000001</v>
      </c>
      <c r="L218">
        <v>376.43169999999998</v>
      </c>
      <c r="M218">
        <v>0.95418809999999998</v>
      </c>
      <c r="N218">
        <v>0</v>
      </c>
      <c r="O218">
        <v>-0.29904709999999901</v>
      </c>
      <c r="P218">
        <v>0.96325869999999902</v>
      </c>
      <c r="Q218">
        <v>0.120488</v>
      </c>
      <c r="R218">
        <v>-0.24003269999999999</v>
      </c>
      <c r="S218">
        <v>2.881653</v>
      </c>
      <c r="T218">
        <v>-0.52646669999999995</v>
      </c>
      <c r="U218">
        <v>-1.1849670000000001</v>
      </c>
      <c r="V218">
        <v>-5.9015390000000001E-2</v>
      </c>
      <c r="W218">
        <v>0.1302015</v>
      </c>
      <c r="X218">
        <v>0.98972959999999999</v>
      </c>
      <c r="Y218">
        <v>8.9106560000000001E-2</v>
      </c>
      <c r="Z218">
        <v>4.2999790000000003E-2</v>
      </c>
      <c r="AA218">
        <v>0.99509349999999996</v>
      </c>
      <c r="AB218">
        <v>2</v>
      </c>
      <c r="AC218">
        <v>0.64829999999994903</v>
      </c>
      <c r="AD218">
        <v>-0.1157106</v>
      </c>
      <c r="AE218">
        <v>-0.26549999999997398</v>
      </c>
      <c r="AF218">
        <v>5.7888319173404403E-2</v>
      </c>
      <c r="AG218">
        <v>-0.1157106</v>
      </c>
      <c r="AH218">
        <v>0.67949351461934204</v>
      </c>
      <c r="AI218">
        <v>99.629938192047405</v>
      </c>
      <c r="AJ218">
        <v>85.130539394033804</v>
      </c>
      <c r="AK218">
        <v>0.69170184101159404</v>
      </c>
    </row>
    <row r="219" spans="1:37" x14ac:dyDescent="0.2">
      <c r="A219" t="str">
        <f>"20200111150449540"</f>
        <v>20200111150449540</v>
      </c>
      <c r="B219" t="str">
        <f>"1578726289533181"</f>
        <v>1578726289533181</v>
      </c>
      <c r="C219" t="s">
        <v>37</v>
      </c>
      <c r="D219">
        <v>4.9776739999999897</v>
      </c>
      <c r="E219">
        <v>0.55488549999999903</v>
      </c>
      <c r="F219" t="s">
        <v>38</v>
      </c>
      <c r="G219">
        <v>-521.28</v>
      </c>
      <c r="H219">
        <v>0.93991019999999903</v>
      </c>
      <c r="I219">
        <v>376.17189999999999</v>
      </c>
      <c r="J219">
        <v>-521.93259999999998</v>
      </c>
      <c r="K219">
        <v>1.053507</v>
      </c>
      <c r="L219">
        <v>376.43669999999997</v>
      </c>
      <c r="M219">
        <v>0.95416209999999901</v>
      </c>
      <c r="N219">
        <v>0</v>
      </c>
      <c r="O219">
        <v>-0.29911969999999999</v>
      </c>
      <c r="P219">
        <v>0.9639103</v>
      </c>
      <c r="Q219">
        <v>0.1198036</v>
      </c>
      <c r="R219">
        <v>-0.23774809999999999</v>
      </c>
      <c r="S219">
        <v>2.8853149999999999</v>
      </c>
      <c r="T219">
        <v>-0.51482740000000005</v>
      </c>
      <c r="U219">
        <v>-1.1777949999999999</v>
      </c>
      <c r="V219">
        <v>-6.1459239999999998E-2</v>
      </c>
      <c r="W219">
        <v>0.12981189999999901</v>
      </c>
      <c r="X219">
        <v>0.98963210000000001</v>
      </c>
      <c r="Y219">
        <v>8.6378949999999996E-2</v>
      </c>
      <c r="Z219">
        <v>4.228117E-2</v>
      </c>
      <c r="AA219">
        <v>0.99536469999999899</v>
      </c>
      <c r="AB219">
        <v>2</v>
      </c>
      <c r="AC219">
        <v>0.65260000000000595</v>
      </c>
      <c r="AD219">
        <v>-0.1135968</v>
      </c>
      <c r="AE219">
        <v>-0.264799999999979</v>
      </c>
      <c r="AF219">
        <v>5.6002561871616903E-2</v>
      </c>
      <c r="AG219">
        <v>-0.1135968</v>
      </c>
      <c r="AH219">
        <v>0.68413037722102199</v>
      </c>
      <c r="AI219">
        <v>99.396824768701606</v>
      </c>
      <c r="AJ219">
        <v>85.320231261108205</v>
      </c>
      <c r="AK219">
        <v>0.69575490867330703</v>
      </c>
    </row>
    <row r="220" spans="1:37" x14ac:dyDescent="0.2">
      <c r="A220" t="str">
        <f>"20200111150449583"</f>
        <v>20200111150449583</v>
      </c>
      <c r="B220" t="str">
        <f>"1578726289573197"</f>
        <v>1578726289573197</v>
      </c>
      <c r="C220" t="s">
        <v>37</v>
      </c>
      <c r="D220">
        <v>4.9050979999999997</v>
      </c>
      <c r="E220">
        <v>0.55500989999999994</v>
      </c>
      <c r="F220" t="s">
        <v>38</v>
      </c>
      <c r="G220">
        <v>-521.29390000000001</v>
      </c>
      <c r="H220">
        <v>0.93766309999999997</v>
      </c>
      <c r="I220">
        <v>376.17809999999997</v>
      </c>
      <c r="J220">
        <v>-521.96169999999995</v>
      </c>
      <c r="K220">
        <v>1.053499</v>
      </c>
      <c r="L220">
        <v>376.44569999999999</v>
      </c>
      <c r="M220">
        <v>0.95412059999999999</v>
      </c>
      <c r="N220">
        <v>0</v>
      </c>
      <c r="O220">
        <v>-0.29923509999999998</v>
      </c>
      <c r="P220">
        <v>0.96549609999999997</v>
      </c>
      <c r="Q220">
        <v>0.115362799999999</v>
      </c>
      <c r="R220">
        <v>-0.2334716</v>
      </c>
      <c r="S220">
        <v>2.8893430000000002</v>
      </c>
      <c r="T220">
        <v>-0.52415670000000003</v>
      </c>
      <c r="U220">
        <v>-1.1680299999999999</v>
      </c>
      <c r="V220">
        <v>-6.6122520000000004E-2</v>
      </c>
      <c r="W220">
        <v>0.125884199999999</v>
      </c>
      <c r="X220">
        <v>0.98983880000000002</v>
      </c>
      <c r="Y220">
        <v>8.302466E-2</v>
      </c>
      <c r="Z220">
        <v>4.3323399999999998E-2</v>
      </c>
      <c r="AA220">
        <v>0.99560530000000003</v>
      </c>
      <c r="AB220">
        <v>2</v>
      </c>
      <c r="AC220">
        <v>0.667799999999942</v>
      </c>
      <c r="AD220">
        <v>-0.11583589999999901</v>
      </c>
      <c r="AE220">
        <v>-0.26760000000001499</v>
      </c>
      <c r="AF220">
        <v>5.4094190962282303E-2</v>
      </c>
      <c r="AG220">
        <v>-0.11583589999999901</v>
      </c>
      <c r="AH220">
        <v>0.69915173756415305</v>
      </c>
      <c r="AI220">
        <v>99.379811674227497</v>
      </c>
      <c r="AJ220">
        <v>85.575772455720397</v>
      </c>
      <c r="AK220">
        <v>0.71074417997170303</v>
      </c>
    </row>
    <row r="221" spans="1:37" x14ac:dyDescent="0.2">
      <c r="A221" t="str">
        <f>"20200111150449605"</f>
        <v>20200111150449605</v>
      </c>
      <c r="B221" t="str">
        <f>"1578726289593693"</f>
        <v>1578726289593693</v>
      </c>
      <c r="C221" t="s">
        <v>37</v>
      </c>
      <c r="D221">
        <v>4.8827870000000004</v>
      </c>
      <c r="E221">
        <v>0.55509919999999902</v>
      </c>
      <c r="F221" t="s">
        <v>38</v>
      </c>
      <c r="G221">
        <v>-521.322</v>
      </c>
      <c r="H221">
        <v>0.93273069999999902</v>
      </c>
      <c r="I221">
        <v>376.18979999999999</v>
      </c>
      <c r="J221">
        <v>-521.97609999999997</v>
      </c>
      <c r="K221">
        <v>1.0535139999999901</v>
      </c>
      <c r="L221">
        <v>376.4502</v>
      </c>
      <c r="M221">
        <v>0.95410200000000001</v>
      </c>
      <c r="N221">
        <v>0</v>
      </c>
      <c r="O221">
        <v>-0.29928529999999998</v>
      </c>
      <c r="P221">
        <v>0.966014699999999</v>
      </c>
      <c r="Q221">
        <v>0.1143801</v>
      </c>
      <c r="R221">
        <v>-0.2318035</v>
      </c>
      <c r="S221">
        <v>2.8931879999999999</v>
      </c>
      <c r="T221">
        <v>-0.54638319999999996</v>
      </c>
      <c r="U221">
        <v>-1.154938</v>
      </c>
      <c r="V221">
        <v>-6.7914260000000004E-2</v>
      </c>
      <c r="W221">
        <v>0.1251553</v>
      </c>
      <c r="X221">
        <v>0.98980999999999997</v>
      </c>
      <c r="Y221">
        <v>7.8935630000000007E-2</v>
      </c>
      <c r="Z221">
        <v>4.5499589999999999E-2</v>
      </c>
      <c r="AA221">
        <v>0.99584079999999997</v>
      </c>
      <c r="AB221">
        <v>2</v>
      </c>
      <c r="AC221">
        <v>0.65409999999997104</v>
      </c>
      <c r="AD221">
        <v>-0.120783299999999</v>
      </c>
      <c r="AE221">
        <v>-0.26040000000000402</v>
      </c>
      <c r="AF221">
        <v>5.11822985872252E-2</v>
      </c>
      <c r="AG221">
        <v>-0.120783299999999</v>
      </c>
      <c r="AH221">
        <v>0.68198059631399199</v>
      </c>
      <c r="AI221">
        <v>100.01572490565999</v>
      </c>
      <c r="AJ221">
        <v>85.708026753430602</v>
      </c>
      <c r="AK221">
        <v>0.69448237342379704</v>
      </c>
    </row>
    <row r="222" spans="1:37" x14ac:dyDescent="0.2">
      <c r="A222" t="str">
        <f>"20200111150449625"</f>
        <v>20200111150449625</v>
      </c>
      <c r="B222" t="str">
        <f>"1578726289613213"</f>
        <v>1578726289613213</v>
      </c>
      <c r="C222" t="s">
        <v>37</v>
      </c>
      <c r="D222">
        <v>4.8655530000000002</v>
      </c>
      <c r="E222">
        <v>0.55526999999999904</v>
      </c>
      <c r="F222" t="s">
        <v>38</v>
      </c>
      <c r="G222">
        <v>-521.33540000000005</v>
      </c>
      <c r="H222">
        <v>0.93155469999999896</v>
      </c>
      <c r="I222">
        <v>376.19540000000001</v>
      </c>
      <c r="J222">
        <v>-521.9896</v>
      </c>
      <c r="K222">
        <v>1.053545</v>
      </c>
      <c r="L222">
        <v>376.45440000000002</v>
      </c>
      <c r="M222">
        <v>0.95408599999999999</v>
      </c>
      <c r="N222">
        <v>0</v>
      </c>
      <c r="O222">
        <v>-0.29932929999999902</v>
      </c>
      <c r="P222">
        <v>0.96646399999999999</v>
      </c>
      <c r="Q222">
        <v>0.1137276</v>
      </c>
      <c r="R222">
        <v>-0.23024649999999999</v>
      </c>
      <c r="S222">
        <v>2.8945310000000002</v>
      </c>
      <c r="T222">
        <v>-0.55098899999999995</v>
      </c>
      <c r="U222">
        <v>-1.150909</v>
      </c>
      <c r="V222">
        <v>-6.9579119999999994E-2</v>
      </c>
      <c r="W222">
        <v>0.124695899999999</v>
      </c>
      <c r="X222">
        <v>0.98975239999999998</v>
      </c>
      <c r="Y222">
        <v>7.7606499999999995E-2</v>
      </c>
      <c r="Z222">
        <v>4.5999930000000001E-2</v>
      </c>
      <c r="AA222">
        <v>0.99592230000000004</v>
      </c>
      <c r="AB222">
        <v>2</v>
      </c>
      <c r="AC222">
        <v>0.65419999999994605</v>
      </c>
      <c r="AD222">
        <v>-0.1219903</v>
      </c>
      <c r="AE222">
        <v>-0.259000000000014</v>
      </c>
      <c r="AF222">
        <v>4.97933657917492E-2</v>
      </c>
      <c r="AG222">
        <v>-0.1219903</v>
      </c>
      <c r="AH222">
        <v>0.681253400958165</v>
      </c>
      <c r="AI222">
        <v>100.125760094702</v>
      </c>
      <c r="AJ222">
        <v>85.819638449097297</v>
      </c>
      <c r="AK222">
        <v>0.69387838191431495</v>
      </c>
    </row>
    <row r="223" spans="1:37" x14ac:dyDescent="0.2">
      <c r="A223" t="str">
        <f>"20200111150449648"</f>
        <v>20200111150449648</v>
      </c>
      <c r="B223" t="str">
        <f>"1578726289643976"</f>
        <v>1578726289643976</v>
      </c>
      <c r="C223" t="s">
        <v>37</v>
      </c>
      <c r="D223">
        <v>4.8180559999999897</v>
      </c>
      <c r="E223">
        <v>0.55554309999999996</v>
      </c>
      <c r="F223" t="s">
        <v>38</v>
      </c>
      <c r="G223">
        <v>-521.34879999999998</v>
      </c>
      <c r="H223">
        <v>0.93051890000000004</v>
      </c>
      <c r="I223">
        <v>376.20060000000001</v>
      </c>
      <c r="J223">
        <v>-522.00239999999997</v>
      </c>
      <c r="K223">
        <v>1.053407</v>
      </c>
      <c r="L223">
        <v>376.45839999999998</v>
      </c>
      <c r="M223">
        <v>0.95408269999999995</v>
      </c>
      <c r="N223">
        <v>0</v>
      </c>
      <c r="O223">
        <v>-0.2993615</v>
      </c>
      <c r="P223">
        <v>0.96677659999999999</v>
      </c>
      <c r="Q223">
        <v>0.11546729999999999</v>
      </c>
      <c r="R223">
        <v>-0.2280586</v>
      </c>
      <c r="S223">
        <v>2.8963619999999999</v>
      </c>
      <c r="T223">
        <v>-0.55621350000000003</v>
      </c>
      <c r="U223">
        <v>-1.1466670000000001</v>
      </c>
      <c r="V223">
        <v>-7.1798470000000003E-2</v>
      </c>
      <c r="W223">
        <v>0.12583929999999999</v>
      </c>
      <c r="X223">
        <v>0.98944909999999997</v>
      </c>
      <c r="Y223">
        <v>7.6179949999999996E-2</v>
      </c>
      <c r="Z223">
        <v>4.6553120000000003E-2</v>
      </c>
      <c r="AA223">
        <v>0.99600669999999902</v>
      </c>
      <c r="AB223">
        <v>2</v>
      </c>
      <c r="AC223">
        <v>0.65359999999998297</v>
      </c>
      <c r="AD223">
        <v>-0.122888099999999</v>
      </c>
      <c r="AE223">
        <v>-0.25779999999997399</v>
      </c>
      <c r="AF223">
        <v>4.8809440913712497E-2</v>
      </c>
      <c r="AG223">
        <v>-0.122888099999999</v>
      </c>
      <c r="AH223">
        <v>0.67999995857490303</v>
      </c>
      <c r="AI223">
        <v>100.218072400824</v>
      </c>
      <c r="AJ223">
        <v>85.894430704918094</v>
      </c>
      <c r="AK223">
        <v>0.69273645082801105</v>
      </c>
    </row>
    <row r="224" spans="1:37" x14ac:dyDescent="0.2">
      <c r="A224" t="str">
        <f>"20200111150449674"</f>
        <v>20200111150449674</v>
      </c>
      <c r="B224" t="str">
        <f>"1578726289663496"</f>
        <v>1578726289663496</v>
      </c>
      <c r="C224" t="s">
        <v>37</v>
      </c>
      <c r="D224">
        <v>4.9153060000000002</v>
      </c>
      <c r="E224">
        <v>0.55561640000000001</v>
      </c>
      <c r="F224" t="s">
        <v>38</v>
      </c>
      <c r="G224">
        <v>-521.35879999999997</v>
      </c>
      <c r="H224">
        <v>0.93046359999999995</v>
      </c>
      <c r="I224">
        <v>376.2047</v>
      </c>
      <c r="J224">
        <v>-522.01239999999996</v>
      </c>
      <c r="K224">
        <v>1.0531440000000001</v>
      </c>
      <c r="L224">
        <v>376.4615</v>
      </c>
      <c r="M224">
        <v>0.95409619999999995</v>
      </c>
      <c r="N224">
        <v>0</v>
      </c>
      <c r="O224">
        <v>-0.29936049999999997</v>
      </c>
      <c r="P224">
        <v>0.96701680000000001</v>
      </c>
      <c r="Q224">
        <v>0.1181311</v>
      </c>
      <c r="R224">
        <v>-0.22566269999999999</v>
      </c>
      <c r="S224">
        <v>2.8995359999999999</v>
      </c>
      <c r="T224">
        <v>-0.55397189999999996</v>
      </c>
      <c r="U224">
        <v>-1.143219</v>
      </c>
      <c r="V224">
        <v>-7.4161669999999999E-2</v>
      </c>
      <c r="W224">
        <v>0.12721009999999999</v>
      </c>
      <c r="X224">
        <v>0.98909939999999996</v>
      </c>
      <c r="Y224">
        <v>7.4776690000000007E-2</v>
      </c>
      <c r="Z224">
        <v>4.6461719999999998E-2</v>
      </c>
      <c r="AA224">
        <v>0.99611740000000004</v>
      </c>
      <c r="AB224">
        <v>2</v>
      </c>
      <c r="AC224">
        <v>0.65359999999998297</v>
      </c>
      <c r="AD224">
        <v>-0.1226804</v>
      </c>
      <c r="AE224">
        <v>-0.25679999999999797</v>
      </c>
      <c r="AF224">
        <v>4.78903466127856E-2</v>
      </c>
      <c r="AG224">
        <v>-0.1226804</v>
      </c>
      <c r="AH224">
        <v>0.67975639177248204</v>
      </c>
      <c r="AI224">
        <v>100.205681301613</v>
      </c>
      <c r="AJ224">
        <v>85.970043937897699</v>
      </c>
      <c r="AK224">
        <v>0.69239635903028596</v>
      </c>
    </row>
    <row r="225" spans="1:37" x14ac:dyDescent="0.2">
      <c r="A225" t="str">
        <f>"20200111150449716"</f>
        <v>20200111150449716</v>
      </c>
      <c r="B225" t="str">
        <f>"1578726289703513"</f>
        <v>1578726289703513</v>
      </c>
      <c r="C225" t="s">
        <v>37</v>
      </c>
      <c r="D225">
        <v>4.7828970000000002</v>
      </c>
      <c r="E225">
        <v>0.55620590000000003</v>
      </c>
      <c r="F225" t="s">
        <v>38</v>
      </c>
      <c r="G225">
        <v>-521.37159999999994</v>
      </c>
      <c r="H225">
        <v>0.93212269999999897</v>
      </c>
      <c r="I225">
        <v>376.21019999999999</v>
      </c>
      <c r="J225">
        <v>-522.02269999999999</v>
      </c>
      <c r="K225">
        <v>1.0528930000000001</v>
      </c>
      <c r="L225">
        <v>376.46469999999999</v>
      </c>
      <c r="M225">
        <v>0.95413890000000001</v>
      </c>
      <c r="N225">
        <v>0</v>
      </c>
      <c r="O225">
        <v>-0.29928059999999901</v>
      </c>
      <c r="P225">
        <v>0.9682714</v>
      </c>
      <c r="Q225">
        <v>0.116265699999999</v>
      </c>
      <c r="R225">
        <v>-0.22120780000000001</v>
      </c>
      <c r="S225">
        <v>2.90387</v>
      </c>
      <c r="T225">
        <v>-0.54856479999999996</v>
      </c>
      <c r="U225">
        <v>-1.1376649999999999</v>
      </c>
      <c r="V225">
        <v>-7.8716120000000001E-2</v>
      </c>
      <c r="W225">
        <v>0.1232854</v>
      </c>
      <c r="X225">
        <v>0.98924439999999902</v>
      </c>
      <c r="Y225">
        <v>7.2667460000000003E-2</v>
      </c>
      <c r="Z225">
        <v>4.614803E-2</v>
      </c>
      <c r="AA225">
        <v>0.99628799999999995</v>
      </c>
      <c r="AB225">
        <v>1</v>
      </c>
      <c r="AC225">
        <v>0.65110000000004198</v>
      </c>
      <c r="AD225">
        <v>-0.1207703</v>
      </c>
      <c r="AE225">
        <v>-0.254500000000007</v>
      </c>
      <c r="AF225">
        <v>4.6577821264120703E-2</v>
      </c>
      <c r="AG225">
        <v>-0.1207703</v>
      </c>
      <c r="AH225">
        <v>0.677212569777915</v>
      </c>
      <c r="AI225">
        <v>100.08816853455799</v>
      </c>
      <c r="AJ225">
        <v>86.065465301834607</v>
      </c>
      <c r="AK225">
        <v>0.68947213392638995</v>
      </c>
    </row>
    <row r="226" spans="1:37" x14ac:dyDescent="0.2">
      <c r="A226" t="str">
        <f>"20200111150449850"</f>
        <v>20200111150449850</v>
      </c>
      <c r="B226" t="str">
        <f>"1578726289843587"</f>
        <v>1578726289843587</v>
      </c>
      <c r="C226" t="s">
        <v>37</v>
      </c>
      <c r="D226">
        <v>5.0985069999999997</v>
      </c>
      <c r="E226">
        <v>0.55658439999999998</v>
      </c>
      <c r="F226" t="s">
        <v>38</v>
      </c>
      <c r="G226">
        <v>-521.36279999999999</v>
      </c>
      <c r="H226">
        <v>0.93751260000000003</v>
      </c>
      <c r="I226">
        <v>376.21379999999999</v>
      </c>
      <c r="J226">
        <v>-521.99580000000003</v>
      </c>
      <c r="K226">
        <v>1.0526229999999901</v>
      </c>
      <c r="L226">
        <v>376.45679999999999</v>
      </c>
      <c r="M226">
        <v>0.95440049999999899</v>
      </c>
      <c r="N226">
        <v>0</v>
      </c>
      <c r="O226">
        <v>-0.29852319999999999</v>
      </c>
      <c r="P226">
        <v>0.96787809999999896</v>
      </c>
      <c r="Q226">
        <v>0.1297082</v>
      </c>
      <c r="R226">
        <v>-0.2153795</v>
      </c>
      <c r="S226">
        <v>2.920166</v>
      </c>
      <c r="T226">
        <v>-0.51678040000000003</v>
      </c>
      <c r="U226">
        <v>-1.115143</v>
      </c>
      <c r="V226">
        <v>-8.3392079999999993E-2</v>
      </c>
      <c r="W226">
        <v>0.1316291</v>
      </c>
      <c r="X226">
        <v>0.98778519999999903</v>
      </c>
      <c r="Y226">
        <v>6.4595479999999997E-2</v>
      </c>
      <c r="Z226">
        <v>4.392546E-2</v>
      </c>
      <c r="AA226">
        <v>0.99694430000000001</v>
      </c>
      <c r="AB226">
        <v>1</v>
      </c>
      <c r="AC226">
        <v>0.63300000000003798</v>
      </c>
      <c r="AD226">
        <v>-0.115110399999999</v>
      </c>
      <c r="AE226">
        <v>-0.242999999999995</v>
      </c>
      <c r="AF226">
        <v>4.1750883848188203E-2</v>
      </c>
      <c r="AG226">
        <v>-0.115110399999999</v>
      </c>
      <c r="AH226">
        <v>0.65772126004103404</v>
      </c>
      <c r="AI226">
        <v>99.907476826756195</v>
      </c>
      <c r="AJ226">
        <v>86.367847145261905</v>
      </c>
      <c r="AK226">
        <v>0.66902226898678896</v>
      </c>
    </row>
    <row r="227" spans="1:37" x14ac:dyDescent="0.2">
      <c r="A227" t="str">
        <f>"20200111150449872"</f>
        <v>20200111150449872</v>
      </c>
      <c r="B227" t="str">
        <f>"1578726289863108"</f>
        <v>1578726289863108</v>
      </c>
      <c r="C227" t="s">
        <v>37</v>
      </c>
      <c r="D227">
        <v>5.083615</v>
      </c>
      <c r="E227">
        <v>0.55663619999999903</v>
      </c>
      <c r="F227" t="s">
        <v>38</v>
      </c>
      <c r="G227">
        <v>-521.34469999999999</v>
      </c>
      <c r="H227">
        <v>0.93668569999999995</v>
      </c>
      <c r="I227">
        <v>376.20960000000002</v>
      </c>
      <c r="J227">
        <v>-521.98180000000002</v>
      </c>
      <c r="K227">
        <v>1.052565</v>
      </c>
      <c r="L227">
        <v>376.45260000000002</v>
      </c>
      <c r="M227">
        <v>0.95446229999999999</v>
      </c>
      <c r="N227">
        <v>0</v>
      </c>
      <c r="O227">
        <v>-0.298328599999999</v>
      </c>
      <c r="P227">
        <v>0.96832689999999999</v>
      </c>
      <c r="Q227">
        <v>0.12879489999999999</v>
      </c>
      <c r="R227">
        <v>-0.21390429999999899</v>
      </c>
      <c r="S227">
        <v>2.9226679999999998</v>
      </c>
      <c r="T227">
        <v>-0.52062249999999999</v>
      </c>
      <c r="U227">
        <v>-1.1083069999999999</v>
      </c>
      <c r="V227">
        <v>-8.4733729999999993E-2</v>
      </c>
      <c r="W227">
        <v>0.13014229999999999</v>
      </c>
      <c r="X227">
        <v>0.98786799999999997</v>
      </c>
      <c r="Y227">
        <v>6.2545039999999996E-2</v>
      </c>
      <c r="Z227">
        <v>4.4378290000000001E-2</v>
      </c>
      <c r="AA227">
        <v>0.99705499999999903</v>
      </c>
      <c r="AB227">
        <v>1</v>
      </c>
      <c r="AC227">
        <v>0.63710000000003197</v>
      </c>
      <c r="AD227">
        <v>-0.1158793</v>
      </c>
      <c r="AE227">
        <v>-0.242999999999995</v>
      </c>
      <c r="AF227">
        <v>4.0693949490606902E-2</v>
      </c>
      <c r="AG227">
        <v>-0.1158793</v>
      </c>
      <c r="AH227">
        <v>0.661478334172106</v>
      </c>
      <c r="AI227">
        <v>99.918003055191704</v>
      </c>
      <c r="AJ227">
        <v>86.479617455395697</v>
      </c>
      <c r="AK227">
        <v>0.67278346908402697</v>
      </c>
    </row>
    <row r="228" spans="1:37" x14ac:dyDescent="0.2">
      <c r="A228" t="str">
        <f>"20200111150449895"</f>
        <v>20200111150449895</v>
      </c>
      <c r="B228" t="str">
        <f>"1578726289883604"</f>
        <v>1578726289883604</v>
      </c>
      <c r="C228" t="s">
        <v>37</v>
      </c>
      <c r="D228">
        <v>4.962904</v>
      </c>
      <c r="E228">
        <v>0.55646459999999998</v>
      </c>
      <c r="F228" t="s">
        <v>38</v>
      </c>
      <c r="G228">
        <v>-521.31949999999995</v>
      </c>
      <c r="H228">
        <v>0.93393159999999897</v>
      </c>
      <c r="I228">
        <v>376.20280000000002</v>
      </c>
      <c r="J228">
        <v>-521.96600000000001</v>
      </c>
      <c r="K228">
        <v>1.0525009999999999</v>
      </c>
      <c r="L228">
        <v>376.4479</v>
      </c>
      <c r="M228">
        <v>0.95452559999999997</v>
      </c>
      <c r="N228">
        <v>0</v>
      </c>
      <c r="O228">
        <v>-0.29812739999999999</v>
      </c>
      <c r="P228">
        <v>0.96878169999999897</v>
      </c>
      <c r="Q228">
        <v>0.12735179999999999</v>
      </c>
      <c r="R228">
        <v>-0.21270559999999999</v>
      </c>
      <c r="S228">
        <v>2.92395</v>
      </c>
      <c r="T228">
        <v>-0.52369279999999996</v>
      </c>
      <c r="U228">
        <v>-1.1036680000000001</v>
      </c>
      <c r="V228">
        <v>-8.5804839999999993E-2</v>
      </c>
      <c r="W228">
        <v>0.12822120000000001</v>
      </c>
      <c r="X228">
        <v>0.98802670000000004</v>
      </c>
      <c r="Y228">
        <v>6.1277129999999999E-2</v>
      </c>
      <c r="Z228">
        <v>4.4709480000000003E-2</v>
      </c>
      <c r="AA228">
        <v>0.99711890000000003</v>
      </c>
      <c r="AB228">
        <v>1</v>
      </c>
      <c r="AC228">
        <v>0.64650000000006003</v>
      </c>
      <c r="AD228">
        <v>-0.11856940000000001</v>
      </c>
      <c r="AE228">
        <v>-0.245099999999979</v>
      </c>
      <c r="AF228">
        <v>4.00374082885806E-2</v>
      </c>
      <c r="AG228">
        <v>-0.11856940000000001</v>
      </c>
      <c r="AH228">
        <v>0.67045456139025095</v>
      </c>
      <c r="AI228">
        <v>100.011546622444</v>
      </c>
      <c r="AJ228">
        <v>86.582537246193198</v>
      </c>
      <c r="AK228">
        <v>0.68203446802036305</v>
      </c>
    </row>
    <row r="229" spans="1:37" x14ac:dyDescent="0.2">
      <c r="A229" t="str">
        <f>"20200111150449918"</f>
        <v>20200111150449918</v>
      </c>
      <c r="B229" t="str">
        <f>"1578726289913860"</f>
        <v>1578726289913860</v>
      </c>
      <c r="C229" t="s">
        <v>37</v>
      </c>
      <c r="D229">
        <v>5.0776309999999896</v>
      </c>
      <c r="E229">
        <v>0.5559868</v>
      </c>
      <c r="F229" t="s">
        <v>38</v>
      </c>
      <c r="G229">
        <v>-521.30330000000004</v>
      </c>
      <c r="H229">
        <v>0.93306019999999901</v>
      </c>
      <c r="I229">
        <v>376.19920000000002</v>
      </c>
      <c r="J229">
        <v>-521.94709999999998</v>
      </c>
      <c r="K229">
        <v>1.0524500000000001</v>
      </c>
      <c r="L229">
        <v>376.44229999999999</v>
      </c>
      <c r="M229">
        <v>0.95459539999999998</v>
      </c>
      <c r="N229">
        <v>0</v>
      </c>
      <c r="O229">
        <v>-0.2979057</v>
      </c>
      <c r="P229">
        <v>0.969172899999999</v>
      </c>
      <c r="Q229">
        <v>0.12605859999999999</v>
      </c>
      <c r="R229">
        <v>-0.21169250000000001</v>
      </c>
      <c r="S229">
        <v>2.925049</v>
      </c>
      <c r="T229">
        <v>-0.52729230000000005</v>
      </c>
      <c r="U229">
        <v>-1.0974120000000001</v>
      </c>
      <c r="V229">
        <v>-8.6659070000000005E-2</v>
      </c>
      <c r="W229">
        <v>0.1264911</v>
      </c>
      <c r="X229">
        <v>0.98817520000000003</v>
      </c>
      <c r="Y229">
        <v>5.9580859999999999E-2</v>
      </c>
      <c r="Z229">
        <v>4.5127309999999997E-2</v>
      </c>
      <c r="AA229">
        <v>0.9972029</v>
      </c>
      <c r="AB229">
        <v>2</v>
      </c>
      <c r="AC229">
        <v>0.64379999999994197</v>
      </c>
      <c r="AD229">
        <v>-0.1193898</v>
      </c>
      <c r="AE229">
        <v>-0.24309999999996901</v>
      </c>
      <c r="AF229">
        <v>3.9093784470344999E-2</v>
      </c>
      <c r="AG229">
        <v>-0.1193898</v>
      </c>
      <c r="AH229">
        <v>0.66691616117267805</v>
      </c>
      <c r="AI229">
        <v>100.13241720505199</v>
      </c>
      <c r="AJ229">
        <v>86.645232635119399</v>
      </c>
      <c r="AK229">
        <v>0.67864527874402503</v>
      </c>
    </row>
    <row r="230" spans="1:37" x14ac:dyDescent="0.2">
      <c r="A230" t="str">
        <f>"20200111150449963"</f>
        <v>20200111150449963</v>
      </c>
      <c r="B230" t="str">
        <f>"1578726289953876"</f>
        <v>1578726289953876</v>
      </c>
      <c r="C230" t="s">
        <v>37</v>
      </c>
      <c r="D230">
        <v>4.9608349999999897</v>
      </c>
      <c r="E230">
        <v>0.55564950000000002</v>
      </c>
      <c r="F230" t="s">
        <v>38</v>
      </c>
      <c r="G230">
        <v>-521.28489999999999</v>
      </c>
      <c r="H230">
        <v>0.93210360000000003</v>
      </c>
      <c r="I230">
        <v>376.19529999999997</v>
      </c>
      <c r="J230">
        <v>-521.90049999999997</v>
      </c>
      <c r="K230">
        <v>1.0523849999999999</v>
      </c>
      <c r="L230">
        <v>376.42829999999998</v>
      </c>
      <c r="M230">
        <v>0.95475290000000002</v>
      </c>
      <c r="N230">
        <v>0</v>
      </c>
      <c r="O230">
        <v>-0.29739969999999999</v>
      </c>
      <c r="P230">
        <v>0.96928419999999904</v>
      </c>
      <c r="Q230">
        <v>0.1208494</v>
      </c>
      <c r="R230">
        <v>-0.2142037</v>
      </c>
      <c r="S230">
        <v>2.9262700000000001</v>
      </c>
      <c r="T230">
        <v>-0.53175810000000001</v>
      </c>
      <c r="U230">
        <v>-1.0909420000000001</v>
      </c>
      <c r="V230">
        <v>-8.3769099999999999E-2</v>
      </c>
      <c r="W230">
        <v>0.1205422</v>
      </c>
      <c r="X230">
        <v>0.98916749999999998</v>
      </c>
      <c r="Y230">
        <v>5.8107140000000002E-2</v>
      </c>
      <c r="Z230">
        <v>4.5552750000000003E-2</v>
      </c>
      <c r="AA230">
        <v>0.99727049999999995</v>
      </c>
      <c r="AB230">
        <v>2</v>
      </c>
      <c r="AC230">
        <v>0.61559999999997195</v>
      </c>
      <c r="AD230">
        <v>-0.1202814</v>
      </c>
      <c r="AE230">
        <v>-0.23300000000000401</v>
      </c>
      <c r="AF230">
        <v>3.8105710960160098E-2</v>
      </c>
      <c r="AG230">
        <v>-0.1202814</v>
      </c>
      <c r="AH230">
        <v>0.63580853737462295</v>
      </c>
      <c r="AI230">
        <v>100.693795210741</v>
      </c>
      <c r="AJ230">
        <v>86.570212847873805</v>
      </c>
      <c r="AK230">
        <v>0.64820687792725296</v>
      </c>
    </row>
    <row r="231" spans="1:37" x14ac:dyDescent="0.2">
      <c r="A231" t="str">
        <f>"20200111150450005"</f>
        <v>20200111150450005</v>
      </c>
      <c r="B231" t="str">
        <f>"1578726289993892"</f>
        <v>1578726289993892</v>
      </c>
      <c r="C231" t="s">
        <v>37</v>
      </c>
      <c r="D231">
        <v>4.9855919999999996</v>
      </c>
      <c r="E231">
        <v>0.55537340000000002</v>
      </c>
      <c r="F231" t="s">
        <v>38</v>
      </c>
      <c r="G231">
        <v>-521.24369999999999</v>
      </c>
      <c r="H231">
        <v>0.92837309999999995</v>
      </c>
      <c r="I231">
        <v>376.18360000000001</v>
      </c>
      <c r="J231">
        <v>-521.84849999999994</v>
      </c>
      <c r="K231">
        <v>1.052378</v>
      </c>
      <c r="L231">
        <v>376.41269999999997</v>
      </c>
      <c r="M231">
        <v>0.95491269999999995</v>
      </c>
      <c r="N231">
        <v>0</v>
      </c>
      <c r="O231">
        <v>-0.29688639999999999</v>
      </c>
      <c r="P231">
        <v>0.96783909999999995</v>
      </c>
      <c r="Q231">
        <v>0.1196122</v>
      </c>
      <c r="R231">
        <v>-0.22131609999999999</v>
      </c>
      <c r="S231">
        <v>2.9231569999999998</v>
      </c>
      <c r="T231">
        <v>-0.55192779999999997</v>
      </c>
      <c r="U231">
        <v>-1.0893549999999901</v>
      </c>
      <c r="V231">
        <v>-7.6016260000000002E-2</v>
      </c>
      <c r="W231">
        <v>0.118785899999999</v>
      </c>
      <c r="X231">
        <v>0.99000580000000005</v>
      </c>
      <c r="Y231">
        <v>5.8756379999999997E-2</v>
      </c>
      <c r="Z231">
        <v>4.7158690000000003E-2</v>
      </c>
      <c r="AA231">
        <v>0.99715779999999998</v>
      </c>
      <c r="AB231">
        <v>2</v>
      </c>
      <c r="AC231">
        <v>0.60479999999995404</v>
      </c>
      <c r="AD231">
        <v>-0.1240049</v>
      </c>
      <c r="AE231">
        <v>-0.229099999999959</v>
      </c>
      <c r="AF231">
        <v>3.7823086056026203E-2</v>
      </c>
      <c r="AG231">
        <v>-0.1240049</v>
      </c>
      <c r="AH231">
        <v>0.62265667567127103</v>
      </c>
      <c r="AI231">
        <v>101.243151695873</v>
      </c>
      <c r="AJ231">
        <v>86.523857059080697</v>
      </c>
      <c r="AK231">
        <v>0.63601032760546505</v>
      </c>
    </row>
    <row r="232" spans="1:37" x14ac:dyDescent="0.2">
      <c r="A232" t="str">
        <f>"20200111150450054"</f>
        <v>20200111150450054</v>
      </c>
      <c r="B232" t="str">
        <f>"1578726290043668"</f>
        <v>1578726290043668</v>
      </c>
      <c r="C232" t="s">
        <v>37</v>
      </c>
      <c r="D232">
        <v>5.1777860000000002</v>
      </c>
      <c r="E232">
        <v>0.55522780000000005</v>
      </c>
      <c r="F232" t="s">
        <v>38</v>
      </c>
      <c r="G232">
        <v>-521.19399999999996</v>
      </c>
      <c r="H232">
        <v>0.92777730000000003</v>
      </c>
      <c r="I232">
        <v>376.16480000000001</v>
      </c>
      <c r="J232">
        <v>-521.77750000000003</v>
      </c>
      <c r="K232">
        <v>1.0523750000000001</v>
      </c>
      <c r="L232">
        <v>376.39139999999998</v>
      </c>
      <c r="M232">
        <v>0.95511329999999905</v>
      </c>
      <c r="N232">
        <v>0</v>
      </c>
      <c r="O232">
        <v>-0.29623829999999901</v>
      </c>
      <c r="P232">
        <v>0.96613289999999996</v>
      </c>
      <c r="Q232">
        <v>0.120599199999999</v>
      </c>
      <c r="R232">
        <v>-0.22812950000000001</v>
      </c>
      <c r="S232">
        <v>2.9157709999999999</v>
      </c>
      <c r="T232">
        <v>-0.55502819999999997</v>
      </c>
      <c r="U232">
        <v>-1.104584</v>
      </c>
      <c r="V232">
        <v>-6.8331959999999997E-2</v>
      </c>
      <c r="W232">
        <v>0.1193081</v>
      </c>
      <c r="X232">
        <v>0.99050309999999897</v>
      </c>
      <c r="Y232">
        <v>6.476817E-2</v>
      </c>
      <c r="Z232">
        <v>4.6818869999999999E-2</v>
      </c>
      <c r="AA232">
        <v>0.99680139999999995</v>
      </c>
      <c r="AB232">
        <v>3</v>
      </c>
      <c r="AC232">
        <v>0.58350000000007096</v>
      </c>
      <c r="AD232">
        <v>-0.12459769999999901</v>
      </c>
      <c r="AE232">
        <v>-0.226599999999962</v>
      </c>
      <c r="AF232">
        <v>4.19129913088825E-2</v>
      </c>
      <c r="AG232">
        <v>-0.12459769999999901</v>
      </c>
      <c r="AH232">
        <v>0.60063832137378403</v>
      </c>
      <c r="AI232">
        <v>101.691697284836</v>
      </c>
      <c r="AJ232">
        <v>86.008328212799697</v>
      </c>
      <c r="AK232">
        <v>0.61485581951256296</v>
      </c>
    </row>
    <row r="233" spans="1:37" x14ac:dyDescent="0.2">
      <c r="A233" t="str">
        <f>"20200111150450076"</f>
        <v>20200111150450076</v>
      </c>
      <c r="B233" t="str">
        <f>"1578726290073924"</f>
        <v>1578726290073924</v>
      </c>
      <c r="C233" t="s">
        <v>37</v>
      </c>
      <c r="D233">
        <v>5.0822690000000001</v>
      </c>
      <c r="E233">
        <v>0.55473950000000005</v>
      </c>
      <c r="F233" t="s">
        <v>38</v>
      </c>
      <c r="G233">
        <v>-521.10519999999997</v>
      </c>
      <c r="H233">
        <v>0.92516489999999996</v>
      </c>
      <c r="I233">
        <v>376.13159999999999</v>
      </c>
      <c r="J233">
        <v>-521.74059999999997</v>
      </c>
      <c r="K233">
        <v>1.0523750000000001</v>
      </c>
      <c r="L233">
        <v>376.38029999999998</v>
      </c>
      <c r="M233">
        <v>0.95521119999999904</v>
      </c>
      <c r="N233">
        <v>0</v>
      </c>
      <c r="O233">
        <v>-0.29592170000000001</v>
      </c>
      <c r="P233">
        <v>0.96557979999999999</v>
      </c>
      <c r="Q233">
        <v>0.12309489999999899</v>
      </c>
      <c r="R233">
        <v>-0.2291367</v>
      </c>
      <c r="S233">
        <v>2.90863</v>
      </c>
      <c r="T233">
        <v>-0.55050429999999995</v>
      </c>
      <c r="U233">
        <v>-1.123291</v>
      </c>
      <c r="V233">
        <v>-6.6878480000000004E-2</v>
      </c>
      <c r="W233">
        <v>0.1216337</v>
      </c>
      <c r="X233">
        <v>0.99031939999999996</v>
      </c>
      <c r="Y233">
        <v>7.1347129999999995E-2</v>
      </c>
      <c r="Z233">
        <v>4.583537E-2</v>
      </c>
      <c r="AA233">
        <v>0.99639789999999995</v>
      </c>
      <c r="AB233">
        <v>4</v>
      </c>
      <c r="AC233">
        <v>0.63540000000000396</v>
      </c>
      <c r="AD233">
        <v>-0.12721009999999999</v>
      </c>
      <c r="AE233">
        <v>-0.24869999999998499</v>
      </c>
      <c r="AF233">
        <v>4.7868646143374098E-2</v>
      </c>
      <c r="AG233">
        <v>-0.12721009999999999</v>
      </c>
      <c r="AH233">
        <v>0.65767853209479099</v>
      </c>
      <c r="AI233">
        <v>100.918946456946</v>
      </c>
      <c r="AJ233">
        <v>85.837109693581993</v>
      </c>
      <c r="AK233">
        <v>0.67157640548486297</v>
      </c>
    </row>
    <row r="234" spans="1:37" x14ac:dyDescent="0.2">
      <c r="A234" t="str">
        <f>"20200111150450119"</f>
        <v>20200111150450119</v>
      </c>
      <c r="B234" t="str">
        <f>"1578726290113940"</f>
        <v>1578726290113940</v>
      </c>
      <c r="C234" t="s">
        <v>37</v>
      </c>
      <c r="D234">
        <v>5.1644779999999999</v>
      </c>
      <c r="E234">
        <v>0.55402259999999903</v>
      </c>
      <c r="F234" t="s">
        <v>38</v>
      </c>
      <c r="G234">
        <v>-521.06939999999997</v>
      </c>
      <c r="H234">
        <v>0.9274732</v>
      </c>
      <c r="I234">
        <v>376.12090000000001</v>
      </c>
      <c r="J234">
        <v>-521.66179999999997</v>
      </c>
      <c r="K234">
        <v>1.05237</v>
      </c>
      <c r="L234">
        <v>376.35669999999999</v>
      </c>
      <c r="M234">
        <v>0.95541010000000004</v>
      </c>
      <c r="N234">
        <v>0</v>
      </c>
      <c r="O234">
        <v>-0.29527750000000003</v>
      </c>
      <c r="P234">
        <v>0.96578410000000003</v>
      </c>
      <c r="Q234">
        <v>0.12729949999999901</v>
      </c>
      <c r="R234">
        <v>-0.22595609999999999</v>
      </c>
      <c r="S234">
        <v>2.9092410000000002</v>
      </c>
      <c r="T234">
        <v>-0.54144919999999996</v>
      </c>
      <c r="U234">
        <v>-1.1238709999999901</v>
      </c>
      <c r="V234">
        <v>-6.9311429999999993E-2</v>
      </c>
      <c r="W234">
        <v>0.12556349999999999</v>
      </c>
      <c r="X234">
        <v>0.98966139999999903</v>
      </c>
      <c r="Y234">
        <v>7.1996809999999994E-2</v>
      </c>
      <c r="Z234">
        <v>4.4916949999999997E-2</v>
      </c>
      <c r="AA234">
        <v>0.99639299999999997</v>
      </c>
      <c r="AB234">
        <v>4</v>
      </c>
      <c r="AC234">
        <v>0.59239999999999704</v>
      </c>
      <c r="AD234">
        <v>-0.1248968</v>
      </c>
      <c r="AE234">
        <v>-0.235799999999983</v>
      </c>
      <c r="AF234">
        <v>4.8502310821209697E-2</v>
      </c>
      <c r="AG234">
        <v>-0.1248968</v>
      </c>
      <c r="AH234">
        <v>0.61212458533046299</v>
      </c>
      <c r="AI234">
        <v>101.49716058489599</v>
      </c>
      <c r="AJ234">
        <v>85.469576309456002</v>
      </c>
      <c r="AK234">
        <v>0.626616463852673</v>
      </c>
    </row>
    <row r="235" spans="1:37" x14ac:dyDescent="0.2">
      <c r="A235" t="str">
        <f>"20200111150450162"</f>
        <v>20200111150450162</v>
      </c>
      <c r="B235" t="str">
        <f>"1578726290153955"</f>
        <v>1578726290153955</v>
      </c>
      <c r="C235" t="s">
        <v>37</v>
      </c>
      <c r="D235">
        <v>5.1278889999999997</v>
      </c>
      <c r="E235">
        <v>0.54397010000000001</v>
      </c>
      <c r="F235" t="s">
        <v>38</v>
      </c>
      <c r="G235">
        <v>-520.99099999999999</v>
      </c>
      <c r="H235">
        <v>0.93075160000000001</v>
      </c>
      <c r="I235">
        <v>376.10149999999999</v>
      </c>
      <c r="J235">
        <v>-521.57479999999998</v>
      </c>
      <c r="K235">
        <v>1.052343</v>
      </c>
      <c r="L235">
        <v>376.33069999999998</v>
      </c>
      <c r="M235">
        <v>0.95561659999999904</v>
      </c>
      <c r="N235">
        <v>0</v>
      </c>
      <c r="O235">
        <v>-0.29460649999999999</v>
      </c>
      <c r="P235">
        <v>0.9668911</v>
      </c>
      <c r="Q235">
        <v>0.12869049999999899</v>
      </c>
      <c r="R235">
        <v>-0.2203639</v>
      </c>
      <c r="S235">
        <v>2.9162599999999999</v>
      </c>
      <c r="T235">
        <v>-0.52875539999999999</v>
      </c>
      <c r="U235">
        <v>-1.110107</v>
      </c>
      <c r="V235">
        <v>-7.4287790000000006E-2</v>
      </c>
      <c r="W235">
        <v>0.1267451</v>
      </c>
      <c r="X235">
        <v>0.98914959999999996</v>
      </c>
      <c r="Y235">
        <v>6.7687940000000002E-2</v>
      </c>
      <c r="Z235">
        <v>4.4091360000000003E-2</v>
      </c>
      <c r="AA235">
        <v>0.99673179999999995</v>
      </c>
      <c r="AB235">
        <v>4</v>
      </c>
      <c r="AC235">
        <v>0.58379999999999599</v>
      </c>
      <c r="AD235">
        <v>-0.1215914</v>
      </c>
      <c r="AE235">
        <v>-0.22919999999999099</v>
      </c>
      <c r="AF235">
        <v>4.5332302602075998E-2</v>
      </c>
      <c r="AG235">
        <v>-0.1215914</v>
      </c>
      <c r="AH235">
        <v>0.60275897789050603</v>
      </c>
      <c r="AI235">
        <v>101.373640534844</v>
      </c>
      <c r="AJ235">
        <v>85.698995484398793</v>
      </c>
      <c r="AK235">
        <v>0.61656943780954099</v>
      </c>
    </row>
    <row r="236" spans="1:37" x14ac:dyDescent="0.2">
      <c r="A236" t="str">
        <f>"20200111150450185"</f>
        <v>20200111150450185</v>
      </c>
      <c r="B236" t="str">
        <f>"1578726290173476"</f>
        <v>1578726290173476</v>
      </c>
      <c r="C236" t="s">
        <v>37</v>
      </c>
      <c r="D236">
        <v>5.0845979999999997</v>
      </c>
      <c r="E236">
        <v>0.54416100000000001</v>
      </c>
      <c r="F236" t="s">
        <v>38</v>
      </c>
      <c r="G236">
        <v>-520.88459999999998</v>
      </c>
      <c r="H236">
        <v>0.96631460000000002</v>
      </c>
      <c r="I236">
        <v>376.09109999999998</v>
      </c>
      <c r="J236">
        <v>-521.52419999999995</v>
      </c>
      <c r="K236">
        <v>1.0523209999999901</v>
      </c>
      <c r="L236">
        <v>376.31560000000002</v>
      </c>
      <c r="M236">
        <v>0.95573159999999902</v>
      </c>
      <c r="N236">
        <v>0</v>
      </c>
      <c r="O236">
        <v>-0.29423339999999998</v>
      </c>
      <c r="P236">
        <v>0.96762109999999901</v>
      </c>
      <c r="Q236">
        <v>0.12794700000000001</v>
      </c>
      <c r="R236">
        <v>-0.21757559999999901</v>
      </c>
      <c r="S236">
        <v>2.9202270000000001</v>
      </c>
      <c r="T236">
        <v>-0.3640311</v>
      </c>
      <c r="U236">
        <v>-1.013336</v>
      </c>
      <c r="V236">
        <v>-7.6781470000000004E-2</v>
      </c>
      <c r="W236">
        <v>0.12590979999999999</v>
      </c>
      <c r="X236">
        <v>0.98906589999999905</v>
      </c>
      <c r="Y236">
        <v>3.7031920000000003E-2</v>
      </c>
      <c r="Z236">
        <v>3.2444710000000002E-2</v>
      </c>
      <c r="AA236">
        <v>0.99878719999999999</v>
      </c>
      <c r="AB236">
        <v>5</v>
      </c>
      <c r="AC236">
        <v>0.63959999999997297</v>
      </c>
      <c r="AD236">
        <v>-8.6006399999999802E-2</v>
      </c>
      <c r="AE236">
        <v>-0.22450000000003401</v>
      </c>
      <c r="AF236">
        <v>2.5952316980803199E-2</v>
      </c>
      <c r="AG236">
        <v>-8.6006399999999802E-2</v>
      </c>
      <c r="AH236">
        <v>0.66661114353148798</v>
      </c>
      <c r="AI236">
        <v>97.346203717206095</v>
      </c>
      <c r="AJ236">
        <v>87.770502821359301</v>
      </c>
      <c r="AK236">
        <v>0.67263737650980304</v>
      </c>
    </row>
    <row r="237" spans="1:37" x14ac:dyDescent="0.2">
      <c r="A237" t="str">
        <f>"20200111150450207"</f>
        <v>20200111150450207</v>
      </c>
      <c r="B237" t="str">
        <f>"1578726290203732"</f>
        <v>1578726290203732</v>
      </c>
      <c r="C237" t="s">
        <v>37</v>
      </c>
      <c r="D237">
        <v>5.0886709999999997</v>
      </c>
      <c r="E237">
        <v>0.54472140000000002</v>
      </c>
      <c r="F237" t="s">
        <v>38</v>
      </c>
      <c r="G237">
        <v>-520.83879999999999</v>
      </c>
      <c r="H237">
        <v>0.96692849999999997</v>
      </c>
      <c r="I237">
        <v>376.07909999999998</v>
      </c>
      <c r="J237">
        <v>-521.47170000000006</v>
      </c>
      <c r="K237">
        <v>1.052295</v>
      </c>
      <c r="L237">
        <v>376.29989999999998</v>
      </c>
      <c r="M237">
        <v>0.95584709999999995</v>
      </c>
      <c r="N237">
        <v>0</v>
      </c>
      <c r="O237">
        <v>-0.29385699999999998</v>
      </c>
      <c r="P237">
        <v>0.96819959999999905</v>
      </c>
      <c r="Q237">
        <v>0.1269662</v>
      </c>
      <c r="R237">
        <v>-0.21556719999999999</v>
      </c>
      <c r="S237">
        <v>2.9219970000000002</v>
      </c>
      <c r="T237">
        <v>-0.36405589999999999</v>
      </c>
      <c r="U237">
        <v>-1.0075379999999901</v>
      </c>
      <c r="V237">
        <v>-7.848223E-2</v>
      </c>
      <c r="W237">
        <v>0.12485009999999901</v>
      </c>
      <c r="X237">
        <v>0.98906669999999997</v>
      </c>
      <c r="Y237">
        <v>3.5475420000000001E-2</v>
      </c>
      <c r="Z237">
        <v>3.2492239999999999E-2</v>
      </c>
      <c r="AA237">
        <v>0.99884219999999901</v>
      </c>
      <c r="AB237">
        <v>5</v>
      </c>
      <c r="AC237">
        <v>0.63290000000006297</v>
      </c>
      <c r="AD237">
        <v>-8.5366499999999998E-2</v>
      </c>
      <c r="AE237">
        <v>-0.220799999999996</v>
      </c>
      <c r="AF237">
        <v>2.4668894622504801E-2</v>
      </c>
      <c r="AG237">
        <v>-8.5366499999999998E-2</v>
      </c>
      <c r="AH237">
        <v>0.65914997256517704</v>
      </c>
      <c r="AI237">
        <v>97.3741952830472</v>
      </c>
      <c r="AJ237">
        <v>87.856687773478598</v>
      </c>
      <c r="AK237">
        <v>0.66511253184466401</v>
      </c>
    </row>
    <row r="238" spans="1:37" x14ac:dyDescent="0.2">
      <c r="A238" t="str">
        <f>"20200111150450230"</f>
        <v>20200111150450230</v>
      </c>
      <c r="B238" t="str">
        <f>"1578726290223252"</f>
        <v>1578726290223252</v>
      </c>
      <c r="C238" t="s">
        <v>37</v>
      </c>
      <c r="D238">
        <v>6.3399339999999897</v>
      </c>
      <c r="E238">
        <v>0.54468419999999995</v>
      </c>
      <c r="F238" t="s">
        <v>38</v>
      </c>
      <c r="G238">
        <v>-520.79110000000003</v>
      </c>
      <c r="H238">
        <v>0.96764089999999903</v>
      </c>
      <c r="I238">
        <v>376.06560000000002</v>
      </c>
      <c r="J238">
        <v>-521.41819999999996</v>
      </c>
      <c r="K238">
        <v>1.0522689999999999</v>
      </c>
      <c r="L238">
        <v>376.28390000000002</v>
      </c>
      <c r="M238">
        <v>0.95596219999999998</v>
      </c>
      <c r="N238">
        <v>0</v>
      </c>
      <c r="O238">
        <v>-0.29348200000000002</v>
      </c>
      <c r="P238">
        <v>0.96900839999999999</v>
      </c>
      <c r="Q238">
        <v>0.12508540000000001</v>
      </c>
      <c r="R238">
        <v>-0.21301790000000001</v>
      </c>
      <c r="S238">
        <v>2.92218</v>
      </c>
      <c r="T238">
        <v>-0.36341109999999999</v>
      </c>
      <c r="U238">
        <v>-1.0060119999999999</v>
      </c>
      <c r="V238">
        <v>-8.0768930000000003E-2</v>
      </c>
      <c r="W238">
        <v>0.1229026</v>
      </c>
      <c r="X238">
        <v>0.98912659999999997</v>
      </c>
      <c r="Y238">
        <v>3.5374469999999998E-2</v>
      </c>
      <c r="Z238">
        <v>3.2399999999999998E-2</v>
      </c>
      <c r="AA238">
        <v>0.99884879999999998</v>
      </c>
      <c r="AB238">
        <v>5</v>
      </c>
      <c r="AC238">
        <v>0.62709999999992705</v>
      </c>
      <c r="AD238">
        <v>-8.4628100000000206E-2</v>
      </c>
      <c r="AE238">
        <v>-0.21829999999999899</v>
      </c>
      <c r="AF238">
        <v>2.4250135239640799E-2</v>
      </c>
      <c r="AG238">
        <v>-8.4628100000000206E-2</v>
      </c>
      <c r="AH238">
        <v>0.65294639603123605</v>
      </c>
      <c r="AI238">
        <v>97.379880863450097</v>
      </c>
      <c r="AJ238">
        <v>87.873038118728402</v>
      </c>
      <c r="AK238">
        <v>0.65885429380017801</v>
      </c>
    </row>
    <row r="239" spans="1:37" x14ac:dyDescent="0.2">
      <c r="A239" t="str">
        <f>"20200111150450277"</f>
        <v>20200111150450277</v>
      </c>
      <c r="B239" t="str">
        <f>"1578726290274004"</f>
        <v>1578726290274004</v>
      </c>
      <c r="C239" t="s">
        <v>37</v>
      </c>
      <c r="D239">
        <v>5.1621100000000002</v>
      </c>
      <c r="E239">
        <v>0.47461350000000002</v>
      </c>
      <c r="F239" t="s">
        <v>38</v>
      </c>
      <c r="G239">
        <v>-520.74159999999995</v>
      </c>
      <c r="H239">
        <v>0.9675665</v>
      </c>
      <c r="I239">
        <v>376.05239999999998</v>
      </c>
      <c r="J239">
        <v>-521.2944</v>
      </c>
      <c r="K239">
        <v>1.0521959999999999</v>
      </c>
      <c r="L239">
        <v>376.24699999999899</v>
      </c>
      <c r="M239">
        <v>0.956215699999999</v>
      </c>
      <c r="N239">
        <v>0</v>
      </c>
      <c r="O239">
        <v>-0.29265399999999903</v>
      </c>
      <c r="P239">
        <v>0.97049979999999902</v>
      </c>
      <c r="Q239">
        <v>0.12218279999999999</v>
      </c>
      <c r="R239">
        <v>-0.20785090000000001</v>
      </c>
      <c r="S239">
        <v>2.9234619999999998</v>
      </c>
      <c r="T239">
        <v>-0.36623869999999997</v>
      </c>
      <c r="U239">
        <v>-0.99948119999999996</v>
      </c>
      <c r="V239">
        <v>-8.52913E-2</v>
      </c>
      <c r="W239">
        <v>0.1198871</v>
      </c>
      <c r="X239">
        <v>0.98911700000000002</v>
      </c>
      <c r="Y239">
        <v>3.4138340000000003E-2</v>
      </c>
      <c r="Z239">
        <v>3.263133E-2</v>
      </c>
      <c r="AA239">
        <v>0.99888429999999995</v>
      </c>
      <c r="AB239">
        <v>6</v>
      </c>
      <c r="AC239">
        <v>0.55280000000004703</v>
      </c>
      <c r="AD239">
        <v>-8.4629499999999802E-2</v>
      </c>
      <c r="AE239">
        <v>-0.19459999999997901</v>
      </c>
      <c r="AF239">
        <v>2.38041165985673E-2</v>
      </c>
      <c r="AG239">
        <v>-8.4629499999999802E-2</v>
      </c>
      <c r="AH239">
        <v>0.57358694037152302</v>
      </c>
      <c r="AI239">
        <v>98.385997094712494</v>
      </c>
      <c r="AJ239">
        <v>87.623562997741502</v>
      </c>
      <c r="AK239">
        <v>0.58028507339242597</v>
      </c>
    </row>
    <row r="240" spans="1:37" x14ac:dyDescent="0.2">
      <c r="A240" t="str">
        <f>"20200111150450343"</f>
        <v>20200111150450343</v>
      </c>
      <c r="B240" t="str">
        <f>"1578726290333541"</f>
        <v>1578726290333541</v>
      </c>
      <c r="C240" t="s">
        <v>37</v>
      </c>
      <c r="D240">
        <v>5.1384639999999999</v>
      </c>
      <c r="E240">
        <v>0.47181980000000001</v>
      </c>
      <c r="F240" t="s">
        <v>52</v>
      </c>
      <c r="G240">
        <v>-282.32900000000001</v>
      </c>
      <c r="H240">
        <v>5.4280530000000002</v>
      </c>
      <c r="I240">
        <v>341.84910000000002</v>
      </c>
      <c r="J240">
        <v>-521.10299999999995</v>
      </c>
      <c r="K240">
        <v>1.0520940000000001</v>
      </c>
      <c r="L240">
        <v>376.19009999999997</v>
      </c>
      <c r="M240">
        <v>0.95658299999999996</v>
      </c>
      <c r="N240">
        <v>0</v>
      </c>
      <c r="O240">
        <v>-0.29145070000000001</v>
      </c>
      <c r="P240">
        <v>0.97228269999999895</v>
      </c>
      <c r="Q240">
        <v>0.11609609999999999</v>
      </c>
      <c r="R240">
        <v>-0.20294949999999901</v>
      </c>
      <c r="S240">
        <v>2.9920650000000002</v>
      </c>
      <c r="T240">
        <v>5.4789780000000003E-2</v>
      </c>
      <c r="U240">
        <v>-0.43069459999999998</v>
      </c>
      <c r="V240">
        <v>-8.9256100000000005E-2</v>
      </c>
      <c r="W240">
        <v>0.11369649999999901</v>
      </c>
      <c r="X240">
        <v>0.98949809999999905</v>
      </c>
      <c r="Y240">
        <v>-0.15211559999999999</v>
      </c>
      <c r="Z240">
        <v>-6.6083619999999996E-3</v>
      </c>
      <c r="AA240">
        <v>0.98834059999999901</v>
      </c>
      <c r="AB240">
        <v>6</v>
      </c>
      <c r="AC240">
        <v>238.774</v>
      </c>
      <c r="AD240">
        <v>4.3759589999999999</v>
      </c>
      <c r="AE240">
        <v>-34.340999999999902</v>
      </c>
      <c r="AF240">
        <v>-36.728846671722103</v>
      </c>
      <c r="AG240">
        <v>4.3759589999999999</v>
      </c>
      <c r="AH240">
        <v>238.33807929138899</v>
      </c>
      <c r="AI240">
        <v>88.960419225944094</v>
      </c>
      <c r="AJ240">
        <v>98.760592512146701</v>
      </c>
      <c r="AK240">
        <v>241.191204722131</v>
      </c>
    </row>
    <row r="241" spans="1:37" x14ac:dyDescent="0.2">
      <c r="A241" t="str">
        <f>"20200111150450364"</f>
        <v>20200111150450364</v>
      </c>
      <c r="B241" t="str">
        <f>"1578726290353060"</f>
        <v>1578726290353060</v>
      </c>
      <c r="C241" t="s">
        <v>37</v>
      </c>
      <c r="D241">
        <v>5.1606500000000004</v>
      </c>
      <c r="E241">
        <v>0.47055069999999999</v>
      </c>
      <c r="F241" t="s">
        <v>52</v>
      </c>
      <c r="G241">
        <v>-282.32900000000001</v>
      </c>
      <c r="H241">
        <v>3.377507</v>
      </c>
      <c r="I241">
        <v>344.77530000000002</v>
      </c>
      <c r="J241">
        <v>-521.03589999999997</v>
      </c>
      <c r="K241">
        <v>1.0520700000000001</v>
      </c>
      <c r="L241">
        <v>376.17009999999999</v>
      </c>
      <c r="M241">
        <v>0.95670529999999998</v>
      </c>
      <c r="N241">
        <v>0</v>
      </c>
      <c r="O241">
        <v>-0.29104809999999998</v>
      </c>
      <c r="P241">
        <v>0.97237770000000001</v>
      </c>
      <c r="Q241">
        <v>0.1150482</v>
      </c>
      <c r="R241">
        <v>-0.20309079999999999</v>
      </c>
      <c r="S241">
        <v>2.9996339999999999</v>
      </c>
      <c r="T241">
        <v>2.9213309999999999E-2</v>
      </c>
      <c r="U241">
        <v>-0.39465329999999998</v>
      </c>
      <c r="V241">
        <v>-8.8733339999999994E-2</v>
      </c>
      <c r="W241">
        <v>0.1126249</v>
      </c>
      <c r="X241">
        <v>0.98966769999999904</v>
      </c>
      <c r="Y241">
        <v>-0.16374559999999999</v>
      </c>
      <c r="Z241">
        <v>-3.5716670000000002E-3</v>
      </c>
      <c r="AA241">
        <v>0.98649619999999905</v>
      </c>
      <c r="AB241">
        <v>7</v>
      </c>
      <c r="AC241">
        <v>238.70689999999999</v>
      </c>
      <c r="AD241">
        <v>2.325437</v>
      </c>
      <c r="AE241">
        <v>-31.394799999999901</v>
      </c>
      <c r="AF241">
        <v>-39.436056968570199</v>
      </c>
      <c r="AG241">
        <v>2.325437</v>
      </c>
      <c r="AH241">
        <v>237.488107458413</v>
      </c>
      <c r="AI241">
        <v>89.446566763718295</v>
      </c>
      <c r="AJ241">
        <v>99.428212886530801</v>
      </c>
      <c r="AK241">
        <v>240.75134772343</v>
      </c>
    </row>
    <row r="242" spans="1:37" x14ac:dyDescent="0.2">
      <c r="A242" t="str">
        <f>"20200111150450876"</f>
        <v>20200111150450876</v>
      </c>
      <c r="B242" t="str">
        <f>"1578726290873268"</f>
        <v>1578726290873268</v>
      </c>
      <c r="C242" t="s">
        <v>37</v>
      </c>
      <c r="D242">
        <v>6.0505870000000002</v>
      </c>
      <c r="E242">
        <v>0.45000209999999902</v>
      </c>
      <c r="F242" t="s">
        <v>46</v>
      </c>
      <c r="G242">
        <v>-319.2287</v>
      </c>
      <c r="H242">
        <v>-0.05</v>
      </c>
      <c r="I242">
        <v>350.23649999999998</v>
      </c>
      <c r="J242">
        <v>-518.73900000000003</v>
      </c>
      <c r="K242">
        <v>1.05209</v>
      </c>
      <c r="L242">
        <v>375.49590000000001</v>
      </c>
      <c r="M242">
        <v>0.95938159999999895</v>
      </c>
      <c r="N242">
        <v>0</v>
      </c>
      <c r="O242">
        <v>-0.28210150000000001</v>
      </c>
      <c r="P242">
        <v>0.97706179999999998</v>
      </c>
      <c r="Q242">
        <v>0.11750529999999999</v>
      </c>
      <c r="R242">
        <v>-0.1776037</v>
      </c>
      <c r="S242">
        <v>3.0064700000000002</v>
      </c>
      <c r="T242">
        <v>-1.641834E-2</v>
      </c>
      <c r="U242">
        <v>-0.38635249999999999</v>
      </c>
      <c r="V242">
        <v>-0.105253</v>
      </c>
      <c r="W242">
        <v>0.1150755</v>
      </c>
      <c r="X242">
        <v>0.98776489999999995</v>
      </c>
      <c r="Y242">
        <v>-0.15751309999999999</v>
      </c>
      <c r="Z242">
        <v>1.9398079999999999E-3</v>
      </c>
      <c r="AA242">
        <v>0.98751499999999903</v>
      </c>
      <c r="AB242">
        <v>13</v>
      </c>
      <c r="AC242">
        <v>199.5103</v>
      </c>
      <c r="AD242">
        <v>-1.10209</v>
      </c>
      <c r="AE242">
        <v>-25.259399999999999</v>
      </c>
      <c r="AF242">
        <v>-32.047879985249999</v>
      </c>
      <c r="AG242">
        <v>-1.10209</v>
      </c>
      <c r="AH242">
        <v>198.526827878739</v>
      </c>
      <c r="AI242">
        <v>90.314000214417007</v>
      </c>
      <c r="AJ242">
        <v>99.170060862186205</v>
      </c>
      <c r="AK242">
        <v>201.099931878436</v>
      </c>
    </row>
    <row r="243" spans="1:37" x14ac:dyDescent="0.2">
      <c r="A243" t="str">
        <f>"20200111150455920"</f>
        <v>20200111150455920</v>
      </c>
      <c r="B243" t="str">
        <f>"1578726295914157"</f>
        <v>1578726295914157</v>
      </c>
      <c r="C243" t="s">
        <v>37</v>
      </c>
      <c r="D243">
        <v>5.3451370000000002</v>
      </c>
      <c r="E243">
        <v>0.52256279999999999</v>
      </c>
      <c r="F243" t="s">
        <v>46</v>
      </c>
      <c r="G243">
        <v>-512.53449999999998</v>
      </c>
      <c r="H243">
        <v>-0.05</v>
      </c>
      <c r="I243">
        <v>375.17619999999999</v>
      </c>
      <c r="J243">
        <v>-451.71690000000001</v>
      </c>
      <c r="K243">
        <v>1.102387</v>
      </c>
      <c r="L243">
        <v>368.25310000000002</v>
      </c>
      <c r="M243">
        <v>0.99979209999999996</v>
      </c>
      <c r="N243">
        <v>0</v>
      </c>
      <c r="O243">
        <v>-1.6997580000000002E-2</v>
      </c>
      <c r="P243">
        <v>0.9922552</v>
      </c>
      <c r="Q243">
        <v>9.8309869999999994E-2</v>
      </c>
      <c r="R243">
        <v>7.5926460000000001E-2</v>
      </c>
      <c r="S243">
        <v>3.107666</v>
      </c>
      <c r="T243">
        <v>-0.55201080000000002</v>
      </c>
      <c r="U243">
        <v>-0.160156299999999</v>
      </c>
      <c r="V243">
        <v>-9.2594399999999993E-2</v>
      </c>
      <c r="W243">
        <v>0.10962419999999901</v>
      </c>
      <c r="X243">
        <v>0.98965079999999905</v>
      </c>
      <c r="Y243">
        <v>3.4215250000000003E-2</v>
      </c>
      <c r="Z243" s="1">
        <v>-1.9627160000000001E-5</v>
      </c>
      <c r="AA243">
        <v>0.99941449999999998</v>
      </c>
      <c r="AB243">
        <v>34</v>
      </c>
      <c r="AC243">
        <v>-60.817599999999899</v>
      </c>
      <c r="AD243">
        <v>-1.1523870000000001</v>
      </c>
      <c r="AE243">
        <v>6.9230999999999696</v>
      </c>
      <c r="AF243">
        <v>-5.8861957879443496</v>
      </c>
      <c r="AG243">
        <v>-1.1523870000000001</v>
      </c>
      <c r="AH243">
        <v>-60.904908688467998</v>
      </c>
      <c r="AI243">
        <v>91.078943049535496</v>
      </c>
      <c r="AJ243">
        <v>-95.520244605273305</v>
      </c>
      <c r="AK243">
        <v>61.1995359378027</v>
      </c>
    </row>
    <row r="244" spans="1:37" x14ac:dyDescent="0.2">
      <c r="A244" t="str">
        <f>"20200111150455942"</f>
        <v>20200111150455942</v>
      </c>
      <c r="B244" t="str">
        <f>"1578726295933677"</f>
        <v>1578726295933677</v>
      </c>
      <c r="C244" t="s">
        <v>37</v>
      </c>
      <c r="D244">
        <v>4.9992199999999896</v>
      </c>
      <c r="E244">
        <v>0.54005130000000001</v>
      </c>
      <c r="F244" t="s">
        <v>46</v>
      </c>
      <c r="G244">
        <v>-403.5213</v>
      </c>
      <c r="H244">
        <v>-0.05</v>
      </c>
      <c r="I244">
        <v>369.00139999999999</v>
      </c>
      <c r="J244">
        <v>-451.3759</v>
      </c>
      <c r="K244">
        <v>1.1023780000000001</v>
      </c>
      <c r="L244">
        <v>368.2466</v>
      </c>
      <c r="M244">
        <v>0.99977749999999999</v>
      </c>
      <c r="N244">
        <v>0</v>
      </c>
      <c r="O244">
        <v>-1.7827630000000001E-2</v>
      </c>
      <c r="P244">
        <v>0.99222369999999904</v>
      </c>
      <c r="Q244">
        <v>9.8736580000000004E-2</v>
      </c>
      <c r="R244">
        <v>7.5784809999999994E-2</v>
      </c>
      <c r="S244">
        <v>3.0270079999999999</v>
      </c>
      <c r="T244">
        <v>-7.237768E-2</v>
      </c>
      <c r="U244">
        <v>4.6997070000000002E-2</v>
      </c>
      <c r="V244">
        <v>-9.327117E-2</v>
      </c>
      <c r="W244">
        <v>0.11007069999999999</v>
      </c>
      <c r="X244">
        <v>0.98953769999999996</v>
      </c>
      <c r="Y244">
        <v>-3.333357E-2</v>
      </c>
      <c r="Z244">
        <v>8.2464069999999999E-4</v>
      </c>
      <c r="AA244">
        <v>0.99944390000000005</v>
      </c>
      <c r="AB244">
        <v>34</v>
      </c>
      <c r="AC244">
        <v>47.854599999999998</v>
      </c>
      <c r="AD244">
        <v>-1.1523779999999999</v>
      </c>
      <c r="AE244">
        <v>0.75479999999998804</v>
      </c>
      <c r="AF244">
        <v>-1.60693675569179</v>
      </c>
      <c r="AG244">
        <v>-1.1523779999999999</v>
      </c>
      <c r="AH244">
        <v>47.805821572448302</v>
      </c>
      <c r="AI244">
        <v>91.380090570244604</v>
      </c>
      <c r="AJ244">
        <v>91.925205716285106</v>
      </c>
      <c r="AK244">
        <v>47.846701004441698</v>
      </c>
    </row>
    <row r="245" spans="1:37" x14ac:dyDescent="0.2">
      <c r="A245" t="str">
        <f>"20200111150455965"</f>
        <v>20200111150455965</v>
      </c>
      <c r="B245" t="str">
        <f>"1578726295953703"</f>
        <v>1578726295953703</v>
      </c>
      <c r="C245" t="s">
        <v>37</v>
      </c>
      <c r="D245">
        <v>4.6220619999999997</v>
      </c>
      <c r="E245">
        <v>0.5360916</v>
      </c>
      <c r="F245" t="s">
        <v>38</v>
      </c>
      <c r="G245">
        <v>-450.5675</v>
      </c>
      <c r="H245">
        <v>0.91595939999999998</v>
      </c>
      <c r="I245">
        <v>368.22140000000002</v>
      </c>
      <c r="J245">
        <v>-451.03219999999999</v>
      </c>
      <c r="K245">
        <v>1.1023700000000001</v>
      </c>
      <c r="L245">
        <v>368.2396</v>
      </c>
      <c r="M245">
        <v>0.99976229999999999</v>
      </c>
      <c r="N245">
        <v>0</v>
      </c>
      <c r="O245">
        <v>-1.8652869999999998E-2</v>
      </c>
      <c r="P245">
        <v>0.99230719999999994</v>
      </c>
      <c r="Q245">
        <v>9.8366220000000004E-2</v>
      </c>
      <c r="R245">
        <v>7.5171689999999999E-2</v>
      </c>
      <c r="S245">
        <v>3.1019899999999998</v>
      </c>
      <c r="T245">
        <v>-0.71541940000000004</v>
      </c>
      <c r="U245">
        <v>-9.5703129999999997E-2</v>
      </c>
      <c r="V245">
        <v>-9.3476770000000001E-2</v>
      </c>
      <c r="W245">
        <v>0.1097204</v>
      </c>
      <c r="X245">
        <v>0.98955720000000003</v>
      </c>
      <c r="Y245">
        <v>1.2352159999999999E-2</v>
      </c>
      <c r="Z245">
        <v>2.8394050000000001E-3</v>
      </c>
      <c r="AA245">
        <v>0.99991969999999997</v>
      </c>
      <c r="AB245">
        <v>34</v>
      </c>
      <c r="AC245">
        <v>0.46469999999999301</v>
      </c>
      <c r="AD245">
        <v>-0.18641060000000001</v>
      </c>
      <c r="AE245">
        <v>-1.81999999999789E-2</v>
      </c>
      <c r="AF245">
        <v>8.2093154233403593E-3</v>
      </c>
      <c r="AG245">
        <v>-0.18641060000000001</v>
      </c>
      <c r="AH245">
        <v>0.40059562539485399</v>
      </c>
      <c r="AI245">
        <v>114.94954027051401</v>
      </c>
      <c r="AJ245">
        <v>88.826014888349704</v>
      </c>
      <c r="AK245">
        <v>0.44191985669075101</v>
      </c>
    </row>
    <row r="246" spans="1:37" x14ac:dyDescent="0.2">
      <c r="A246" t="str">
        <f>"20200111150455986"</f>
        <v>20200111150455986</v>
      </c>
      <c r="B246" t="str">
        <f>"1578726295983960"</f>
        <v>1578726295983960</v>
      </c>
      <c r="C246" t="s">
        <v>37</v>
      </c>
      <c r="D246">
        <v>5.467435</v>
      </c>
      <c r="E246">
        <v>0.53807899999999997</v>
      </c>
      <c r="F246" t="s">
        <v>38</v>
      </c>
      <c r="G246">
        <v>-450.2724</v>
      </c>
      <c r="H246">
        <v>0.90031499999999998</v>
      </c>
      <c r="I246">
        <v>368.22359999999998</v>
      </c>
      <c r="J246">
        <v>-450.714</v>
      </c>
      <c r="K246">
        <v>1.102366</v>
      </c>
      <c r="L246">
        <v>368.23289999999997</v>
      </c>
      <c r="M246">
        <v>0.99974759999999996</v>
      </c>
      <c r="N246">
        <v>0</v>
      </c>
      <c r="O246">
        <v>-1.94094E-2</v>
      </c>
      <c r="P246">
        <v>0.99235390000000001</v>
      </c>
      <c r="Q246">
        <v>9.8309480000000005E-2</v>
      </c>
      <c r="R246">
        <v>7.4628959999999994E-2</v>
      </c>
      <c r="S246">
        <v>3.1101990000000002</v>
      </c>
      <c r="T246">
        <v>-0.82716329999999905</v>
      </c>
      <c r="U246">
        <v>-6.5185549999999995E-2</v>
      </c>
      <c r="V246">
        <v>-9.3683879999999997E-2</v>
      </c>
      <c r="W246">
        <v>0.1096797</v>
      </c>
      <c r="X246">
        <v>0.98954219999999904</v>
      </c>
      <c r="Y246">
        <v>2.1435460000000001E-3</v>
      </c>
      <c r="Z246">
        <v>4.7929409999999898E-3</v>
      </c>
      <c r="AA246">
        <v>0.99998619999999905</v>
      </c>
      <c r="AB246">
        <v>34</v>
      </c>
      <c r="AC246">
        <v>0.441599999999993</v>
      </c>
      <c r="AD246">
        <v>-0.20205100000000001</v>
      </c>
      <c r="AE246">
        <v>-9.2999999999960892E-3</v>
      </c>
      <c r="AF246">
        <v>6.0079094637587201E-4</v>
      </c>
      <c r="AG246">
        <v>-0.20205100000000001</v>
      </c>
      <c r="AH246">
        <v>0.365264661575111</v>
      </c>
      <c r="AI246">
        <v>118.94972501498501</v>
      </c>
      <c r="AJ246">
        <v>89.905759417278006</v>
      </c>
      <c r="AK246">
        <v>0.41742453275573199</v>
      </c>
    </row>
    <row r="247" spans="1:37" x14ac:dyDescent="0.2">
      <c r="A247" t="str">
        <f>"20200111150456009"</f>
        <v>20200111150456009</v>
      </c>
      <c r="B247" t="str">
        <f>"1578726296003480"</f>
        <v>1578726296003480</v>
      </c>
      <c r="C247" t="s">
        <v>37</v>
      </c>
      <c r="D247">
        <v>9.2566710000000008</v>
      </c>
      <c r="E247">
        <v>0.52816300000000005</v>
      </c>
      <c r="F247" t="s">
        <v>38</v>
      </c>
      <c r="G247">
        <v>-449.96879999999999</v>
      </c>
      <c r="H247">
        <v>0.90645299999999995</v>
      </c>
      <c r="I247">
        <v>368.21319999999997</v>
      </c>
      <c r="J247">
        <v>-450.37079999999997</v>
      </c>
      <c r="K247">
        <v>1.10236</v>
      </c>
      <c r="L247">
        <v>368.22539999999998</v>
      </c>
      <c r="M247">
        <v>0.99973140000000005</v>
      </c>
      <c r="N247">
        <v>0</v>
      </c>
      <c r="O247">
        <v>-2.0220269999999999E-2</v>
      </c>
      <c r="P247">
        <v>0.99235810000000002</v>
      </c>
      <c r="Q247">
        <v>9.8774529999999999E-2</v>
      </c>
      <c r="R247">
        <v>7.3953900000000003E-2</v>
      </c>
      <c r="S247">
        <v>3.1102289999999999</v>
      </c>
      <c r="T247">
        <v>-0.81760080000000002</v>
      </c>
      <c r="U247">
        <v>-8.1237790000000004E-2</v>
      </c>
      <c r="V247">
        <v>-9.381051E-2</v>
      </c>
      <c r="W247">
        <v>0.1101598</v>
      </c>
      <c r="X247">
        <v>0.98947689999999999</v>
      </c>
      <c r="Y247">
        <v>6.3610810000000002E-3</v>
      </c>
      <c r="Z247">
        <v>4.4035070000000001E-3</v>
      </c>
      <c r="AA247">
        <v>0.99997009999999897</v>
      </c>
      <c r="AB247">
        <v>34</v>
      </c>
      <c r="AC247">
        <v>0.40199999999998598</v>
      </c>
      <c r="AD247">
        <v>-0.195906999999999</v>
      </c>
      <c r="AE247">
        <v>-1.2200000000007E-2</v>
      </c>
      <c r="AF247">
        <v>3.2882282755295699E-3</v>
      </c>
      <c r="AG247">
        <v>-0.195906999999999</v>
      </c>
      <c r="AH247">
        <v>0.32504108764557699</v>
      </c>
      <c r="AI247">
        <v>121.076686344904</v>
      </c>
      <c r="AJ247">
        <v>89.420395812151895</v>
      </c>
      <c r="AK247">
        <v>0.379528752207275</v>
      </c>
    </row>
    <row r="248" spans="1:37" x14ac:dyDescent="0.2">
      <c r="A248" t="str">
        <f>"20200111150457340"</f>
        <v>20200111150457340</v>
      </c>
      <c r="B248" t="str">
        <f>"1578726297334353"</f>
        <v>1578726297334353</v>
      </c>
      <c r="C248" t="s">
        <v>37</v>
      </c>
      <c r="D248">
        <v>7.0827009999999904</v>
      </c>
      <c r="E248">
        <v>0.58437479999999997</v>
      </c>
      <c r="F248" t="s">
        <v>46</v>
      </c>
      <c r="G248">
        <v>-428.34570000000002</v>
      </c>
      <c r="H248">
        <v>-0.05</v>
      </c>
      <c r="I248">
        <v>368.20499999999998</v>
      </c>
      <c r="J248">
        <v>-430.06270000000001</v>
      </c>
      <c r="K248">
        <v>1.0552919999999999</v>
      </c>
      <c r="L248">
        <v>367.49759999999998</v>
      </c>
      <c r="M248">
        <v>0.99934080000000003</v>
      </c>
      <c r="N248">
        <v>0</v>
      </c>
      <c r="O248">
        <v>-3.3852189999999997E-2</v>
      </c>
      <c r="P248">
        <v>0.99462439999999996</v>
      </c>
      <c r="Q248">
        <v>8.6900610000000003E-2</v>
      </c>
      <c r="R248">
        <v>5.6309049999999999E-2</v>
      </c>
      <c r="S248">
        <v>3.0391539999999999</v>
      </c>
      <c r="T248">
        <v>-0.15900919999999999</v>
      </c>
      <c r="U248">
        <v>-2.8076170000000001E-3</v>
      </c>
      <c r="V248">
        <v>-9.0053419999999995E-2</v>
      </c>
      <c r="W248">
        <v>9.9814180000000002E-2</v>
      </c>
      <c r="X248">
        <v>0.99092259999999999</v>
      </c>
      <c r="Y248">
        <v>-3.2840590000000003E-2</v>
      </c>
      <c r="Z248">
        <v>2.6283609999999901E-3</v>
      </c>
      <c r="AA248">
        <v>0.99945709999999999</v>
      </c>
      <c r="AB248">
        <v>34</v>
      </c>
      <c r="AC248">
        <v>1.7169999999999801</v>
      </c>
      <c r="AD248">
        <v>-1.1052919999999999</v>
      </c>
      <c r="AE248">
        <v>0.70740000000000602</v>
      </c>
      <c r="AF248">
        <v>-0.56497506106245199</v>
      </c>
      <c r="AG248">
        <v>-1.1052919999999999</v>
      </c>
      <c r="AH248">
        <v>1.2494390878463899</v>
      </c>
      <c r="AI248">
        <v>128.870684031286</v>
      </c>
      <c r="AJ248">
        <v>114.33167212283701</v>
      </c>
      <c r="AK248">
        <v>1.76123969383073</v>
      </c>
    </row>
    <row r="249" spans="1:37" x14ac:dyDescent="0.2">
      <c r="A249" t="str">
        <f>"20200111150457361"</f>
        <v>20200111150457361</v>
      </c>
      <c r="B249" t="str">
        <f>"1578726297353873"</f>
        <v>1578726297353873</v>
      </c>
      <c r="C249" t="s">
        <v>37</v>
      </c>
      <c r="D249">
        <v>5.047193</v>
      </c>
      <c r="E249">
        <v>0.56326379999999998</v>
      </c>
      <c r="F249" t="s">
        <v>39</v>
      </c>
      <c r="G249">
        <v>-391.51479999999998</v>
      </c>
      <c r="H249" s="1">
        <v>-5.12098399999999E-6</v>
      </c>
      <c r="I249">
        <v>361.16980000000001</v>
      </c>
      <c r="J249">
        <v>-429.72230000000002</v>
      </c>
      <c r="K249">
        <v>1.054994</v>
      </c>
      <c r="L249">
        <v>367.48649999999998</v>
      </c>
      <c r="M249">
        <v>0.99935940000000001</v>
      </c>
      <c r="N249">
        <v>0</v>
      </c>
      <c r="O249">
        <v>-3.3379060000000002E-2</v>
      </c>
      <c r="P249">
        <v>0.99451710000000004</v>
      </c>
      <c r="Q249">
        <v>8.8046899999999997E-2</v>
      </c>
      <c r="R249">
        <v>5.6425240000000002E-2</v>
      </c>
      <c r="S249">
        <v>3.0519099999999999</v>
      </c>
      <c r="T249">
        <v>-8.3549860000000004E-2</v>
      </c>
      <c r="U249">
        <v>-0.50097659999999999</v>
      </c>
      <c r="V249">
        <v>-8.9698020000000003E-2</v>
      </c>
      <c r="W249">
        <v>0.10075539999999999</v>
      </c>
      <c r="X249">
        <v>0.990859499999999</v>
      </c>
      <c r="Y249">
        <v>0.1289178</v>
      </c>
      <c r="Z249">
        <v>-8.4570640000000002E-4</v>
      </c>
      <c r="AA249">
        <v>0.99165490000000001</v>
      </c>
      <c r="AB249">
        <v>34</v>
      </c>
      <c r="AC249">
        <v>38.207500000000003</v>
      </c>
      <c r="AD249">
        <v>-1.0549991209839999</v>
      </c>
      <c r="AE249">
        <v>-6.31669999999996</v>
      </c>
      <c r="AF249">
        <v>5.0340067953204599</v>
      </c>
      <c r="AG249">
        <v>-1.0549991209839999</v>
      </c>
      <c r="AH249">
        <v>38.368593407865802</v>
      </c>
      <c r="AI249">
        <v>91.561655283411596</v>
      </c>
      <c r="AJ249">
        <v>82.525416488964495</v>
      </c>
      <c r="AK249">
        <v>38.7117967505867</v>
      </c>
    </row>
    <row r="250" spans="1:37" x14ac:dyDescent="0.2">
      <c r="A250" t="str">
        <f>"20200111150458377"</f>
        <v>20200111150458377</v>
      </c>
      <c r="B250" t="str">
        <f>"1578726298374299"</f>
        <v>1578726298374299</v>
      </c>
      <c r="C250" t="s">
        <v>37</v>
      </c>
      <c r="D250">
        <v>5.0362730000000004</v>
      </c>
      <c r="E250">
        <v>0.51503060000000001</v>
      </c>
      <c r="F250" t="s">
        <v>46</v>
      </c>
      <c r="G250">
        <v>-410.80939999999998</v>
      </c>
      <c r="H250">
        <v>-0.05</v>
      </c>
      <c r="I250">
        <v>367.8159</v>
      </c>
      <c r="J250">
        <v>-413.8972</v>
      </c>
      <c r="K250">
        <v>1.0539510000000001</v>
      </c>
      <c r="L250">
        <v>367.1585</v>
      </c>
      <c r="M250">
        <v>0.99990829999999997</v>
      </c>
      <c r="N250">
        <v>0</v>
      </c>
      <c r="O250">
        <v>-7.5460789999999998E-3</v>
      </c>
      <c r="P250">
        <v>0.99230180000000001</v>
      </c>
      <c r="Q250">
        <v>9.0147989999999997E-2</v>
      </c>
      <c r="R250">
        <v>8.4915690000000002E-2</v>
      </c>
      <c r="S250">
        <v>3.063599</v>
      </c>
      <c r="T250">
        <v>-0.98648169999999902</v>
      </c>
      <c r="U250">
        <v>0.58575440000000001</v>
      </c>
      <c r="V250">
        <v>-9.2634309999999997E-2</v>
      </c>
      <c r="W250">
        <v>0.1010833</v>
      </c>
      <c r="X250">
        <v>0.99055590000000004</v>
      </c>
      <c r="Y250">
        <v>-0.18576210000000001</v>
      </c>
      <c r="Z250">
        <v>3.1277560000000003E-2</v>
      </c>
      <c r="AA250">
        <v>0.98209679999999999</v>
      </c>
      <c r="AB250">
        <v>35</v>
      </c>
      <c r="AC250">
        <v>3.0878000000000099</v>
      </c>
      <c r="AD250">
        <v>-1.1039509999999999</v>
      </c>
      <c r="AE250">
        <v>0.65739999999999499</v>
      </c>
      <c r="AF250">
        <v>-0.60651944912867495</v>
      </c>
      <c r="AG250">
        <v>-1.1039509999999999</v>
      </c>
      <c r="AH250">
        <v>2.7468688735934599</v>
      </c>
      <c r="AI250">
        <v>111.427105073352</v>
      </c>
      <c r="AJ250">
        <v>102.451346566561</v>
      </c>
      <c r="AK250">
        <v>3.0218971295014301</v>
      </c>
    </row>
    <row r="251" spans="1:37" x14ac:dyDescent="0.2">
      <c r="A251" t="str">
        <f>"20200111150458398"</f>
        <v>20200111150458398</v>
      </c>
      <c r="B251" t="str">
        <f>"1578726298393820"</f>
        <v>1578726298393820</v>
      </c>
      <c r="C251" t="s">
        <v>37</v>
      </c>
      <c r="D251">
        <v>4.6373199999999999</v>
      </c>
      <c r="E251">
        <v>0.51287389999999999</v>
      </c>
      <c r="F251" t="s">
        <v>38</v>
      </c>
      <c r="G251">
        <v>-412.94330000000002</v>
      </c>
      <c r="H251">
        <v>0.94714120000000002</v>
      </c>
      <c r="I251">
        <v>367.20139999999998</v>
      </c>
      <c r="J251">
        <v>-413.55180000000001</v>
      </c>
      <c r="K251">
        <v>1.0539620000000001</v>
      </c>
      <c r="L251">
        <v>367.15690000000001</v>
      </c>
      <c r="M251">
        <v>0.99991569999999996</v>
      </c>
      <c r="N251">
        <v>0</v>
      </c>
      <c r="O251">
        <v>-6.4688559999999899E-3</v>
      </c>
      <c r="P251">
        <v>0.99222929999999998</v>
      </c>
      <c r="Q251">
        <v>8.8934040000000006E-2</v>
      </c>
      <c r="R251">
        <v>8.7017750000000005E-2</v>
      </c>
      <c r="S251">
        <v>3.04241899999999</v>
      </c>
      <c r="T251">
        <v>-0.34103629999999902</v>
      </c>
      <c r="U251">
        <v>0.13833619999999999</v>
      </c>
      <c r="V251">
        <v>-9.3669820000000001E-2</v>
      </c>
      <c r="W251">
        <v>9.9867789999999998E-2</v>
      </c>
      <c r="X251">
        <v>0.99058189999999902</v>
      </c>
      <c r="Y251">
        <v>-5.1521379999999999E-2</v>
      </c>
      <c r="Z251">
        <v>3.5996790000000002E-3</v>
      </c>
      <c r="AA251">
        <v>0.99866540000000004</v>
      </c>
      <c r="AB251">
        <v>35</v>
      </c>
      <c r="AC251">
        <v>0.60849999999999205</v>
      </c>
      <c r="AD251">
        <v>-0.10682079999999999</v>
      </c>
      <c r="AE251">
        <v>4.4499999999970799E-2</v>
      </c>
      <c r="AF251">
        <v>-4.6995073695948603E-2</v>
      </c>
      <c r="AG251">
        <v>-0.10682079999999999</v>
      </c>
      <c r="AH251">
        <v>0.59011067814042095</v>
      </c>
      <c r="AI251">
        <v>100.228775809289</v>
      </c>
      <c r="AJ251">
        <v>94.553296009976705</v>
      </c>
      <c r="AK251">
        <v>0.60153955208255006</v>
      </c>
    </row>
    <row r="252" spans="1:37" x14ac:dyDescent="0.2">
      <c r="A252" t="str">
        <f>"20200111150458422"</f>
        <v>20200111150458422</v>
      </c>
      <c r="B252" t="str">
        <f>"1578726298414316"</f>
        <v>1578726298414316</v>
      </c>
      <c r="C252" t="s">
        <v>37</v>
      </c>
      <c r="D252">
        <v>5.1474570000000002</v>
      </c>
      <c r="E252">
        <v>0.51074549999999996</v>
      </c>
      <c r="F252" t="s">
        <v>39</v>
      </c>
      <c r="G252">
        <v>-396.95</v>
      </c>
      <c r="H252" s="1">
        <v>-1.5703710000000001E-6</v>
      </c>
      <c r="I252">
        <v>368.0401</v>
      </c>
      <c r="J252">
        <v>-413.18299999999999</v>
      </c>
      <c r="K252">
        <v>1.0539689999999999</v>
      </c>
      <c r="L252">
        <v>367.15570000000002</v>
      </c>
      <c r="M252">
        <v>0.99992250000000005</v>
      </c>
      <c r="N252">
        <v>0</v>
      </c>
      <c r="O252">
        <v>-5.3132369999999898E-3</v>
      </c>
      <c r="P252">
        <v>0.99227430000000005</v>
      </c>
      <c r="Q252">
        <v>8.6980539999999995E-2</v>
      </c>
      <c r="R252">
        <v>8.8466939999999994E-2</v>
      </c>
      <c r="S252">
        <v>3.0265810000000002</v>
      </c>
      <c r="T252">
        <v>-0.19214039999999999</v>
      </c>
      <c r="U252">
        <v>0.16101070000000001</v>
      </c>
      <c r="V252">
        <v>-9.3972479999999997E-2</v>
      </c>
      <c r="W252">
        <v>9.7917589999999999E-2</v>
      </c>
      <c r="X252">
        <v>0.99074789999999902</v>
      </c>
      <c r="Y252">
        <v>-5.830138E-2</v>
      </c>
      <c r="Z252">
        <v>2.1842110000000001E-3</v>
      </c>
      <c r="AA252">
        <v>0.99829659999999998</v>
      </c>
      <c r="AB252">
        <v>35</v>
      </c>
      <c r="AC252">
        <v>16.233000000000001</v>
      </c>
      <c r="AD252">
        <v>-1.0539705703710001</v>
      </c>
      <c r="AE252">
        <v>0.88439999999997099</v>
      </c>
      <c r="AF252">
        <v>-0.96658010213524403</v>
      </c>
      <c r="AG252">
        <v>-1.0539705703710001</v>
      </c>
      <c r="AH252">
        <v>16.160148403483898</v>
      </c>
      <c r="AI252">
        <v>93.724927621253698</v>
      </c>
      <c r="AJ252">
        <v>93.422930150252995</v>
      </c>
      <c r="AK252">
        <v>16.2233019906453</v>
      </c>
    </row>
    <row r="253" spans="1:37" x14ac:dyDescent="0.2">
      <c r="A253" t="str">
        <f>"20200111150458444"</f>
        <v>20200111150458444</v>
      </c>
      <c r="B253" t="str">
        <f>"1578726298433835"</f>
        <v>1578726298433835</v>
      </c>
      <c r="C253" t="s">
        <v>37</v>
      </c>
      <c r="D253">
        <v>4.6395949999999999</v>
      </c>
      <c r="E253">
        <v>0.51108750000000003</v>
      </c>
      <c r="F253" t="s">
        <v>39</v>
      </c>
      <c r="G253">
        <v>-377.55810000000002</v>
      </c>
      <c r="H253" s="1">
        <v>-1.0847139999999999E-6</v>
      </c>
      <c r="I253">
        <v>369.3073</v>
      </c>
      <c r="J253">
        <v>-412.82440000000003</v>
      </c>
      <c r="K253">
        <v>1.0539689999999999</v>
      </c>
      <c r="L253">
        <v>367.15480000000002</v>
      </c>
      <c r="M253">
        <v>0.99992780000000003</v>
      </c>
      <c r="N253">
        <v>0</v>
      </c>
      <c r="O253">
        <v>-4.1882969999999997E-3</v>
      </c>
      <c r="P253">
        <v>0.99227009999999904</v>
      </c>
      <c r="Q253">
        <v>8.4824789999999997E-2</v>
      </c>
      <c r="R253">
        <v>9.0580289999999994E-2</v>
      </c>
      <c r="S253">
        <v>3.014923</v>
      </c>
      <c r="T253">
        <v>-8.9196919999999999E-2</v>
      </c>
      <c r="U253">
        <v>0.18209839999999999</v>
      </c>
      <c r="V253">
        <v>-9.4968010000000005E-2</v>
      </c>
      <c r="W253">
        <v>9.5762449999999999E-2</v>
      </c>
      <c r="X253">
        <v>0.99086359999999996</v>
      </c>
      <c r="Y253">
        <v>-6.4439640000000006E-2</v>
      </c>
      <c r="Z253">
        <v>1.0759350000000001E-3</v>
      </c>
      <c r="AA253">
        <v>0.99792099999999995</v>
      </c>
      <c r="AB253">
        <v>35</v>
      </c>
      <c r="AC253">
        <v>35.266300000000001</v>
      </c>
      <c r="AD253">
        <v>-1.0539700847140001</v>
      </c>
      <c r="AE253">
        <v>2.1524999999999701</v>
      </c>
      <c r="AF253">
        <v>-2.29815119221358</v>
      </c>
      <c r="AG253">
        <v>-1.0539700847140001</v>
      </c>
      <c r="AH253">
        <v>35.225628868145201</v>
      </c>
      <c r="AI253">
        <v>91.710176220133903</v>
      </c>
      <c r="AJ253">
        <v>93.732737369721505</v>
      </c>
      <c r="AK253">
        <v>35.316246700322601</v>
      </c>
    </row>
    <row r="254" spans="1:37" x14ac:dyDescent="0.2">
      <c r="A254" t="str">
        <f>"20200111150458465"</f>
        <v>20200111150458465</v>
      </c>
      <c r="B254" t="str">
        <f>"1578726298453864"</f>
        <v>1578726298453864</v>
      </c>
      <c r="C254" t="s">
        <v>37</v>
      </c>
      <c r="D254">
        <v>5.197654</v>
      </c>
      <c r="E254">
        <v>0.51146910000000001</v>
      </c>
      <c r="F254" t="s">
        <v>39</v>
      </c>
      <c r="G254">
        <v>-364.54059999999998</v>
      </c>
      <c r="H254" s="1">
        <v>-2.4600190000000001E-6</v>
      </c>
      <c r="I254">
        <v>370.12610000000001</v>
      </c>
      <c r="J254">
        <v>-412.49380000000002</v>
      </c>
      <c r="K254">
        <v>1.0539700000000001</v>
      </c>
      <c r="L254">
        <v>367.15449999999998</v>
      </c>
      <c r="M254">
        <v>0.99993159999999903</v>
      </c>
      <c r="N254">
        <v>0</v>
      </c>
      <c r="O254">
        <v>-3.152434E-3</v>
      </c>
      <c r="P254">
        <v>0.99219310000000005</v>
      </c>
      <c r="Q254">
        <v>8.4127370000000007E-2</v>
      </c>
      <c r="R254">
        <v>9.2064080000000006E-2</v>
      </c>
      <c r="S254">
        <v>3.0121150000000001</v>
      </c>
      <c r="T254">
        <v>-6.575048E-2</v>
      </c>
      <c r="U254">
        <v>0.1853638</v>
      </c>
      <c r="V254">
        <v>-9.5424179999999997E-2</v>
      </c>
      <c r="W254">
        <v>9.5066600000000001E-2</v>
      </c>
      <c r="X254">
        <v>0.99088670000000001</v>
      </c>
      <c r="Y254">
        <v>-6.4553509999999995E-2</v>
      </c>
      <c r="Z254">
        <v>7.7255550000000003E-4</v>
      </c>
      <c r="AA254">
        <v>0.99791399999999997</v>
      </c>
      <c r="AB254">
        <v>35</v>
      </c>
      <c r="AC254">
        <v>47.953200000000002</v>
      </c>
      <c r="AD254">
        <v>-1.0539724600189999</v>
      </c>
      <c r="AE254">
        <v>2.97160000000002</v>
      </c>
      <c r="AF254">
        <v>-3.1212620539132998</v>
      </c>
      <c r="AG254">
        <v>-1.0539724600189999</v>
      </c>
      <c r="AH254">
        <v>47.920532205166701</v>
      </c>
      <c r="AI254">
        <v>91.257306774083304</v>
      </c>
      <c r="AJ254">
        <v>93.726646513355206</v>
      </c>
      <c r="AK254">
        <v>48.033639687016198</v>
      </c>
    </row>
    <row r="255" spans="1:37" x14ac:dyDescent="0.2">
      <c r="A255" t="str">
        <f>"20200111150458488"</f>
        <v>20200111150458488</v>
      </c>
      <c r="B255" t="str">
        <f>"1578726298484120"</f>
        <v>1578726298484120</v>
      </c>
      <c r="C255" t="s">
        <v>37</v>
      </c>
      <c r="D255">
        <v>5.1686699999999997</v>
      </c>
      <c r="E255">
        <v>0.51403379999999999</v>
      </c>
      <c r="F255" t="s">
        <v>39</v>
      </c>
      <c r="G255">
        <v>-381.82080000000002</v>
      </c>
      <c r="H255" s="1">
        <v>-3.5912130000000002E-6</v>
      </c>
      <c r="I255">
        <v>369.05220000000003</v>
      </c>
      <c r="J255">
        <v>-412.14960000000002</v>
      </c>
      <c r="K255">
        <v>1.053979</v>
      </c>
      <c r="L255">
        <v>367.15440000000001</v>
      </c>
      <c r="M255">
        <v>0.9999344</v>
      </c>
      <c r="N255">
        <v>0</v>
      </c>
      <c r="O255">
        <v>-2.0758170000000002E-3</v>
      </c>
      <c r="P255">
        <v>0.9920563</v>
      </c>
      <c r="Q255">
        <v>8.4726099999999999E-2</v>
      </c>
      <c r="R255">
        <v>9.2985380000000006E-2</v>
      </c>
      <c r="S255">
        <v>3.01513699999999</v>
      </c>
      <c r="T255">
        <v>-0.1036048</v>
      </c>
      <c r="U255">
        <v>0.186554</v>
      </c>
      <c r="V255">
        <v>-9.5280710000000005E-2</v>
      </c>
      <c r="W255">
        <v>9.5667050000000003E-2</v>
      </c>
      <c r="X255">
        <v>0.99084280000000002</v>
      </c>
      <c r="Y255">
        <v>-6.3787510000000006E-2</v>
      </c>
      <c r="Z255">
        <v>1.1657950000000001E-3</v>
      </c>
      <c r="AA255">
        <v>0.99796280000000004</v>
      </c>
      <c r="AB255">
        <v>35</v>
      </c>
      <c r="AC255">
        <v>30.328800000000001</v>
      </c>
      <c r="AD255">
        <v>-1.0539825912130001</v>
      </c>
      <c r="AE255">
        <v>1.8978000000000099</v>
      </c>
      <c r="AF255">
        <v>-1.95840102203843</v>
      </c>
      <c r="AG255">
        <v>-1.0539825912130001</v>
      </c>
      <c r="AH255">
        <v>30.288358552344501</v>
      </c>
      <c r="AI255">
        <v>91.9888403102468</v>
      </c>
      <c r="AJ255">
        <v>93.699511598028494</v>
      </c>
      <c r="AK255">
        <v>30.369900850366399</v>
      </c>
    </row>
    <row r="256" spans="1:37" x14ac:dyDescent="0.2">
      <c r="A256" t="str">
        <f>"20200111150458510"</f>
        <v>20200111150458510</v>
      </c>
      <c r="B256" t="str">
        <f>"1578726298503640"</f>
        <v>1578726298503640</v>
      </c>
      <c r="C256" t="s">
        <v>37</v>
      </c>
      <c r="D256">
        <v>5.1860730000000004</v>
      </c>
      <c r="E256">
        <v>0.51508549999999997</v>
      </c>
      <c r="F256" t="s">
        <v>39</v>
      </c>
      <c r="G256">
        <v>-385.04559999999998</v>
      </c>
      <c r="H256" s="1">
        <v>-2.2749379999999998E-6</v>
      </c>
      <c r="I256">
        <v>368.6737</v>
      </c>
      <c r="J256">
        <v>-411.78590000000003</v>
      </c>
      <c r="K256">
        <v>1.053993</v>
      </c>
      <c r="L256">
        <v>367.15480000000002</v>
      </c>
      <c r="M256">
        <v>0.99993619999999905</v>
      </c>
      <c r="N256">
        <v>0</v>
      </c>
      <c r="O256">
        <v>-9.3948990000000004E-4</v>
      </c>
      <c r="P256">
        <v>0.99199040000000005</v>
      </c>
      <c r="Q256">
        <v>8.5371639999999999E-2</v>
      </c>
      <c r="R256">
        <v>9.3097050000000001E-2</v>
      </c>
      <c r="S256">
        <v>3.01821899999999</v>
      </c>
      <c r="T256">
        <v>-0.117367899999999</v>
      </c>
      <c r="U256">
        <v>0.16918949999999999</v>
      </c>
      <c r="V256">
        <v>-9.4268350000000001E-2</v>
      </c>
      <c r="W256">
        <v>9.6318239999999999E-2</v>
      </c>
      <c r="X256">
        <v>0.99087649999999905</v>
      </c>
      <c r="Y256">
        <v>-5.686269E-2</v>
      </c>
      <c r="Z256">
        <v>1.1408049999999999E-3</v>
      </c>
      <c r="AA256">
        <v>0.99838139999999997</v>
      </c>
      <c r="AB256">
        <v>35</v>
      </c>
      <c r="AC256">
        <v>26.740300000000001</v>
      </c>
      <c r="AD256">
        <v>-1.0539952749379999</v>
      </c>
      <c r="AE256">
        <v>1.5188999999999699</v>
      </c>
      <c r="AF256">
        <v>-1.54163575007252</v>
      </c>
      <c r="AG256">
        <v>-1.0539952749379999</v>
      </c>
      <c r="AH256">
        <v>26.697516718296502</v>
      </c>
      <c r="AI256">
        <v>92.257058633330203</v>
      </c>
      <c r="AJ256">
        <v>93.304848274486105</v>
      </c>
      <c r="AK256">
        <v>26.762752955352202</v>
      </c>
    </row>
    <row r="257" spans="1:37" x14ac:dyDescent="0.2">
      <c r="A257" t="str">
        <f>"20200111150458533"</f>
        <v>20200111150458533</v>
      </c>
      <c r="B257" t="str">
        <f>"1578726298524136"</f>
        <v>1578726298524136</v>
      </c>
      <c r="C257" t="s">
        <v>37</v>
      </c>
      <c r="D257">
        <v>5.5752110000000004</v>
      </c>
      <c r="E257">
        <v>0.51507919999999996</v>
      </c>
      <c r="F257" t="s">
        <v>39</v>
      </c>
      <c r="G257">
        <v>-385.23579999999998</v>
      </c>
      <c r="H257" s="1">
        <v>-2.2107459999999999E-6</v>
      </c>
      <c r="I257">
        <v>368.57560000000001</v>
      </c>
      <c r="J257">
        <v>-411.42169999999999</v>
      </c>
      <c r="K257">
        <v>1.054001</v>
      </c>
      <c r="L257">
        <v>367.15550000000002</v>
      </c>
      <c r="M257">
        <v>0.9999363</v>
      </c>
      <c r="N257">
        <v>0</v>
      </c>
      <c r="O257">
        <v>1.9801110000000001E-4</v>
      </c>
      <c r="P257">
        <v>0.9918825</v>
      </c>
      <c r="Q257">
        <v>8.605438E-2</v>
      </c>
      <c r="R257">
        <v>9.3614279999999994E-2</v>
      </c>
      <c r="S257">
        <v>3.0193789999999998</v>
      </c>
      <c r="T257">
        <v>-0.119863699999999</v>
      </c>
      <c r="U257">
        <v>0.1615906</v>
      </c>
      <c r="V257">
        <v>-9.3660110000000005E-2</v>
      </c>
      <c r="W257">
        <v>9.7004530000000005E-2</v>
      </c>
      <c r="X257">
        <v>0.99086730000000001</v>
      </c>
      <c r="Y257">
        <v>-5.3201980000000003E-2</v>
      </c>
      <c r="Z257">
        <v>1.046988E-3</v>
      </c>
      <c r="AA257">
        <v>0.9985832</v>
      </c>
      <c r="AB257">
        <v>35</v>
      </c>
      <c r="AC257">
        <v>26.1859</v>
      </c>
      <c r="AD257">
        <v>-1.054003210746</v>
      </c>
      <c r="AE257">
        <v>1.4200999999999899</v>
      </c>
      <c r="AF257">
        <v>-1.41263261119616</v>
      </c>
      <c r="AG257">
        <v>-1.054003210746</v>
      </c>
      <c r="AH257">
        <v>26.143948410460698</v>
      </c>
      <c r="AI257">
        <v>92.3052917629186</v>
      </c>
      <c r="AJ257">
        <v>93.092847936027198</v>
      </c>
      <c r="AK257">
        <v>26.203291628177301</v>
      </c>
    </row>
    <row r="258" spans="1:37" x14ac:dyDescent="0.2">
      <c r="A258" t="str">
        <f>"20200111150458555"</f>
        <v>20200111150458555</v>
      </c>
      <c r="B258" t="str">
        <f>"1578726298543656"</f>
        <v>1578726298543656</v>
      </c>
      <c r="C258" t="s">
        <v>37</v>
      </c>
      <c r="D258">
        <v>6.8325459999999998</v>
      </c>
      <c r="E258">
        <v>0.51550689999999999</v>
      </c>
      <c r="F258" t="s">
        <v>39</v>
      </c>
      <c r="G258">
        <v>-385.87670000000003</v>
      </c>
      <c r="H258" s="1">
        <v>-1.9436349999999998E-6</v>
      </c>
      <c r="I258">
        <v>368.53129999999999</v>
      </c>
      <c r="J258">
        <v>-411.06630000000001</v>
      </c>
      <c r="K258">
        <v>1.054011</v>
      </c>
      <c r="L258">
        <v>367.1567</v>
      </c>
      <c r="M258">
        <v>0.99993559999999904</v>
      </c>
      <c r="N258">
        <v>0</v>
      </c>
      <c r="O258">
        <v>1.3067129999999999E-3</v>
      </c>
      <c r="P258">
        <v>0.99175489999999999</v>
      </c>
      <c r="Q258">
        <v>8.6226220000000006E-2</v>
      </c>
      <c r="R258">
        <v>9.4802349999999994E-2</v>
      </c>
      <c r="S258">
        <v>3.0200200000000001</v>
      </c>
      <c r="T258">
        <v>-0.12460789999999999</v>
      </c>
      <c r="U258">
        <v>0.16265869999999999</v>
      </c>
      <c r="V258">
        <v>-9.3749699999999894E-2</v>
      </c>
      <c r="W258">
        <v>9.7178710000000001E-2</v>
      </c>
      <c r="X258">
        <v>0.99084169999999905</v>
      </c>
      <c r="Y258">
        <v>-5.243387E-2</v>
      </c>
      <c r="Z258">
        <v>1.0266279999999999E-3</v>
      </c>
      <c r="AA258">
        <v>0.99862379999999995</v>
      </c>
      <c r="AB258">
        <v>35</v>
      </c>
      <c r="AC258">
        <v>25.189599999999899</v>
      </c>
      <c r="AD258">
        <v>-1.0540129436350001</v>
      </c>
      <c r="AE258">
        <v>1.3745999999999801</v>
      </c>
      <c r="AF258">
        <v>-1.33934312801925</v>
      </c>
      <c r="AG258">
        <v>-1.0540129436350001</v>
      </c>
      <c r="AH258">
        <v>25.147476040111101</v>
      </c>
      <c r="AI258">
        <v>92.396655930802595</v>
      </c>
      <c r="AJ258">
        <v>93.048666721120796</v>
      </c>
      <c r="AK258">
        <v>25.205164837546398</v>
      </c>
    </row>
    <row r="259" spans="1:37" x14ac:dyDescent="0.2">
      <c r="A259" t="str">
        <f>"20200111150458577"</f>
        <v>20200111150458577</v>
      </c>
      <c r="B259" t="str">
        <f>"1578726298574419"</f>
        <v>1578726298574419</v>
      </c>
      <c r="C259" t="s">
        <v>37</v>
      </c>
      <c r="D259">
        <v>5.1236649999999999</v>
      </c>
      <c r="E259">
        <v>0.51614970000000004</v>
      </c>
      <c r="F259" t="s">
        <v>39</v>
      </c>
      <c r="G259">
        <v>-385.07229999999998</v>
      </c>
      <c r="H259" s="1">
        <v>-2.2847590000000001E-6</v>
      </c>
      <c r="I259">
        <v>368.55380000000002</v>
      </c>
      <c r="J259">
        <v>-410.73329999999999</v>
      </c>
      <c r="K259">
        <v>1.054019</v>
      </c>
      <c r="L259">
        <v>367.15809999999999</v>
      </c>
      <c r="M259">
        <v>0.99993349999999903</v>
      </c>
      <c r="N259">
        <v>0</v>
      </c>
      <c r="O259">
        <v>2.345612E-3</v>
      </c>
      <c r="P259">
        <v>0.99167950000000005</v>
      </c>
      <c r="Q259">
        <v>8.6218299999999998E-2</v>
      </c>
      <c r="R259">
        <v>9.5593010000000006E-2</v>
      </c>
      <c r="S259">
        <v>3.0200499999999999</v>
      </c>
      <c r="T259">
        <v>-0.1224576</v>
      </c>
      <c r="U259">
        <v>0.162323</v>
      </c>
      <c r="V259">
        <v>-9.3510670000000004E-2</v>
      </c>
      <c r="W259">
        <v>9.7173949999999995E-2</v>
      </c>
      <c r="X259">
        <v>0.99086479999999999</v>
      </c>
      <c r="Y259">
        <v>-5.1288350000000003E-2</v>
      </c>
      <c r="Z259">
        <v>9.436421E-4</v>
      </c>
      <c r="AA259">
        <v>0.99868349999999995</v>
      </c>
      <c r="AB259">
        <v>35</v>
      </c>
      <c r="AC259">
        <v>25.661000000000001</v>
      </c>
      <c r="AD259">
        <v>-1.054021284759</v>
      </c>
      <c r="AE259">
        <v>1.3957000000000299</v>
      </c>
      <c r="AF259">
        <v>-1.3332588110308801</v>
      </c>
      <c r="AG259">
        <v>-1.054021284759</v>
      </c>
      <c r="AH259">
        <v>25.621104437700399</v>
      </c>
      <c r="AI259">
        <v>92.352571262842005</v>
      </c>
      <c r="AJ259">
        <v>92.978843574832595</v>
      </c>
      <c r="AK259">
        <v>25.6774128862989</v>
      </c>
    </row>
    <row r="260" spans="1:37" x14ac:dyDescent="0.2">
      <c r="A260" t="str">
        <f>"20200111150458598"</f>
        <v>20200111150458598</v>
      </c>
      <c r="B260" t="str">
        <f>"1578726298593940"</f>
        <v>1578726298593940</v>
      </c>
      <c r="C260" t="s">
        <v>37</v>
      </c>
      <c r="D260">
        <v>5.1899249999999997</v>
      </c>
      <c r="E260">
        <v>0.516536</v>
      </c>
      <c r="F260" t="s">
        <v>39</v>
      </c>
      <c r="G260">
        <v>-384.46859999999998</v>
      </c>
      <c r="H260" s="1">
        <v>-2.544449E-6</v>
      </c>
      <c r="I260">
        <v>368.54969999999997</v>
      </c>
      <c r="J260">
        <v>-410.3777</v>
      </c>
      <c r="K260">
        <v>1.054019</v>
      </c>
      <c r="L260">
        <v>367.1601</v>
      </c>
      <c r="M260">
        <v>0.9999304</v>
      </c>
      <c r="N260">
        <v>0</v>
      </c>
      <c r="O260">
        <v>3.4551320000000001E-3</v>
      </c>
      <c r="P260">
        <v>0.99149069999999995</v>
      </c>
      <c r="Q260">
        <v>8.7030540000000003E-2</v>
      </c>
      <c r="R260">
        <v>9.681054E-2</v>
      </c>
      <c r="S260">
        <v>3.0202640000000001</v>
      </c>
      <c r="T260">
        <v>-0.1212051</v>
      </c>
      <c r="U260">
        <v>0.16003419999999999</v>
      </c>
      <c r="V260">
        <v>-9.3631210000000006E-2</v>
      </c>
      <c r="W260">
        <v>9.7987350000000001E-2</v>
      </c>
      <c r="X260">
        <v>0.99077329999999997</v>
      </c>
      <c r="Y260">
        <v>-4.9424879999999997E-2</v>
      </c>
      <c r="Z260">
        <v>8.5212359999999997E-4</v>
      </c>
      <c r="AA260">
        <v>0.99877749999999998</v>
      </c>
      <c r="AB260">
        <v>35</v>
      </c>
      <c r="AC260">
        <v>25.909099999999999</v>
      </c>
      <c r="AD260">
        <v>-1.054021544449</v>
      </c>
      <c r="AE260">
        <v>1.38959999999997</v>
      </c>
      <c r="AF260">
        <v>-1.29792476139276</v>
      </c>
      <c r="AG260">
        <v>-1.054021544449</v>
      </c>
      <c r="AH260">
        <v>25.871053465793</v>
      </c>
      <c r="AI260">
        <v>92.330089676563404</v>
      </c>
      <c r="AJ260">
        <v>92.872063719301806</v>
      </c>
      <c r="AK260">
        <v>25.9250260854703</v>
      </c>
    </row>
    <row r="261" spans="1:37" x14ac:dyDescent="0.2">
      <c r="A261" t="str">
        <f>"20200111150458622"</f>
        <v>20200111150458622</v>
      </c>
      <c r="B261" t="str">
        <f>"1578726298614436"</f>
        <v>1578726298614436</v>
      </c>
      <c r="C261" t="s">
        <v>37</v>
      </c>
      <c r="D261">
        <v>5.1063650000000003</v>
      </c>
      <c r="E261">
        <v>0.51750180000000001</v>
      </c>
      <c r="F261" t="s">
        <v>39</v>
      </c>
      <c r="G261">
        <v>-384.95760000000001</v>
      </c>
      <c r="H261" s="1">
        <v>-2.3411759999999999E-6</v>
      </c>
      <c r="I261">
        <v>368.51299999999998</v>
      </c>
      <c r="J261">
        <v>-410.01420000000002</v>
      </c>
      <c r="K261">
        <v>1.054027</v>
      </c>
      <c r="L261">
        <v>367.16239999999999</v>
      </c>
      <c r="M261">
        <v>0.99992569999999903</v>
      </c>
      <c r="N261">
        <v>0</v>
      </c>
      <c r="O261">
        <v>4.5899180000000001E-3</v>
      </c>
      <c r="P261">
        <v>0.99126170000000002</v>
      </c>
      <c r="Q261">
        <v>8.7862659999999995E-2</v>
      </c>
      <c r="R261">
        <v>9.8387959999999997E-2</v>
      </c>
      <c r="S261">
        <v>3.0210569999999999</v>
      </c>
      <c r="T261">
        <v>-0.1252654</v>
      </c>
      <c r="U261">
        <v>0.1607971</v>
      </c>
      <c r="V261">
        <v>-9.4086879999999998E-2</v>
      </c>
      <c r="W261">
        <v>9.8819660000000004E-2</v>
      </c>
      <c r="X261">
        <v>0.99064739999999996</v>
      </c>
      <c r="Y261">
        <v>-4.852828E-2</v>
      </c>
      <c r="Z261">
        <v>8.1484149999999905E-4</v>
      </c>
      <c r="AA261">
        <v>0.99882150000000003</v>
      </c>
      <c r="AB261">
        <v>35</v>
      </c>
      <c r="AC261">
        <v>25.0566</v>
      </c>
      <c r="AD261">
        <v>-1.054029341176</v>
      </c>
      <c r="AE261">
        <v>1.35060000000004</v>
      </c>
      <c r="AF261">
        <v>-1.23339447624473</v>
      </c>
      <c r="AG261">
        <v>-1.054029341176</v>
      </c>
      <c r="AH261">
        <v>25.018392697394599</v>
      </c>
      <c r="AI261">
        <v>92.409531861359596</v>
      </c>
      <c r="AJ261">
        <v>92.822368744375098</v>
      </c>
      <c r="AK261">
        <v>25.070943599057799</v>
      </c>
    </row>
    <row r="262" spans="1:37" x14ac:dyDescent="0.2">
      <c r="A262" t="str">
        <f>"20200111150458644"</f>
        <v>20200111150458644</v>
      </c>
      <c r="B262" t="str">
        <f>"1578726298633958"</f>
        <v>1578726298633958</v>
      </c>
      <c r="C262" t="s">
        <v>37</v>
      </c>
      <c r="D262">
        <v>5.2060659999999999</v>
      </c>
      <c r="E262">
        <v>0.51801439999999999</v>
      </c>
      <c r="F262" t="s">
        <v>39</v>
      </c>
      <c r="G262">
        <v>-384.16449999999998</v>
      </c>
      <c r="H262" s="1">
        <v>-2.6814409999999999E-6</v>
      </c>
      <c r="I262">
        <v>368.5129</v>
      </c>
      <c r="J262">
        <v>-409.65800000000002</v>
      </c>
      <c r="K262">
        <v>1.0540290000000001</v>
      </c>
      <c r="L262">
        <v>367.1651</v>
      </c>
      <c r="M262">
        <v>0.99992000000000003</v>
      </c>
      <c r="N262">
        <v>0</v>
      </c>
      <c r="O262">
        <v>5.70139699999999E-3</v>
      </c>
      <c r="P262">
        <v>0.99110319999999996</v>
      </c>
      <c r="Q262">
        <v>8.8086819999999996E-2</v>
      </c>
      <c r="R262">
        <v>9.9776569999999995E-2</v>
      </c>
      <c r="S262">
        <v>3.02169799999999</v>
      </c>
      <c r="T262">
        <v>-0.12321069999999899</v>
      </c>
      <c r="U262">
        <v>0.15786739999999999</v>
      </c>
      <c r="V262">
        <v>-9.4374799999999995E-2</v>
      </c>
      <c r="W262">
        <v>9.9045049999999996E-2</v>
      </c>
      <c r="X262">
        <v>0.99059750000000002</v>
      </c>
      <c r="Y262">
        <v>-4.6444850000000003E-2</v>
      </c>
      <c r="Z262">
        <v>7.1363739999999996E-4</v>
      </c>
      <c r="AA262">
        <v>0.99892060000000005</v>
      </c>
      <c r="AB262">
        <v>35</v>
      </c>
      <c r="AC262">
        <v>25.493500000000001</v>
      </c>
      <c r="AD262">
        <v>-1.054031681441</v>
      </c>
      <c r="AE262">
        <v>1.3478000000000001</v>
      </c>
      <c r="AF262">
        <v>-1.20037403862933</v>
      </c>
      <c r="AG262">
        <v>-1.054031681441</v>
      </c>
      <c r="AH262">
        <v>25.457374419289302</v>
      </c>
      <c r="AI262">
        <v>92.368279731689299</v>
      </c>
      <c r="AJ262">
        <v>92.699628874300402</v>
      </c>
      <c r="AK262">
        <v>25.5074458333637</v>
      </c>
    </row>
    <row r="263" spans="1:37" x14ac:dyDescent="0.2">
      <c r="A263" t="str">
        <f>"20200111150458666"</f>
        <v>20200111150458666</v>
      </c>
      <c r="B263" t="str">
        <f>"1578726298663744"</f>
        <v>1578726298663744</v>
      </c>
      <c r="C263" t="s">
        <v>37</v>
      </c>
      <c r="D263">
        <v>5.1465079999999999</v>
      </c>
      <c r="E263">
        <v>0.51836559999999998</v>
      </c>
      <c r="F263" t="s">
        <v>39</v>
      </c>
      <c r="G263">
        <v>-385.03269999999998</v>
      </c>
      <c r="H263" s="1">
        <v>-2.3198849999999998E-6</v>
      </c>
      <c r="I263">
        <v>368.45150000000001</v>
      </c>
      <c r="J263">
        <v>-409.31380000000001</v>
      </c>
      <c r="K263">
        <v>1.054027</v>
      </c>
      <c r="L263">
        <v>367.16820000000001</v>
      </c>
      <c r="M263">
        <v>0.99991319999999995</v>
      </c>
      <c r="N263">
        <v>0</v>
      </c>
      <c r="O263">
        <v>6.7752649999999999E-3</v>
      </c>
      <c r="P263">
        <v>0.99100710000000003</v>
      </c>
      <c r="Q263">
        <v>8.7737460000000003E-2</v>
      </c>
      <c r="R263">
        <v>0.10103039999999899</v>
      </c>
      <c r="S263">
        <v>3.0225219999999999</v>
      </c>
      <c r="T263">
        <v>-0.12937190000000001</v>
      </c>
      <c r="U263">
        <v>0.15789790000000001</v>
      </c>
      <c r="V263">
        <v>-9.4563720000000004E-2</v>
      </c>
      <c r="W263">
        <v>9.8697720000000003E-2</v>
      </c>
      <c r="X263">
        <v>0.9906142</v>
      </c>
      <c r="Y263">
        <v>-4.5366429999999999E-2</v>
      </c>
      <c r="Z263">
        <v>6.8012369999999995E-4</v>
      </c>
      <c r="AA263">
        <v>0.99897019999999903</v>
      </c>
      <c r="AB263">
        <v>36</v>
      </c>
      <c r="AC263">
        <v>24.281099999999999</v>
      </c>
      <c r="AD263">
        <v>-1.0540293198849999</v>
      </c>
      <c r="AE263">
        <v>1.2832999999999899</v>
      </c>
      <c r="AF263">
        <v>-1.11665081636553</v>
      </c>
      <c r="AG263">
        <v>-1.0540293198849999</v>
      </c>
      <c r="AH263">
        <v>24.243680801516302</v>
      </c>
      <c r="AI263">
        <v>92.486816556197496</v>
      </c>
      <c r="AJ263">
        <v>92.637148767527506</v>
      </c>
      <c r="AK263">
        <v>24.292261024010902</v>
      </c>
    </row>
    <row r="264" spans="1:37" x14ac:dyDescent="0.2">
      <c r="A264" t="str">
        <f>"20200111150458690"</f>
        <v>20200111150458690</v>
      </c>
      <c r="B264" t="str">
        <f>"1578726298684240"</f>
        <v>1578726298684240</v>
      </c>
      <c r="C264" t="s">
        <v>37</v>
      </c>
      <c r="D264">
        <v>5.1439370000000002</v>
      </c>
      <c r="E264">
        <v>0.51862839999999999</v>
      </c>
      <c r="F264" t="s">
        <v>39</v>
      </c>
      <c r="G264">
        <v>-386.18579999999997</v>
      </c>
      <c r="H264" s="1">
        <v>-1.8368759999999999E-6</v>
      </c>
      <c r="I264">
        <v>368.38569999999999</v>
      </c>
      <c r="J264">
        <v>-408.94630000000001</v>
      </c>
      <c r="K264">
        <v>1.0540259999999999</v>
      </c>
      <c r="L264">
        <v>367.17180000000002</v>
      </c>
      <c r="M264">
        <v>0.99990480000000004</v>
      </c>
      <c r="N264">
        <v>0</v>
      </c>
      <c r="O264">
        <v>7.9222649999999995E-3</v>
      </c>
      <c r="P264">
        <v>0.99091090000000004</v>
      </c>
      <c r="Q264">
        <v>8.7493000000000001E-2</v>
      </c>
      <c r="R264">
        <v>0.1021792</v>
      </c>
      <c r="S264">
        <v>3.0231629999999998</v>
      </c>
      <c r="T264">
        <v>-0.13777629999999999</v>
      </c>
      <c r="U264">
        <v>0.15914919999999999</v>
      </c>
      <c r="V264">
        <v>-9.4575419999999993E-2</v>
      </c>
      <c r="W264">
        <v>9.8456199999999994E-2</v>
      </c>
      <c r="X264">
        <v>0.99063709999999905</v>
      </c>
      <c r="Y264">
        <v>-4.4619029999999997E-2</v>
      </c>
      <c r="Z264">
        <v>6.54884E-4</v>
      </c>
      <c r="AA264">
        <v>0.99900389999999994</v>
      </c>
      <c r="AB264">
        <v>36</v>
      </c>
      <c r="AC264">
        <v>22.7605</v>
      </c>
      <c r="AD264">
        <v>-1.0540278368760001</v>
      </c>
      <c r="AE264">
        <v>1.21389999999996</v>
      </c>
      <c r="AF264">
        <v>-1.03133019261888</v>
      </c>
      <c r="AG264">
        <v>-1.0540278368760001</v>
      </c>
      <c r="AH264">
        <v>22.720814890410999</v>
      </c>
      <c r="AI264">
        <v>92.653342108585406</v>
      </c>
      <c r="AJ264">
        <v>92.598953182710304</v>
      </c>
      <c r="AK264">
        <v>22.7686197634252</v>
      </c>
    </row>
    <row r="265" spans="1:37" x14ac:dyDescent="0.2">
      <c r="A265" t="str">
        <f>"20200111150458710"</f>
        <v>20200111150458710</v>
      </c>
      <c r="B265" t="str">
        <f>"1578726298703760"</f>
        <v>1578726298703760</v>
      </c>
      <c r="C265" t="s">
        <v>37</v>
      </c>
      <c r="D265">
        <v>5.1579839999999999</v>
      </c>
      <c r="E265">
        <v>0.51882700000000004</v>
      </c>
      <c r="F265" t="s">
        <v>39</v>
      </c>
      <c r="G265">
        <v>-386.65429999999998</v>
      </c>
      <c r="H265" s="1">
        <v>-1.641442E-6</v>
      </c>
      <c r="I265">
        <v>368.35449999999997</v>
      </c>
      <c r="J265">
        <v>-408.60270000000003</v>
      </c>
      <c r="K265">
        <v>1.054025</v>
      </c>
      <c r="L265">
        <v>367.1755</v>
      </c>
      <c r="M265">
        <v>0.9998956</v>
      </c>
      <c r="N265">
        <v>0</v>
      </c>
      <c r="O265">
        <v>8.9923669999999994E-3</v>
      </c>
      <c r="P265">
        <v>0.99087349999999996</v>
      </c>
      <c r="Q265">
        <v>8.7378590000000006E-2</v>
      </c>
      <c r="R265">
        <v>0.10263750000000001</v>
      </c>
      <c r="S265">
        <v>3.0235599999999998</v>
      </c>
      <c r="T265">
        <v>-0.1429619</v>
      </c>
      <c r="U265">
        <v>0.16043089999999999</v>
      </c>
      <c r="V265">
        <v>-9.3972260000000002E-2</v>
      </c>
      <c r="W265">
        <v>9.8346580000000003E-2</v>
      </c>
      <c r="X265">
        <v>0.99070539999999996</v>
      </c>
      <c r="Y265">
        <v>-4.3964339999999998E-2</v>
      </c>
      <c r="Z265">
        <v>6.1342099999999995E-4</v>
      </c>
      <c r="AA265">
        <v>0.9990329</v>
      </c>
      <c r="AB265">
        <v>36</v>
      </c>
      <c r="AC265">
        <v>21.948399999999999</v>
      </c>
      <c r="AD265">
        <v>-1.0540266414420001</v>
      </c>
      <c r="AE265">
        <v>1.1789999999999701</v>
      </c>
      <c r="AF265">
        <v>-0.97931961983467197</v>
      </c>
      <c r="AG265">
        <v>-1.0540266414420001</v>
      </c>
      <c r="AH265">
        <v>21.907736833220401</v>
      </c>
      <c r="AI265">
        <v>92.751750948157706</v>
      </c>
      <c r="AJ265">
        <v>92.559531881955905</v>
      </c>
      <c r="AK265">
        <v>21.954930476599198</v>
      </c>
    </row>
    <row r="266" spans="1:37" x14ac:dyDescent="0.2">
      <c r="A266" t="str">
        <f>"20200111150458734"</f>
        <v>20200111150458734</v>
      </c>
      <c r="B266" t="str">
        <f>"1578726298724256"</f>
        <v>1578726298724256</v>
      </c>
      <c r="C266" t="s">
        <v>37</v>
      </c>
      <c r="D266">
        <v>5.165387</v>
      </c>
      <c r="E266">
        <v>0.51895020000000003</v>
      </c>
      <c r="F266" t="s">
        <v>39</v>
      </c>
      <c r="G266">
        <v>-387.21019999999999</v>
      </c>
      <c r="H266" s="1">
        <v>-1.411256E-6</v>
      </c>
      <c r="I266">
        <v>368.30759999999998</v>
      </c>
      <c r="J266">
        <v>-408.22710000000001</v>
      </c>
      <c r="K266">
        <v>1.054022</v>
      </c>
      <c r="L266">
        <v>367.18</v>
      </c>
      <c r="M266">
        <v>0.99988469999999996</v>
      </c>
      <c r="N266">
        <v>0</v>
      </c>
      <c r="O266">
        <v>1.0151469999999999E-2</v>
      </c>
      <c r="P266">
        <v>0.99089099999999997</v>
      </c>
      <c r="Q266">
        <v>8.6764129999999995E-2</v>
      </c>
      <c r="R266">
        <v>0.1029916</v>
      </c>
      <c r="S266">
        <v>3.0241389999999999</v>
      </c>
      <c r="T266">
        <v>-0.1490021</v>
      </c>
      <c r="U266">
        <v>0.16003419999999999</v>
      </c>
      <c r="V266">
        <v>-9.3173809999999996E-2</v>
      </c>
      <c r="W266">
        <v>9.7738690000000003E-2</v>
      </c>
      <c r="X266">
        <v>0.99084099999999997</v>
      </c>
      <c r="Y266">
        <v>-4.266499E-2</v>
      </c>
      <c r="Z266">
        <v>5.5018919999999896E-4</v>
      </c>
      <c r="AA266">
        <v>0.99908929999999996</v>
      </c>
      <c r="AB266">
        <v>36</v>
      </c>
      <c r="AC266">
        <v>21.0169</v>
      </c>
      <c r="AD266">
        <v>-1.0540234112560001</v>
      </c>
      <c r="AE266">
        <v>1.12759999999997</v>
      </c>
      <c r="AF266">
        <v>-0.91188890351954599</v>
      </c>
      <c r="AG266">
        <v>-1.0540234112560001</v>
      </c>
      <c r="AH266">
        <v>20.9746615250614</v>
      </c>
      <c r="AI266">
        <v>92.874110042602595</v>
      </c>
      <c r="AJ266">
        <v>92.489408684249298</v>
      </c>
      <c r="AK266">
        <v>21.020916555058399</v>
      </c>
    </row>
    <row r="267" spans="1:37" x14ac:dyDescent="0.2">
      <c r="A267" t="str">
        <f>"20200111150458755"</f>
        <v>20200111150458755</v>
      </c>
      <c r="B267" t="str">
        <f>"1578726298754044"</f>
        <v>1578726298754044</v>
      </c>
      <c r="C267" t="s">
        <v>37</v>
      </c>
      <c r="D267">
        <v>5.1067809999999998</v>
      </c>
      <c r="E267">
        <v>0.51917089999999999</v>
      </c>
      <c r="F267" t="s">
        <v>39</v>
      </c>
      <c r="G267">
        <v>-387.78660000000002</v>
      </c>
      <c r="H267" s="1">
        <v>-1.1720659999999899E-6</v>
      </c>
      <c r="I267">
        <v>368.26209999999998</v>
      </c>
      <c r="J267">
        <v>-407.88499999999999</v>
      </c>
      <c r="K267">
        <v>1.0540099999999999</v>
      </c>
      <c r="L267">
        <v>367.18450000000001</v>
      </c>
      <c r="M267">
        <v>0.99987349999999997</v>
      </c>
      <c r="N267">
        <v>0</v>
      </c>
      <c r="O267">
        <v>1.118975E-2</v>
      </c>
      <c r="P267">
        <v>0.9908517</v>
      </c>
      <c r="Q267">
        <v>8.6562189999999997E-2</v>
      </c>
      <c r="R267">
        <v>0.1035377</v>
      </c>
      <c r="S267">
        <v>3.024597</v>
      </c>
      <c r="T267">
        <v>-0.1559644</v>
      </c>
      <c r="U267">
        <v>0.16012570000000001</v>
      </c>
      <c r="V267">
        <v>-9.2687519999999995E-2</v>
      </c>
      <c r="W267">
        <v>9.7543179999999993E-2</v>
      </c>
      <c r="X267">
        <v>0.99090579999999995</v>
      </c>
      <c r="Y267">
        <v>-4.164868E-2</v>
      </c>
      <c r="Z267">
        <v>4.9614919999999897E-4</v>
      </c>
      <c r="AA267">
        <v>0.99913220000000003</v>
      </c>
      <c r="AB267">
        <v>36</v>
      </c>
      <c r="AC267">
        <v>20.098399999999899</v>
      </c>
      <c r="AD267">
        <v>-1.0540111720659999</v>
      </c>
      <c r="AE267">
        <v>1.0775999999999599</v>
      </c>
      <c r="AF267">
        <v>-0.85029030284645302</v>
      </c>
      <c r="AG267">
        <v>-1.0540111720659999</v>
      </c>
      <c r="AH267">
        <v>20.054204996098999</v>
      </c>
      <c r="AI267">
        <v>93.005894111736296</v>
      </c>
      <c r="AJ267">
        <v>92.427864044971301</v>
      </c>
      <c r="AK267">
        <v>20.099877392051901</v>
      </c>
    </row>
    <row r="268" spans="1:37" x14ac:dyDescent="0.2">
      <c r="A268" t="str">
        <f>"20200111150458777"</f>
        <v>20200111150458777</v>
      </c>
      <c r="B268" t="str">
        <f>"1578726298773563"</f>
        <v>1578726298773563</v>
      </c>
      <c r="C268" t="s">
        <v>37</v>
      </c>
      <c r="D268">
        <v>5.1188820000000002</v>
      </c>
      <c r="E268">
        <v>0.51951939999999996</v>
      </c>
      <c r="F268" t="s">
        <v>39</v>
      </c>
      <c r="G268">
        <v>-388.33850000000001</v>
      </c>
      <c r="H268" s="1">
        <v>-9.431415E-7</v>
      </c>
      <c r="I268">
        <v>368.21789999999999</v>
      </c>
      <c r="J268">
        <v>-407.54770000000002</v>
      </c>
      <c r="K268">
        <v>1.054001</v>
      </c>
      <c r="L268">
        <v>367.1893</v>
      </c>
      <c r="M268">
        <v>0.99986169999999996</v>
      </c>
      <c r="N268">
        <v>0</v>
      </c>
      <c r="O268">
        <v>1.2195869999999999E-2</v>
      </c>
      <c r="P268">
        <v>0.99074910000000005</v>
      </c>
      <c r="Q268">
        <v>8.7032390000000001E-2</v>
      </c>
      <c r="R268">
        <v>0.104124299999999</v>
      </c>
      <c r="S268">
        <v>3.0252379999999999</v>
      </c>
      <c r="T268">
        <v>-0.16313</v>
      </c>
      <c r="U268">
        <v>0.15994259999999999</v>
      </c>
      <c r="V268">
        <v>-9.2274930000000005E-2</v>
      </c>
      <c r="W268">
        <v>9.8019140000000005E-2</v>
      </c>
      <c r="X268">
        <v>0.99089740000000004</v>
      </c>
      <c r="Y268">
        <v>-4.0571040000000003E-2</v>
      </c>
      <c r="Z268">
        <v>4.3562160000000001E-4</v>
      </c>
      <c r="AA268">
        <v>0.99917659999999997</v>
      </c>
      <c r="AB268">
        <v>36</v>
      </c>
      <c r="AC268">
        <v>19.209199999999999</v>
      </c>
      <c r="AD268">
        <v>-1.0540019431415</v>
      </c>
      <c r="AE268">
        <v>1.02859999999998</v>
      </c>
      <c r="AF268">
        <v>-0.79185839421988702</v>
      </c>
      <c r="AG268">
        <v>-1.0540019431415</v>
      </c>
      <c r="AH268">
        <v>19.162788627227101</v>
      </c>
      <c r="AI268">
        <v>93.145561794642902</v>
      </c>
      <c r="AJ268">
        <v>92.3662707494682</v>
      </c>
      <c r="AK268">
        <v>19.2080823557279</v>
      </c>
    </row>
    <row r="269" spans="1:37" x14ac:dyDescent="0.2">
      <c r="A269" t="str">
        <f>"20200111150458800"</f>
        <v>20200111150458800</v>
      </c>
      <c r="B269" t="str">
        <f>"1578726298794060"</f>
        <v>1578726298794060</v>
      </c>
      <c r="C269" t="s">
        <v>37</v>
      </c>
      <c r="D269">
        <v>5.1027459999999998</v>
      </c>
      <c r="E269">
        <v>0.51965150000000004</v>
      </c>
      <c r="F269" t="s">
        <v>39</v>
      </c>
      <c r="G269">
        <v>-388.33909999999997</v>
      </c>
      <c r="H269" s="1">
        <v>-9.4708519999999904E-7</v>
      </c>
      <c r="I269">
        <v>368.1943</v>
      </c>
      <c r="J269">
        <v>-407.17689999999999</v>
      </c>
      <c r="K269">
        <v>1.053982</v>
      </c>
      <c r="L269">
        <v>367.19490000000002</v>
      </c>
      <c r="M269">
        <v>0.99984799999999996</v>
      </c>
      <c r="N269">
        <v>0</v>
      </c>
      <c r="O269">
        <v>1.327032E-2</v>
      </c>
      <c r="P269">
        <v>0.99055680000000002</v>
      </c>
      <c r="Q269">
        <v>8.8345510000000002E-2</v>
      </c>
      <c r="R269">
        <v>0.10484549999999999</v>
      </c>
      <c r="S269">
        <v>3.0259399999999999</v>
      </c>
      <c r="T269">
        <v>-0.16603660000000001</v>
      </c>
      <c r="U269">
        <v>0.1583252</v>
      </c>
      <c r="V269">
        <v>-9.1930200000000004E-2</v>
      </c>
      <c r="W269">
        <v>9.9339720000000006E-2</v>
      </c>
      <c r="X269">
        <v>0.99079789999999901</v>
      </c>
      <c r="Y269">
        <v>-3.895502E-2</v>
      </c>
      <c r="Z269">
        <v>3.4013979999999999E-4</v>
      </c>
      <c r="AA269">
        <v>0.99924089999999999</v>
      </c>
      <c r="AB269">
        <v>36</v>
      </c>
      <c r="AC269">
        <v>18.837800000000001</v>
      </c>
      <c r="AD269">
        <v>-1.0539829470852</v>
      </c>
      <c r="AE269">
        <v>0.99939999999997997</v>
      </c>
      <c r="AF269">
        <v>-0.74698054572537098</v>
      </c>
      <c r="AG269">
        <v>-1.0539829470852</v>
      </c>
      <c r="AH269">
        <v>18.7907458449289</v>
      </c>
      <c r="AI269">
        <v>93.207858500270106</v>
      </c>
      <c r="AJ269">
        <v>92.276456178041002</v>
      </c>
      <c r="AK269">
        <v>18.835099930638801</v>
      </c>
    </row>
    <row r="270" spans="1:37" x14ac:dyDescent="0.2">
      <c r="A270" t="str">
        <f>"20200111150458823"</f>
        <v>20200111150458823</v>
      </c>
      <c r="B270" t="str">
        <f>"1578726298813579"</f>
        <v>1578726298813579</v>
      </c>
      <c r="C270" t="s">
        <v>37</v>
      </c>
      <c r="D270">
        <v>5.973198</v>
      </c>
      <c r="E270">
        <v>0.51980539999999997</v>
      </c>
      <c r="F270" t="s">
        <v>39</v>
      </c>
      <c r="G270">
        <v>-387.71449999999999</v>
      </c>
      <c r="H270" s="1">
        <v>-1.2103789999999999E-6</v>
      </c>
      <c r="I270">
        <v>368.22050000000002</v>
      </c>
      <c r="J270">
        <v>-406.81830000000002</v>
      </c>
      <c r="K270">
        <v>1.0539540000000001</v>
      </c>
      <c r="L270">
        <v>367.20060000000001</v>
      </c>
      <c r="M270">
        <v>0.99983440000000001</v>
      </c>
      <c r="N270">
        <v>0</v>
      </c>
      <c r="O270">
        <v>1.4263069999999999E-2</v>
      </c>
      <c r="P270">
        <v>0.99044219999999905</v>
      </c>
      <c r="Q270">
        <v>8.9124919999999996E-2</v>
      </c>
      <c r="R270">
        <v>0.105266899999999</v>
      </c>
      <c r="S270">
        <v>3.0263369999999998</v>
      </c>
      <c r="T270">
        <v>-0.16389029999999999</v>
      </c>
      <c r="U270">
        <v>0.15948489999999901</v>
      </c>
      <c r="V270">
        <v>-9.1363059999999996E-2</v>
      </c>
      <c r="W270">
        <v>0.100128699999999</v>
      </c>
      <c r="X270">
        <v>0.99077090000000001</v>
      </c>
      <c r="Y270">
        <v>-3.8341210000000001E-2</v>
      </c>
      <c r="Z270">
        <v>2.654302E-4</v>
      </c>
      <c r="AA270">
        <v>0.99926469999999901</v>
      </c>
      <c r="AB270">
        <v>36</v>
      </c>
      <c r="AC270">
        <v>19.1038</v>
      </c>
      <c r="AD270">
        <v>-1.053955210379</v>
      </c>
      <c r="AE270">
        <v>1.0199</v>
      </c>
      <c r="AF270">
        <v>-0.74503875369799499</v>
      </c>
      <c r="AG270">
        <v>-1.053955210379</v>
      </c>
      <c r="AH270">
        <v>19.058560229545002</v>
      </c>
      <c r="AI270">
        <v>93.1628722498494</v>
      </c>
      <c r="AJ270">
        <v>92.238671266055903</v>
      </c>
      <c r="AK270">
        <v>19.102215116399201</v>
      </c>
    </row>
    <row r="271" spans="1:37" x14ac:dyDescent="0.2">
      <c r="A271" t="str">
        <f>"20200111150458845"</f>
        <v>20200111150458845</v>
      </c>
      <c r="B271" t="str">
        <f>"1578726298843836"</f>
        <v>1578726298843836</v>
      </c>
      <c r="C271" t="s">
        <v>37</v>
      </c>
      <c r="D271">
        <v>5.235487</v>
      </c>
      <c r="E271">
        <v>0.53594790000000003</v>
      </c>
      <c r="F271" t="s">
        <v>39</v>
      </c>
      <c r="G271">
        <v>-387.26780000000002</v>
      </c>
      <c r="H271" s="1">
        <v>-1.399795E-6</v>
      </c>
      <c r="I271">
        <v>368.23289999999997</v>
      </c>
      <c r="J271">
        <v>-406.4579</v>
      </c>
      <c r="K271">
        <v>1.0539080000000001</v>
      </c>
      <c r="L271">
        <v>367.20670000000001</v>
      </c>
      <c r="M271">
        <v>0.99982059999999995</v>
      </c>
      <c r="N271">
        <v>0</v>
      </c>
      <c r="O271">
        <v>1.5198659999999999E-2</v>
      </c>
      <c r="P271">
        <v>0.99036800000000003</v>
      </c>
      <c r="Q271">
        <v>8.8998939999999999E-2</v>
      </c>
      <c r="R271">
        <v>0.10606980000000001</v>
      </c>
      <c r="S271">
        <v>3.0266419999999998</v>
      </c>
      <c r="T271">
        <v>-0.16316369999999999</v>
      </c>
      <c r="U271">
        <v>0.15982060000000001</v>
      </c>
      <c r="V271">
        <v>-9.1228050000000005E-2</v>
      </c>
      <c r="W271">
        <v>0.100014899999999</v>
      </c>
      <c r="X271">
        <v>0.99079479999999998</v>
      </c>
      <c r="Y271">
        <v>-3.7514230000000003E-2</v>
      </c>
      <c r="Z271">
        <v>1.916144E-4</v>
      </c>
      <c r="AA271">
        <v>0.99929609999999902</v>
      </c>
      <c r="AB271">
        <v>36</v>
      </c>
      <c r="AC271">
        <v>19.190099999999902</v>
      </c>
      <c r="AD271">
        <v>-1.053909399795</v>
      </c>
      <c r="AE271">
        <v>1.02619999999996</v>
      </c>
      <c r="AF271">
        <v>-0.73219689840555702</v>
      </c>
      <c r="AG271">
        <v>-1.053909399795</v>
      </c>
      <c r="AH271">
        <v>19.145898874978499</v>
      </c>
      <c r="AI271">
        <v>93.148439566836302</v>
      </c>
      <c r="AJ271">
        <v>92.190096080639506</v>
      </c>
      <c r="AK271">
        <v>19.188858252952802</v>
      </c>
    </row>
    <row r="272" spans="1:37" x14ac:dyDescent="0.2">
      <c r="A272" t="str">
        <f>"20200111150458889"</f>
        <v>20200111150458889</v>
      </c>
      <c r="B272" t="str">
        <f>"1578726298884361"</f>
        <v>1578726298884361</v>
      </c>
      <c r="C272" t="s">
        <v>37</v>
      </c>
      <c r="D272">
        <v>5.0914979999999996</v>
      </c>
      <c r="E272">
        <v>0.49420459999999899</v>
      </c>
      <c r="F272" t="s">
        <v>53</v>
      </c>
      <c r="G272">
        <v>0</v>
      </c>
      <c r="H272">
        <v>0</v>
      </c>
      <c r="I272">
        <v>0</v>
      </c>
      <c r="J272">
        <v>-405.76130000000001</v>
      </c>
      <c r="K272">
        <v>1.053785</v>
      </c>
      <c r="L272">
        <v>367.21910000000003</v>
      </c>
      <c r="M272">
        <v>0.99979509999999905</v>
      </c>
      <c r="N272">
        <v>0</v>
      </c>
      <c r="O272">
        <v>1.6776579999999999E-2</v>
      </c>
      <c r="P272">
        <v>0.99038630000000005</v>
      </c>
      <c r="Q272">
        <v>8.7430179999999996E-2</v>
      </c>
      <c r="R272">
        <v>0.10719629999999999</v>
      </c>
      <c r="S272">
        <v>2.9335939999999998</v>
      </c>
      <c r="T272">
        <v>1.0261940000000001</v>
      </c>
      <c r="U272">
        <v>3.1097409999999999E-2</v>
      </c>
      <c r="V272">
        <v>-9.0756340000000005E-2</v>
      </c>
      <c r="W272">
        <v>9.8478969999999999E-2</v>
      </c>
      <c r="X272">
        <v>0.99099199999999998</v>
      </c>
      <c r="Y272">
        <v>4.8911170000000004E-3</v>
      </c>
      <c r="Z272">
        <v>6.529923E-3</v>
      </c>
      <c r="AA272">
        <v>0.99996669999999999</v>
      </c>
      <c r="AB272">
        <v>36</v>
      </c>
      <c r="AC272">
        <v>2.9335939999999998</v>
      </c>
      <c r="AD272">
        <v>1.0261940000000001</v>
      </c>
      <c r="AE272">
        <v>3.1097409999999999E-2</v>
      </c>
      <c r="AF272">
        <v>1.61498384131427E-2</v>
      </c>
      <c r="AG272">
        <v>1.0261940000000001</v>
      </c>
      <c r="AH272">
        <v>2.6138889773495602</v>
      </c>
      <c r="AI272">
        <v>68.565757421760296</v>
      </c>
      <c r="AJ272">
        <v>89.646004166598999</v>
      </c>
      <c r="AK272">
        <v>2.8081578532600902</v>
      </c>
    </row>
    <row r="273" spans="1:37" x14ac:dyDescent="0.2">
      <c r="A273" t="str">
        <f>"20200111150458912"</f>
        <v>20200111150458912</v>
      </c>
      <c r="B273" t="str">
        <f>"1578726298903881"</f>
        <v>1578726298903881</v>
      </c>
      <c r="C273" t="s">
        <v>37</v>
      </c>
      <c r="D273">
        <v>4.6645180000000002</v>
      </c>
      <c r="E273">
        <v>0.49420459999999899</v>
      </c>
      <c r="F273" t="s">
        <v>39</v>
      </c>
      <c r="G273">
        <v>-389.79469999999998</v>
      </c>
      <c r="H273" s="1">
        <v>-1.7262509999999999E-7</v>
      </c>
      <c r="I273">
        <v>369.17759999999998</v>
      </c>
      <c r="J273">
        <v>-405.39429999999999</v>
      </c>
      <c r="K273">
        <v>1.053695</v>
      </c>
      <c r="L273">
        <v>367.226</v>
      </c>
      <c r="M273">
        <v>0.99978349999999905</v>
      </c>
      <c r="N273">
        <v>0</v>
      </c>
      <c r="O273">
        <v>1.746472E-2</v>
      </c>
      <c r="P273">
        <v>0.99042330000000001</v>
      </c>
      <c r="Q273">
        <v>8.666314E-2</v>
      </c>
      <c r="R273">
        <v>0.1074782</v>
      </c>
      <c r="S273">
        <v>3.0067439999999999</v>
      </c>
      <c r="T273">
        <v>-0.19844289999999901</v>
      </c>
      <c r="U273">
        <v>0.36883539999999998</v>
      </c>
      <c r="V273">
        <v>-9.0333930000000007E-2</v>
      </c>
      <c r="W273">
        <v>9.7732520000000003E-2</v>
      </c>
      <c r="X273">
        <v>0.99110450000000005</v>
      </c>
      <c r="Y273">
        <v>-0.1042164</v>
      </c>
      <c r="Z273">
        <v>2.275736E-3</v>
      </c>
      <c r="AA273">
        <v>0.99455199999999999</v>
      </c>
      <c r="AB273">
        <v>36</v>
      </c>
      <c r="AC273">
        <v>15.599600000000001</v>
      </c>
      <c r="AD273">
        <v>-1.0536951726251</v>
      </c>
      <c r="AE273">
        <v>1.95159999999998</v>
      </c>
      <c r="AF273">
        <v>-1.6713342733404699</v>
      </c>
      <c r="AG273">
        <v>-1.0536951726251</v>
      </c>
      <c r="AH273">
        <v>15.561401961279101</v>
      </c>
      <c r="AI273">
        <v>93.8516205618877</v>
      </c>
      <c r="AJ273">
        <v>96.130213673097899</v>
      </c>
      <c r="AK273">
        <v>15.6863272556247</v>
      </c>
    </row>
    <row r="274" spans="1:37" x14ac:dyDescent="0.2">
      <c r="A274" t="str">
        <f>"20200111150458934"</f>
        <v>20200111150458934</v>
      </c>
      <c r="B274" t="str">
        <f>"1578726298924380"</f>
        <v>1578726298924380</v>
      </c>
      <c r="C274" t="s">
        <v>37</v>
      </c>
      <c r="D274">
        <v>5.5148479999999998</v>
      </c>
      <c r="E274">
        <v>0.491017599999999</v>
      </c>
      <c r="F274" t="s">
        <v>39</v>
      </c>
      <c r="G274">
        <v>-389.61939999999998</v>
      </c>
      <c r="H274" s="1">
        <v>-2.351217E-7</v>
      </c>
      <c r="I274">
        <v>369.16699999999997</v>
      </c>
      <c r="J274">
        <v>-405.04329999999999</v>
      </c>
      <c r="K274">
        <v>1.0536030000000001</v>
      </c>
      <c r="L274">
        <v>367.23270000000002</v>
      </c>
      <c r="M274">
        <v>0.99977369999999899</v>
      </c>
      <c r="N274">
        <v>0</v>
      </c>
      <c r="O274">
        <v>1.8016089999999998E-2</v>
      </c>
      <c r="P274">
        <v>0.99056039999999901</v>
      </c>
      <c r="Q274">
        <v>8.5167499999999993E-2</v>
      </c>
      <c r="R274">
        <v>0.1074103</v>
      </c>
      <c r="S274">
        <v>3.0064389999999999</v>
      </c>
      <c r="T274">
        <v>-0.2008171</v>
      </c>
      <c r="U274">
        <v>0.36993409999999999</v>
      </c>
      <c r="V274">
        <v>-8.9695150000000001E-2</v>
      </c>
      <c r="W274">
        <v>9.6259880000000006E-2</v>
      </c>
      <c r="X274">
        <v>0.99130659999999904</v>
      </c>
      <c r="Y274">
        <v>-0.1040353</v>
      </c>
      <c r="Z274">
        <v>2.2604370000000001E-3</v>
      </c>
      <c r="AA274">
        <v>0.99457099999999898</v>
      </c>
      <c r="AB274">
        <v>36</v>
      </c>
      <c r="AC274">
        <v>15.4239</v>
      </c>
      <c r="AD274">
        <v>-1.0536032351217</v>
      </c>
      <c r="AE274">
        <v>1.9342999999999499</v>
      </c>
      <c r="AF274">
        <v>-1.64851662166173</v>
      </c>
      <c r="AG274">
        <v>-1.0536032351217</v>
      </c>
      <c r="AH274">
        <v>15.385566188890801</v>
      </c>
      <c r="AI274">
        <v>93.895270915643707</v>
      </c>
      <c r="AJ274">
        <v>96.115735888635498</v>
      </c>
      <c r="AK274">
        <v>15.509459493537999</v>
      </c>
    </row>
    <row r="275" spans="1:37" x14ac:dyDescent="0.2">
      <c r="A275" t="str">
        <f>"20200111150458955"</f>
        <v>20200111150458955</v>
      </c>
      <c r="B275" t="str">
        <f>"1578726298943897"</f>
        <v>1578726298943897</v>
      </c>
      <c r="C275" t="s">
        <v>37</v>
      </c>
      <c r="D275">
        <v>6.7626429999999997</v>
      </c>
      <c r="E275">
        <v>0.51871259999999997</v>
      </c>
      <c r="F275" t="s">
        <v>54</v>
      </c>
      <c r="G275">
        <v>-219.27330000000001</v>
      </c>
      <c r="H275">
        <v>14.827769999999999</v>
      </c>
      <c r="I275">
        <v>391.87</v>
      </c>
      <c r="J275">
        <v>-404.70679999999999</v>
      </c>
      <c r="K275">
        <v>1.053525</v>
      </c>
      <c r="L275">
        <v>367.23919999999998</v>
      </c>
      <c r="M275">
        <v>0.99976529999999997</v>
      </c>
      <c r="N275">
        <v>0</v>
      </c>
      <c r="O275">
        <v>1.8469559999999999E-2</v>
      </c>
      <c r="P275">
        <v>0.99072099999999996</v>
      </c>
      <c r="Q275">
        <v>8.4708030000000004E-2</v>
      </c>
      <c r="R275">
        <v>0.106285199999999</v>
      </c>
      <c r="S275">
        <v>2.9670099999999899</v>
      </c>
      <c r="T275">
        <v>0.21999289999999999</v>
      </c>
      <c r="U275">
        <v>0.3934937</v>
      </c>
      <c r="V275">
        <v>-8.8099179999999999E-2</v>
      </c>
      <c r="W275">
        <v>9.5821790000000004E-2</v>
      </c>
      <c r="X275">
        <v>0.99149219999999905</v>
      </c>
      <c r="Y275">
        <v>-0.1128844</v>
      </c>
      <c r="Z275">
        <v>-2.7998509999999999E-3</v>
      </c>
      <c r="AA275">
        <v>0.99360419999999905</v>
      </c>
      <c r="AB275">
        <v>36</v>
      </c>
      <c r="AC275">
        <v>185.43350000000001</v>
      </c>
      <c r="AD275">
        <v>13.774245000000001</v>
      </c>
      <c r="AE275">
        <v>24.630800000000001</v>
      </c>
      <c r="AF275">
        <v>-21.087167567060298</v>
      </c>
      <c r="AG275">
        <v>13.774245000000001</v>
      </c>
      <c r="AH275">
        <v>184.854523768935</v>
      </c>
      <c r="AI275">
        <v>85.765898434069001</v>
      </c>
      <c r="AJ275">
        <v>96.507849745417204</v>
      </c>
      <c r="AK275">
        <v>186.562572396397</v>
      </c>
    </row>
    <row r="276" spans="1:37" x14ac:dyDescent="0.2">
      <c r="A276" t="str">
        <f>"20200111150458978"</f>
        <v>20200111150458978</v>
      </c>
      <c r="B276" t="str">
        <f>"1578726298974153"</f>
        <v>1578726298974153</v>
      </c>
      <c r="C276" t="s">
        <v>37</v>
      </c>
      <c r="D276">
        <v>5.879194</v>
      </c>
      <c r="E276">
        <v>0.4697577</v>
      </c>
      <c r="F276" t="s">
        <v>38</v>
      </c>
      <c r="G276">
        <v>-403.7518</v>
      </c>
      <c r="H276">
        <v>0.91438649999999999</v>
      </c>
      <c r="I276">
        <v>367.29320000000001</v>
      </c>
      <c r="J276">
        <v>-404.34219999999999</v>
      </c>
      <c r="K276">
        <v>1.0534589999999999</v>
      </c>
      <c r="L276">
        <v>367.24630000000002</v>
      </c>
      <c r="M276">
        <v>0.99975769999999997</v>
      </c>
      <c r="N276">
        <v>0</v>
      </c>
      <c r="O276">
        <v>1.8878849999999999E-2</v>
      </c>
      <c r="P276">
        <v>0.99080309999999905</v>
      </c>
      <c r="Q276">
        <v>8.5189420000000002E-2</v>
      </c>
      <c r="R276">
        <v>0.1051289</v>
      </c>
      <c r="S276">
        <v>3.0475159999999999</v>
      </c>
      <c r="T276">
        <v>-0.44421270000000002</v>
      </c>
      <c r="U276">
        <v>0.17285159999999999</v>
      </c>
      <c r="V276">
        <v>-8.6519079999999998E-2</v>
      </c>
      <c r="W276">
        <v>9.6323010000000001E-2</v>
      </c>
      <c r="X276">
        <v>0.99158279999999999</v>
      </c>
      <c r="Y276">
        <v>-3.757112E-2</v>
      </c>
      <c r="Z276" s="1">
        <v>-1.3205689999999901E-5</v>
      </c>
      <c r="AA276">
        <v>0.99929400000000002</v>
      </c>
      <c r="AB276">
        <v>36</v>
      </c>
      <c r="AC276">
        <v>0.59039999999998805</v>
      </c>
      <c r="AD276">
        <v>-0.13907249999999899</v>
      </c>
      <c r="AE276">
        <v>4.6899999999993697E-2</v>
      </c>
      <c r="AF276">
        <v>-3.38769180630486E-2</v>
      </c>
      <c r="AG276">
        <v>-0.13907249999999899</v>
      </c>
      <c r="AH276">
        <v>0.56028666392262305</v>
      </c>
      <c r="AI276">
        <v>103.91561411471901</v>
      </c>
      <c r="AJ276">
        <v>93.460093544145906</v>
      </c>
      <c r="AK276">
        <v>0.57828189631289895</v>
      </c>
    </row>
    <row r="277" spans="1:37" x14ac:dyDescent="0.2">
      <c r="A277" t="str">
        <f>"20200111150459001"</f>
        <v>20200111150459001</v>
      </c>
      <c r="B277" t="str">
        <f>"1578726298993673"</f>
        <v>1578726298993673</v>
      </c>
      <c r="C277" t="s">
        <v>37</v>
      </c>
      <c r="D277">
        <v>4.6325079999999996</v>
      </c>
      <c r="E277">
        <v>0.48108040000000002</v>
      </c>
      <c r="F277" t="s">
        <v>46</v>
      </c>
      <c r="G277">
        <v>-399.89569999999998</v>
      </c>
      <c r="H277">
        <v>-0.05</v>
      </c>
      <c r="I277">
        <v>368.06799999999998</v>
      </c>
      <c r="J277">
        <v>-403.96269999999998</v>
      </c>
      <c r="K277">
        <v>1.053393</v>
      </c>
      <c r="L277">
        <v>367.25389999999999</v>
      </c>
      <c r="M277">
        <v>0.9997511</v>
      </c>
      <c r="N277">
        <v>0</v>
      </c>
      <c r="O277">
        <v>1.922242E-2</v>
      </c>
      <c r="P277">
        <v>0.99067989999999995</v>
      </c>
      <c r="Q277">
        <v>8.6488280000000001E-2</v>
      </c>
      <c r="R277">
        <v>0.1052313</v>
      </c>
      <c r="S277">
        <v>3.0330810000000001</v>
      </c>
      <c r="T277">
        <v>-0.75269330000000001</v>
      </c>
      <c r="U277">
        <v>0.56045529999999999</v>
      </c>
      <c r="V277">
        <v>-8.6268259999999999E-2</v>
      </c>
      <c r="W277">
        <v>9.7637619999999994E-2</v>
      </c>
      <c r="X277">
        <v>0.99147600000000002</v>
      </c>
      <c r="Y277">
        <v>-0.15867890000000001</v>
      </c>
      <c r="Z277">
        <v>1.4579760000000001E-2</v>
      </c>
      <c r="AA277">
        <v>0.98722259999999995</v>
      </c>
      <c r="AB277">
        <v>36</v>
      </c>
      <c r="AC277">
        <v>4.0670000000000002</v>
      </c>
      <c r="AD277">
        <v>-1.1033930000000001</v>
      </c>
      <c r="AE277">
        <v>0.814100000000053</v>
      </c>
      <c r="AF277">
        <v>-0.687138111405317</v>
      </c>
      <c r="AG277">
        <v>-1.1033930000000001</v>
      </c>
      <c r="AH277">
        <v>3.8121145780560202</v>
      </c>
      <c r="AI277">
        <v>105.899777598707</v>
      </c>
      <c r="AJ277">
        <v>100.217912435879</v>
      </c>
      <c r="AK277">
        <v>4.0276360874366404</v>
      </c>
    </row>
    <row r="278" spans="1:37" x14ac:dyDescent="0.2">
      <c r="A278" t="str">
        <f>"20200111150459023"</f>
        <v>20200111150459023</v>
      </c>
      <c r="B278" t="str">
        <f>"1578726299014169"</f>
        <v>1578726299014169</v>
      </c>
      <c r="C278" t="s">
        <v>37</v>
      </c>
      <c r="D278">
        <v>4.6481599999999998</v>
      </c>
      <c r="E278">
        <v>0.48887320000000001</v>
      </c>
      <c r="F278" t="s">
        <v>39</v>
      </c>
      <c r="G278">
        <v>-398.8562</v>
      </c>
      <c r="H278" s="1">
        <v>-7.9368309999999896E-7</v>
      </c>
      <c r="I278">
        <v>368.04390000000001</v>
      </c>
      <c r="J278">
        <v>-403.60750000000002</v>
      </c>
      <c r="K278">
        <v>1.0533330000000001</v>
      </c>
      <c r="L278">
        <v>367.260999999999</v>
      </c>
      <c r="M278">
        <v>0.99974609999999997</v>
      </c>
      <c r="N278">
        <v>0</v>
      </c>
      <c r="O278">
        <v>1.948122E-2</v>
      </c>
      <c r="P278">
        <v>0.99068889999999998</v>
      </c>
      <c r="Q278">
        <v>8.6497229999999994E-2</v>
      </c>
      <c r="R278">
        <v>0.10513749999999999</v>
      </c>
      <c r="S278">
        <v>3.03302</v>
      </c>
      <c r="T278">
        <v>-0.62564949999999997</v>
      </c>
      <c r="U278">
        <v>0.4692383</v>
      </c>
      <c r="V278">
        <v>-8.5902590000000001E-2</v>
      </c>
      <c r="W278">
        <v>9.7661330000000005E-2</v>
      </c>
      <c r="X278">
        <v>0.99150539999999998</v>
      </c>
      <c r="Y278">
        <v>-0.13131029999999999</v>
      </c>
      <c r="Z278">
        <v>9.3728719999999904E-3</v>
      </c>
      <c r="AA278">
        <v>0.99129699999999998</v>
      </c>
      <c r="AB278">
        <v>36</v>
      </c>
      <c r="AC278">
        <v>4.7513000000000103</v>
      </c>
      <c r="AD278">
        <v>-1.0533337936831</v>
      </c>
      <c r="AE278">
        <v>0.78290000000004001</v>
      </c>
      <c r="AF278">
        <v>-0.65866776139362804</v>
      </c>
      <c r="AG278">
        <v>-1.0533337936831</v>
      </c>
      <c r="AH278">
        <v>4.5480322654870298</v>
      </c>
      <c r="AI278">
        <v>102.909811601672</v>
      </c>
      <c r="AJ278">
        <v>98.240554214641094</v>
      </c>
      <c r="AK278">
        <v>4.7146529870951497</v>
      </c>
    </row>
    <row r="279" spans="1:37" x14ac:dyDescent="0.2">
      <c r="A279" t="str">
        <f>"20200111150459045"</f>
        <v>20200111150459045</v>
      </c>
      <c r="B279" t="str">
        <f>"1578726299033689"</f>
        <v>1578726299033689</v>
      </c>
      <c r="C279" t="s">
        <v>37</v>
      </c>
      <c r="D279">
        <v>5.1365099999999897</v>
      </c>
      <c r="E279">
        <v>0.49288399999999999</v>
      </c>
      <c r="F279" t="s">
        <v>39</v>
      </c>
      <c r="G279">
        <v>-397.03030000000001</v>
      </c>
      <c r="H279" s="1">
        <v>-1.5170259999999999E-6</v>
      </c>
      <c r="I279">
        <v>368.1465</v>
      </c>
      <c r="J279">
        <v>-403.27010000000001</v>
      </c>
      <c r="K279">
        <v>1.053283</v>
      </c>
      <c r="L279">
        <v>367.26780000000002</v>
      </c>
      <c r="M279">
        <v>0.99974219999999903</v>
      </c>
      <c r="N279">
        <v>0</v>
      </c>
      <c r="O279">
        <v>1.9684030000000002E-2</v>
      </c>
      <c r="P279">
        <v>0.99075100000000005</v>
      </c>
      <c r="Q279">
        <v>8.6011989999999997E-2</v>
      </c>
      <c r="R279">
        <v>0.1049518</v>
      </c>
      <c r="S279">
        <v>3.0272830000000002</v>
      </c>
      <c r="T279">
        <v>-0.48480820000000002</v>
      </c>
      <c r="U279">
        <v>0.40756229999999999</v>
      </c>
      <c r="V279">
        <v>-8.5501389999999997E-2</v>
      </c>
      <c r="W279">
        <v>9.7189620000000004E-2</v>
      </c>
      <c r="X279">
        <v>0.99158639999999998</v>
      </c>
      <c r="Y279">
        <v>-0.11272699999999999</v>
      </c>
      <c r="Z279">
        <v>5.8121450000000003E-3</v>
      </c>
      <c r="AA279">
        <v>0.99360899999999996</v>
      </c>
      <c r="AB279">
        <v>36</v>
      </c>
      <c r="AC279">
        <v>6.2397999999999998</v>
      </c>
      <c r="AD279">
        <v>-1.0532845170259999</v>
      </c>
      <c r="AE279">
        <v>0.87869999999998005</v>
      </c>
      <c r="AF279">
        <v>-0.73515736832796397</v>
      </c>
      <c r="AG279">
        <v>-1.0532845170259999</v>
      </c>
      <c r="AH279">
        <v>6.0858514104361303</v>
      </c>
      <c r="AI279">
        <v>99.749471992008196</v>
      </c>
      <c r="AJ279">
        <v>96.887829970964603</v>
      </c>
      <c r="AK279">
        <v>6.2199237953467801</v>
      </c>
    </row>
    <row r="280" spans="1:37" x14ac:dyDescent="0.2">
      <c r="A280" t="str">
        <f>"20200111150459067"</f>
        <v>20200111150459067</v>
      </c>
      <c r="B280" t="str">
        <f>"1578726299063946"</f>
        <v>1578726299063946</v>
      </c>
      <c r="C280" t="s">
        <v>37</v>
      </c>
      <c r="D280">
        <v>5.011609</v>
      </c>
      <c r="E280">
        <v>0.49599189999999999</v>
      </c>
      <c r="F280" t="s">
        <v>39</v>
      </c>
      <c r="G280">
        <v>-394.90109999999999</v>
      </c>
      <c r="H280" s="1">
        <v>-2.4019560000000001E-6</v>
      </c>
      <c r="I280">
        <v>368.30709999999999</v>
      </c>
      <c r="J280">
        <v>-402.91109999999998</v>
      </c>
      <c r="K280">
        <v>1.0532319999999999</v>
      </c>
      <c r="L280">
        <v>367.27510000000001</v>
      </c>
      <c r="M280">
        <v>0.99973849999999997</v>
      </c>
      <c r="N280">
        <v>0</v>
      </c>
      <c r="O280">
        <v>1.986868E-2</v>
      </c>
      <c r="P280">
        <v>0.99073889999999998</v>
      </c>
      <c r="Q280">
        <v>8.6179350000000002E-2</v>
      </c>
      <c r="R280">
        <v>0.1049273</v>
      </c>
      <c r="S280">
        <v>3.021271</v>
      </c>
      <c r="T280">
        <v>-0.38023820000000003</v>
      </c>
      <c r="U280">
        <v>0.37524409999999903</v>
      </c>
      <c r="V280">
        <v>-8.5282880000000005E-2</v>
      </c>
      <c r="W280">
        <v>9.7365220000000002E-2</v>
      </c>
      <c r="X280">
        <v>0.99158809999999997</v>
      </c>
      <c r="Y280">
        <v>-0.1028666</v>
      </c>
      <c r="Z280">
        <v>3.9426699999999997E-3</v>
      </c>
      <c r="AA280">
        <v>0.9946874</v>
      </c>
      <c r="AB280">
        <v>36</v>
      </c>
      <c r="AC280">
        <v>8.0099999999999891</v>
      </c>
      <c r="AD280">
        <v>-1.053234401956</v>
      </c>
      <c r="AE280">
        <v>1.03199999999998</v>
      </c>
      <c r="AF280">
        <v>-0.85804490876512896</v>
      </c>
      <c r="AG280">
        <v>-1.053234401956</v>
      </c>
      <c r="AH280">
        <v>7.8946576564367197</v>
      </c>
      <c r="AI280">
        <v>97.555043466096095</v>
      </c>
      <c r="AJ280">
        <v>96.202945419120297</v>
      </c>
      <c r="AK280">
        <v>8.0106905621960198</v>
      </c>
    </row>
    <row r="281" spans="1:37" x14ac:dyDescent="0.2">
      <c r="A281" t="str">
        <f>"20200111150459090"</f>
        <v>20200111150459090</v>
      </c>
      <c r="B281" t="str">
        <f>"1578726299084442"</f>
        <v>1578726299084442</v>
      </c>
      <c r="C281" t="s">
        <v>37</v>
      </c>
      <c r="D281">
        <v>4.7359200000000001</v>
      </c>
      <c r="E281">
        <v>0.50177819999999995</v>
      </c>
      <c r="F281" t="s">
        <v>54</v>
      </c>
      <c r="G281">
        <v>-192.18119999999999</v>
      </c>
      <c r="H281">
        <v>16.857979999999898</v>
      </c>
      <c r="I281">
        <v>391.87</v>
      </c>
      <c r="J281">
        <v>-402.54750000000001</v>
      </c>
      <c r="K281">
        <v>1.053186</v>
      </c>
      <c r="L281">
        <v>367.28250000000003</v>
      </c>
      <c r="M281">
        <v>0.99973509999999999</v>
      </c>
      <c r="N281">
        <v>0</v>
      </c>
      <c r="O281">
        <v>2.003512E-2</v>
      </c>
      <c r="P281">
        <v>0.99073429999999996</v>
      </c>
      <c r="Q281">
        <v>8.5955299999999998E-2</v>
      </c>
      <c r="R281">
        <v>0.10515339999999999</v>
      </c>
      <c r="S281">
        <v>2.971924</v>
      </c>
      <c r="T281">
        <v>0.22289429999999899</v>
      </c>
      <c r="U281">
        <v>0.34686279999999903</v>
      </c>
      <c r="V281">
        <v>-8.5334859999999998E-2</v>
      </c>
      <c r="W281">
        <v>9.7143569999999999E-2</v>
      </c>
      <c r="X281">
        <v>0.99160530000000002</v>
      </c>
      <c r="Y281">
        <v>-9.5791970000000004E-2</v>
      </c>
      <c r="Z281">
        <v>-2.0800200000000001E-3</v>
      </c>
      <c r="AA281">
        <v>0.99539920000000004</v>
      </c>
      <c r="AB281">
        <v>36</v>
      </c>
      <c r="AC281">
        <v>210.3663</v>
      </c>
      <c r="AD281">
        <v>15.8047939999999</v>
      </c>
      <c r="AE281">
        <v>24.587499999999899</v>
      </c>
      <c r="AF281">
        <v>-20.2547921989873</v>
      </c>
      <c r="AG281">
        <v>15.8047939999999</v>
      </c>
      <c r="AH281">
        <v>209.64929708860399</v>
      </c>
      <c r="AI281">
        <v>85.708713877334205</v>
      </c>
      <c r="AJ281">
        <v>95.518375008100904</v>
      </c>
      <c r="AK281">
        <v>211.217603173013</v>
      </c>
    </row>
    <row r="282" spans="1:37" x14ac:dyDescent="0.2">
      <c r="A282" t="str">
        <f>"20200111150459114"</f>
        <v>20200111150459114</v>
      </c>
      <c r="B282" t="str">
        <f>"1578726299103964"</f>
        <v>1578726299103964</v>
      </c>
      <c r="C282" t="s">
        <v>37</v>
      </c>
      <c r="D282">
        <v>8.5670029999999997</v>
      </c>
      <c r="E282">
        <v>0.50443300000000002</v>
      </c>
      <c r="F282" t="s">
        <v>55</v>
      </c>
      <c r="G282">
        <v>60.220790000000001</v>
      </c>
      <c r="H282">
        <v>-0.1</v>
      </c>
      <c r="I282">
        <v>414.04849999999999</v>
      </c>
      <c r="J282">
        <v>-402.17090000000002</v>
      </c>
      <c r="K282">
        <v>1.053156</v>
      </c>
      <c r="L282">
        <v>367.29020000000003</v>
      </c>
      <c r="M282">
        <v>0.99973210000000001</v>
      </c>
      <c r="N282">
        <v>0</v>
      </c>
      <c r="O282">
        <v>2.0192870000000002E-2</v>
      </c>
      <c r="P282">
        <v>0.99078630000000001</v>
      </c>
      <c r="Q282">
        <v>8.5674910000000007E-2</v>
      </c>
      <c r="R282">
        <v>0.104892899999999</v>
      </c>
      <c r="S282">
        <v>2.9965820000000001</v>
      </c>
      <c r="T282">
        <v>-7.4672699999999998E-3</v>
      </c>
      <c r="U282">
        <v>0.30282589999999998</v>
      </c>
      <c r="V282">
        <v>-8.4910689999999997E-2</v>
      </c>
      <c r="W282">
        <v>9.6862149999999994E-2</v>
      </c>
      <c r="X282">
        <v>0.99166919999999903</v>
      </c>
      <c r="Y282">
        <v>-8.0432500000000004E-2</v>
      </c>
      <c r="Z282" s="1">
        <v>4.9782159999999901E-5</v>
      </c>
      <c r="AA282">
        <v>0.99676010000000004</v>
      </c>
      <c r="AB282">
        <v>36</v>
      </c>
      <c r="AC282">
        <v>462.39168999999998</v>
      </c>
      <c r="AD282">
        <v>-1.1531559999999901</v>
      </c>
      <c r="AE282">
        <v>46.758299999999899</v>
      </c>
      <c r="AF282">
        <v>-37.410921789565798</v>
      </c>
      <c r="AG282">
        <v>-1.1531559999999901</v>
      </c>
      <c r="AH282">
        <v>463.23879049345601</v>
      </c>
      <c r="AI282">
        <v>90.142165176700999</v>
      </c>
      <c r="AJ282">
        <v>94.617156663659699</v>
      </c>
      <c r="AK282">
        <v>464.74840920195197</v>
      </c>
    </row>
    <row r="283" spans="1:37" x14ac:dyDescent="0.2">
      <c r="A283" t="str">
        <f>"20200111150459136"</f>
        <v>20200111150459136</v>
      </c>
      <c r="B283" t="str">
        <f>"1578726299134217"</f>
        <v>1578726299134217</v>
      </c>
      <c r="C283" t="s">
        <v>37</v>
      </c>
      <c r="D283">
        <v>4.8876019999999896</v>
      </c>
      <c r="E283">
        <v>0.48948190000000003</v>
      </c>
      <c r="F283" t="s">
        <v>53</v>
      </c>
      <c r="G283">
        <v>0</v>
      </c>
      <c r="H283">
        <v>0</v>
      </c>
      <c r="I283">
        <v>0</v>
      </c>
      <c r="J283">
        <v>-401.8141</v>
      </c>
      <c r="K283">
        <v>1.05314</v>
      </c>
      <c r="L283">
        <v>367.29750000000001</v>
      </c>
      <c r="M283">
        <v>0.99972929999999904</v>
      </c>
      <c r="N283">
        <v>0</v>
      </c>
      <c r="O283">
        <v>2.0334999999999999E-2</v>
      </c>
      <c r="P283">
        <v>0.99081960000000002</v>
      </c>
      <c r="Q283">
        <v>8.5593639999999999E-2</v>
      </c>
      <c r="R283">
        <v>0.10464329999999999</v>
      </c>
      <c r="S283">
        <v>2.9931640000000002</v>
      </c>
      <c r="T283">
        <v>5.7473900000000001E-2</v>
      </c>
      <c r="U283">
        <v>0.28097529999999998</v>
      </c>
      <c r="V283">
        <v>-8.4514660000000005E-2</v>
      </c>
      <c r="W283">
        <v>9.6777669999999996E-2</v>
      </c>
      <c r="X283">
        <v>0.99171129999999996</v>
      </c>
      <c r="Y283">
        <v>-7.3185199999999895E-2</v>
      </c>
      <c r="Z283">
        <v>-3.1154860000000002E-4</v>
      </c>
      <c r="AA283">
        <v>0.99731829999999999</v>
      </c>
      <c r="AB283">
        <v>36</v>
      </c>
      <c r="AC283">
        <v>2.9931640000000002</v>
      </c>
      <c r="AD283">
        <v>5.7473900000000001E-2</v>
      </c>
      <c r="AE283">
        <v>0.28097529999999998</v>
      </c>
      <c r="AF283">
        <v>-0.21996691841114099</v>
      </c>
      <c r="AG283">
        <v>5.7473900000000001E-2</v>
      </c>
      <c r="AH283">
        <v>2.9971635802292198</v>
      </c>
      <c r="AI283">
        <v>88.904371240482902</v>
      </c>
      <c r="AJ283">
        <v>94.197508823269601</v>
      </c>
      <c r="AK283">
        <v>3.0057741467097898</v>
      </c>
    </row>
    <row r="284" spans="1:37" x14ac:dyDescent="0.2">
      <c r="A284" t="str">
        <f>"20200111150459157"</f>
        <v>20200111150459157</v>
      </c>
      <c r="B284" t="str">
        <f>"1578726299153737"</f>
        <v>1578726299153737</v>
      </c>
      <c r="C284" t="s">
        <v>37</v>
      </c>
      <c r="D284">
        <v>5.1585869999999998</v>
      </c>
      <c r="E284">
        <v>0.48597020000000002</v>
      </c>
      <c r="F284" t="s">
        <v>54</v>
      </c>
      <c r="G284">
        <v>-219.16650000000001</v>
      </c>
      <c r="H284">
        <v>35.808790000000002</v>
      </c>
      <c r="I284">
        <v>391.87</v>
      </c>
      <c r="J284">
        <v>-401.47899999999998</v>
      </c>
      <c r="K284">
        <v>1.0531269999999999</v>
      </c>
      <c r="L284">
        <v>367.30450000000002</v>
      </c>
      <c r="M284">
        <v>0.99972669999999997</v>
      </c>
      <c r="N284">
        <v>0</v>
      </c>
      <c r="O284">
        <v>2.0466459999999999E-2</v>
      </c>
      <c r="P284">
        <v>0.99079280000000003</v>
      </c>
      <c r="Q284">
        <v>8.523712E-2</v>
      </c>
      <c r="R284">
        <v>0.105186999999999</v>
      </c>
      <c r="S284">
        <v>2.9377749999999998</v>
      </c>
      <c r="T284">
        <v>0.55902299999999905</v>
      </c>
      <c r="U284">
        <v>0.39523320000000001</v>
      </c>
      <c r="V284">
        <v>-8.4924769999999997E-2</v>
      </c>
      <c r="W284">
        <v>9.6417920000000004E-2</v>
      </c>
      <c r="X284">
        <v>0.99171129999999996</v>
      </c>
      <c r="Y284">
        <v>-0.111418499999999</v>
      </c>
      <c r="Z284">
        <v>-6.6188790000000003E-3</v>
      </c>
      <c r="AA284">
        <v>0.99375149999999901</v>
      </c>
      <c r="AB284">
        <v>36</v>
      </c>
      <c r="AC284">
        <v>182.3125</v>
      </c>
      <c r="AD284">
        <v>34.755662999999998</v>
      </c>
      <c r="AE284">
        <v>24.565499999999901</v>
      </c>
      <c r="AF284">
        <v>-20.110968809989501</v>
      </c>
      <c r="AG284">
        <v>34.755662999999998</v>
      </c>
      <c r="AH284">
        <v>176.47778392798699</v>
      </c>
      <c r="AI284">
        <v>78.928577475651394</v>
      </c>
      <c r="AJ284">
        <v>96.501238785274893</v>
      </c>
      <c r="AK284">
        <v>180.988439954542</v>
      </c>
    </row>
    <row r="285" spans="1:37" x14ac:dyDescent="0.2">
      <c r="A285" t="str">
        <f>"20200111150459180"</f>
        <v>20200111150459180</v>
      </c>
      <c r="B285" t="str">
        <f>"1578726299174234"</f>
        <v>1578726299174234</v>
      </c>
      <c r="C285" t="s">
        <v>37</v>
      </c>
      <c r="D285">
        <v>5.5376190000000003</v>
      </c>
      <c r="E285">
        <v>0.48424349999999999</v>
      </c>
      <c r="F285" t="s">
        <v>54</v>
      </c>
      <c r="G285">
        <v>-234.267</v>
      </c>
      <c r="H285">
        <v>29.533149999999999</v>
      </c>
      <c r="I285">
        <v>391.47460000000001</v>
      </c>
      <c r="J285">
        <v>-401.11520000000002</v>
      </c>
      <c r="K285">
        <v>1.0532139999999901</v>
      </c>
      <c r="L285">
        <v>367.31209999999999</v>
      </c>
      <c r="M285">
        <v>0.99971949999999998</v>
      </c>
      <c r="N285">
        <v>0</v>
      </c>
      <c r="O285">
        <v>2.060265E-2</v>
      </c>
      <c r="P285">
        <v>0.99075539999999995</v>
      </c>
      <c r="Q285">
        <v>8.5392999999999997E-2</v>
      </c>
      <c r="R285">
        <v>0.1054127</v>
      </c>
      <c r="S285">
        <v>2.9396969999999998</v>
      </c>
      <c r="T285">
        <v>0.50069739999999996</v>
      </c>
      <c r="U285">
        <v>0.42492679999999999</v>
      </c>
      <c r="V285">
        <v>-8.501351E-2</v>
      </c>
      <c r="W285">
        <v>9.6951850000000006E-2</v>
      </c>
      <c r="X285">
        <v>0.99165170000000002</v>
      </c>
      <c r="Y285">
        <v>-0.12121999999999999</v>
      </c>
      <c r="Z285">
        <v>-6.7324239999999999E-3</v>
      </c>
      <c r="AA285">
        <v>0.99260280000000001</v>
      </c>
      <c r="AB285">
        <v>36</v>
      </c>
      <c r="AC285">
        <v>166.84819999999999</v>
      </c>
      <c r="AD285">
        <v>28.479935999999999</v>
      </c>
      <c r="AE285">
        <v>24.162500000000001</v>
      </c>
      <c r="AF285">
        <v>-20.144733802326499</v>
      </c>
      <c r="AG285">
        <v>28.479935999999999</v>
      </c>
      <c r="AH285">
        <v>162.66842038929801</v>
      </c>
      <c r="AI285">
        <v>80.143126803624497</v>
      </c>
      <c r="AJ285">
        <v>97.059523637616195</v>
      </c>
      <c r="AK285">
        <v>166.36685982033799</v>
      </c>
    </row>
    <row r="286" spans="1:37" x14ac:dyDescent="0.2">
      <c r="A286" t="str">
        <f>"20200111150459202"</f>
        <v>20200111150459202</v>
      </c>
      <c r="B286" t="str">
        <f>"1578726299193753"</f>
        <v>1578726299193753</v>
      </c>
      <c r="C286" t="s">
        <v>37</v>
      </c>
      <c r="D286">
        <v>4.9827490000000001</v>
      </c>
      <c r="E286">
        <v>0.48897439999999998</v>
      </c>
      <c r="F286" t="s">
        <v>56</v>
      </c>
      <c r="G286">
        <v>-243.45660000000001</v>
      </c>
      <c r="H286">
        <v>26.235859999999999</v>
      </c>
      <c r="I286">
        <v>390.88350000000003</v>
      </c>
      <c r="J286">
        <v>-400.75209999999998</v>
      </c>
      <c r="K286">
        <v>1.0536989999999999</v>
      </c>
      <c r="L286">
        <v>367.31979999999999</v>
      </c>
      <c r="M286">
        <v>0.9997007</v>
      </c>
      <c r="N286">
        <v>0</v>
      </c>
      <c r="O286">
        <v>2.072396E-2</v>
      </c>
      <c r="P286">
        <v>0.99084459999999996</v>
      </c>
      <c r="Q286">
        <v>8.4465849999999995E-2</v>
      </c>
      <c r="R286">
        <v>0.1053215</v>
      </c>
      <c r="S286">
        <v>2.9407349999999899</v>
      </c>
      <c r="T286">
        <v>0.46972120000000001</v>
      </c>
      <c r="U286">
        <v>0.43966670000000002</v>
      </c>
      <c r="V286">
        <v>-8.4795599999999999E-2</v>
      </c>
      <c r="W286">
        <v>9.7338149999999998E-2</v>
      </c>
      <c r="X286">
        <v>0.99163250000000003</v>
      </c>
      <c r="Y286">
        <v>-0.12603110000000001</v>
      </c>
      <c r="Z286">
        <v>-6.67739599999999E-3</v>
      </c>
      <c r="AA286">
        <v>0.99200379999999999</v>
      </c>
      <c r="AB286">
        <v>36</v>
      </c>
      <c r="AC286">
        <v>157.29549999999901</v>
      </c>
      <c r="AD286">
        <v>25.182161000000001</v>
      </c>
      <c r="AE286">
        <v>23.563700000000001</v>
      </c>
      <c r="AF286">
        <v>-19.8021817301616</v>
      </c>
      <c r="AG286">
        <v>25.182161000000001</v>
      </c>
      <c r="AH286">
        <v>153.89235644617699</v>
      </c>
      <c r="AI286">
        <v>80.781456310584502</v>
      </c>
      <c r="AJ286">
        <v>97.332274600782696</v>
      </c>
      <c r="AK286">
        <v>157.19136428716899</v>
      </c>
    </row>
    <row r="287" spans="1:37" x14ac:dyDescent="0.2">
      <c r="A287" t="str">
        <f>"20200111150459370"</f>
        <v>20200111150459370</v>
      </c>
      <c r="B287" t="str">
        <f>"1578726299364553"</f>
        <v>1578726299364553</v>
      </c>
      <c r="C287" t="s">
        <v>37</v>
      </c>
      <c r="D287">
        <v>4.1784809999999997</v>
      </c>
      <c r="E287">
        <v>0.51613629999999999</v>
      </c>
      <c r="F287" t="s">
        <v>54</v>
      </c>
      <c r="G287">
        <v>-220.6387</v>
      </c>
      <c r="H287">
        <v>29.540939999999999</v>
      </c>
      <c r="I287">
        <v>391.87</v>
      </c>
      <c r="J287">
        <v>-398.10059999999999</v>
      </c>
      <c r="K287">
        <v>1.0635110000000001</v>
      </c>
      <c r="L287">
        <v>367.37699999999899</v>
      </c>
      <c r="M287">
        <v>0.99975429999999998</v>
      </c>
      <c r="N287">
        <v>0</v>
      </c>
      <c r="O287">
        <v>2.1785780000000001E-2</v>
      </c>
      <c r="P287">
        <v>0.99018700000000004</v>
      </c>
      <c r="Q287">
        <v>9.6387589999999995E-2</v>
      </c>
      <c r="R287">
        <v>0.10118779999999999</v>
      </c>
      <c r="S287">
        <v>2.9453130000000001</v>
      </c>
      <c r="T287">
        <v>0.46583869999999999</v>
      </c>
      <c r="U287">
        <v>0.4014587</v>
      </c>
      <c r="V287">
        <v>-7.9614660000000004E-2</v>
      </c>
      <c r="W287">
        <v>0.1004627</v>
      </c>
      <c r="X287">
        <v>0.99175040000000003</v>
      </c>
      <c r="Y287">
        <v>-0.11233269999999999</v>
      </c>
      <c r="Z287">
        <v>-5.3811479999999997E-3</v>
      </c>
      <c r="AA287">
        <v>0.99365609999999904</v>
      </c>
      <c r="AB287">
        <v>36</v>
      </c>
      <c r="AC287">
        <v>177.46190000000001</v>
      </c>
      <c r="AD287">
        <v>28.477429000000001</v>
      </c>
      <c r="AE287">
        <v>24.492999999999999</v>
      </c>
      <c r="AF287">
        <v>-20.1127694356381</v>
      </c>
      <c r="AG287">
        <v>28.477429000000001</v>
      </c>
      <c r="AH287">
        <v>173.56742674904001</v>
      </c>
      <c r="AI287">
        <v>80.743283312086504</v>
      </c>
      <c r="AJ287">
        <v>96.609880643139803</v>
      </c>
      <c r="AK287">
        <v>177.03428787979101</v>
      </c>
    </row>
    <row r="288" spans="1:37" x14ac:dyDescent="0.2">
      <c r="A288" t="str">
        <f>"20200111150459392"</f>
        <v>20200111150459392</v>
      </c>
      <c r="B288" t="str">
        <f>"1578726299384073"</f>
        <v>1578726299384073</v>
      </c>
      <c r="C288" t="s">
        <v>37</v>
      </c>
      <c r="D288">
        <v>4.9874260000000001</v>
      </c>
      <c r="E288">
        <v>0.52489469999999905</v>
      </c>
      <c r="F288" t="s">
        <v>38</v>
      </c>
      <c r="G288">
        <v>-397.42579999999998</v>
      </c>
      <c r="H288">
        <v>0.79521560000000002</v>
      </c>
      <c r="I288">
        <v>367.41789999999997</v>
      </c>
      <c r="J288">
        <v>-397.73349999999999</v>
      </c>
      <c r="K288">
        <v>1.0662849999999999</v>
      </c>
      <c r="L288">
        <v>367.38510000000002</v>
      </c>
      <c r="M288">
        <v>0.99975020000000003</v>
      </c>
      <c r="N288">
        <v>0</v>
      </c>
      <c r="O288">
        <v>2.1943379999999998E-2</v>
      </c>
      <c r="P288">
        <v>0.99018030000000001</v>
      </c>
      <c r="Q288">
        <v>9.7029790000000005E-2</v>
      </c>
      <c r="R288">
        <v>0.10064049999999999</v>
      </c>
      <c r="S288">
        <v>3.1315</v>
      </c>
      <c r="T288">
        <v>-1.245128</v>
      </c>
      <c r="U288">
        <v>0.1901245</v>
      </c>
      <c r="V288">
        <v>-7.8910820000000007E-2</v>
      </c>
      <c r="W288">
        <v>0.1012446</v>
      </c>
      <c r="X288">
        <v>0.99172709999999997</v>
      </c>
      <c r="Y288">
        <v>-3.7503660000000001E-2</v>
      </c>
      <c r="Z288">
        <v>-1.21966E-3</v>
      </c>
      <c r="AA288">
        <v>0.99929579999999996</v>
      </c>
      <c r="AB288">
        <v>36</v>
      </c>
      <c r="AC288">
        <v>0.30770000000001102</v>
      </c>
      <c r="AD288">
        <v>-0.27106939999999902</v>
      </c>
      <c r="AE288">
        <v>3.2799999999951902E-2</v>
      </c>
      <c r="AF288">
        <v>-1.47338792967459E-2</v>
      </c>
      <c r="AG288">
        <v>-0.27106939999999902</v>
      </c>
      <c r="AH288">
        <v>0.17446684647812899</v>
      </c>
      <c r="AI288">
        <v>147.14096220147599</v>
      </c>
      <c r="AJ288">
        <v>94.827225089750598</v>
      </c>
      <c r="AK288">
        <v>0.32269860138450202</v>
      </c>
    </row>
    <row r="289" spans="1:37" x14ac:dyDescent="0.2">
      <c r="A289" t="str">
        <f>"20200111150459415"</f>
        <v>20200111150459415</v>
      </c>
      <c r="B289" t="str">
        <f>"1578726299404570"</f>
        <v>1578726299404570</v>
      </c>
      <c r="C289" t="s">
        <v>37</v>
      </c>
      <c r="D289">
        <v>4.6106590000000001</v>
      </c>
      <c r="E289">
        <v>0.52711830000000004</v>
      </c>
      <c r="F289" t="s">
        <v>38</v>
      </c>
      <c r="G289">
        <v>-396.73790000000002</v>
      </c>
      <c r="H289">
        <v>0.92462169999999899</v>
      </c>
      <c r="I289">
        <v>367.42110000000002</v>
      </c>
      <c r="J289">
        <v>-397.37759999999997</v>
      </c>
      <c r="K289">
        <v>1.069156</v>
      </c>
      <c r="L289">
        <v>367.39299999999997</v>
      </c>
      <c r="M289">
        <v>0.99974819999999998</v>
      </c>
      <c r="N289">
        <v>0</v>
      </c>
      <c r="O289">
        <v>2.206779E-2</v>
      </c>
      <c r="P289">
        <v>0.99017359999999899</v>
      </c>
      <c r="Q289">
        <v>9.759806E-2</v>
      </c>
      <c r="R289">
        <v>0.10015489999999901</v>
      </c>
      <c r="S289">
        <v>3.0611570000000001</v>
      </c>
      <c r="T289">
        <v>-0.43559290000000001</v>
      </c>
      <c r="U289">
        <v>0.1108398</v>
      </c>
      <c r="V289">
        <v>-7.8301999999999997E-2</v>
      </c>
      <c r="W289">
        <v>0.1016222</v>
      </c>
      <c r="X289">
        <v>0.99173670000000003</v>
      </c>
      <c r="Y289">
        <v>-1.420153E-2</v>
      </c>
      <c r="Z289">
        <v>-2.1179279999999998E-3</v>
      </c>
      <c r="AA289">
        <v>0.99989689999999998</v>
      </c>
      <c r="AB289">
        <v>35</v>
      </c>
      <c r="AC289">
        <v>0.63969999999994798</v>
      </c>
      <c r="AD289">
        <v>-0.1445343</v>
      </c>
      <c r="AE289">
        <v>2.80999999999949E-2</v>
      </c>
      <c r="AF289">
        <v>-1.3298694221873301E-2</v>
      </c>
      <c r="AG289">
        <v>-0.1445343</v>
      </c>
      <c r="AH289">
        <v>0.60912866524703202</v>
      </c>
      <c r="AI289">
        <v>103.34524179992199</v>
      </c>
      <c r="AJ289">
        <v>91.250701317044104</v>
      </c>
      <c r="AK289">
        <v>0.62618268098864505</v>
      </c>
    </row>
    <row r="290" spans="1:37" x14ac:dyDescent="0.2">
      <c r="A290" t="str">
        <f>"20200111150459437"</f>
        <v>20200111150459437</v>
      </c>
      <c r="B290" t="str">
        <f>"1578726299433849"</f>
        <v>1578726299433849</v>
      </c>
      <c r="C290" t="s">
        <v>37</v>
      </c>
      <c r="D290">
        <v>5.0730519999999997</v>
      </c>
      <c r="E290">
        <v>0.53086999999999995</v>
      </c>
      <c r="F290" t="s">
        <v>38</v>
      </c>
      <c r="G290">
        <v>-396.39659999999998</v>
      </c>
      <c r="H290">
        <v>0.9731706</v>
      </c>
      <c r="I290">
        <v>367.42169999999999</v>
      </c>
      <c r="J290">
        <v>-397.01769999999999</v>
      </c>
      <c r="K290">
        <v>1.0721849999999999</v>
      </c>
      <c r="L290">
        <v>367.40109999999999</v>
      </c>
      <c r="M290">
        <v>0.99974689999999999</v>
      </c>
      <c r="N290">
        <v>0</v>
      </c>
      <c r="O290">
        <v>2.216566E-2</v>
      </c>
      <c r="P290">
        <v>0.99008439999999998</v>
      </c>
      <c r="Q290">
        <v>9.8589309999999999E-2</v>
      </c>
      <c r="R290">
        <v>0.10006619999999999</v>
      </c>
      <c r="S290">
        <v>3.050049</v>
      </c>
      <c r="T290">
        <v>-0.29860949999999897</v>
      </c>
      <c r="U290">
        <v>9.0515139999999994E-2</v>
      </c>
      <c r="V290">
        <v>-7.8116389999999994E-2</v>
      </c>
      <c r="W290">
        <v>0.102413799999999</v>
      </c>
      <c r="X290">
        <v>0.99166989999999999</v>
      </c>
      <c r="Y290">
        <v>-7.5698969999999999E-3</v>
      </c>
      <c r="Z290">
        <v>-1.794552E-3</v>
      </c>
      <c r="AA290">
        <v>0.99996969999999996</v>
      </c>
      <c r="AB290">
        <v>36</v>
      </c>
      <c r="AC290">
        <v>0.62110000000001198</v>
      </c>
      <c r="AD290">
        <v>-9.9014399999999905E-2</v>
      </c>
      <c r="AE290">
        <v>2.06000000000017E-2</v>
      </c>
      <c r="AF290">
        <v>-6.6587066380921402E-3</v>
      </c>
      <c r="AG290">
        <v>-9.9014399999999905E-2</v>
      </c>
      <c r="AH290">
        <v>0.60601953721574697</v>
      </c>
      <c r="AI290">
        <v>99.278721806874699</v>
      </c>
      <c r="AJ290">
        <v>90.629518376723198</v>
      </c>
      <c r="AK290">
        <v>0.614091091995837</v>
      </c>
    </row>
    <row r="291" spans="1:37" x14ac:dyDescent="0.2">
      <c r="A291" t="str">
        <f>"20200111150459459"</f>
        <v>20200111150459459</v>
      </c>
      <c r="B291" t="str">
        <f>"1578726299454346"</f>
        <v>1578726299454346</v>
      </c>
      <c r="C291" t="s">
        <v>37</v>
      </c>
      <c r="D291">
        <v>5.0377910000000004</v>
      </c>
      <c r="E291">
        <v>0.53124939999999998</v>
      </c>
      <c r="F291" t="s">
        <v>38</v>
      </c>
      <c r="G291">
        <v>-396.06909999999999</v>
      </c>
      <c r="H291">
        <v>0.98932779999999998</v>
      </c>
      <c r="I291">
        <v>367.4194</v>
      </c>
      <c r="J291">
        <v>-396.6771</v>
      </c>
      <c r="K291">
        <v>1.0751120000000001</v>
      </c>
      <c r="L291">
        <v>367.40870000000001</v>
      </c>
      <c r="M291">
        <v>0.99974540000000001</v>
      </c>
      <c r="N291">
        <v>0</v>
      </c>
      <c r="O291">
        <v>2.2230469999999999E-2</v>
      </c>
      <c r="P291">
        <v>0.98993759999999997</v>
      </c>
      <c r="Q291">
        <v>9.9625089999999999E-2</v>
      </c>
      <c r="R291">
        <v>0.10049089999999999</v>
      </c>
      <c r="S291">
        <v>3.0505369999999998</v>
      </c>
      <c r="T291">
        <v>-0.2666422</v>
      </c>
      <c r="U291">
        <v>5.993652E-2</v>
      </c>
      <c r="V291">
        <v>-7.8476820000000003E-2</v>
      </c>
      <c r="W291">
        <v>0.1034431</v>
      </c>
      <c r="X291">
        <v>0.99153469999999999</v>
      </c>
      <c r="Y291">
        <v>2.4929179999999998E-3</v>
      </c>
      <c r="Z291">
        <v>-2.0477659999999999E-3</v>
      </c>
      <c r="AA291">
        <v>0.99999479999999996</v>
      </c>
      <c r="AB291">
        <v>36</v>
      </c>
      <c r="AC291">
        <v>0.60800000000000398</v>
      </c>
      <c r="AD291">
        <v>-8.5784200000000005E-2</v>
      </c>
      <c r="AE291">
        <v>1.06999999999857E-2</v>
      </c>
      <c r="AF291">
        <v>2.7638675556430599E-3</v>
      </c>
      <c r="AG291">
        <v>-8.5784200000000005E-2</v>
      </c>
      <c r="AH291">
        <v>0.59622224598463203</v>
      </c>
      <c r="AI291">
        <v>98.187416451140393</v>
      </c>
      <c r="AJ291">
        <v>89.734399692682203</v>
      </c>
      <c r="AK291">
        <v>0.60236827152537198</v>
      </c>
    </row>
    <row r="292" spans="1:37" x14ac:dyDescent="0.2">
      <c r="A292" t="str">
        <f>"20200111150459482"</f>
        <v>20200111150459482</v>
      </c>
      <c r="B292" t="str">
        <f>"1578726299473865"</f>
        <v>1578726299473865</v>
      </c>
      <c r="C292" t="s">
        <v>37</v>
      </c>
      <c r="D292">
        <v>5.1420199999999996</v>
      </c>
      <c r="E292">
        <v>0.53199859999999999</v>
      </c>
      <c r="F292" t="s">
        <v>38</v>
      </c>
      <c r="G292">
        <v>-395.74590000000001</v>
      </c>
      <c r="H292">
        <v>0.99477450000000001</v>
      </c>
      <c r="I292">
        <v>367.42630000000003</v>
      </c>
      <c r="J292">
        <v>-396.29450000000003</v>
      </c>
      <c r="K292">
        <v>1.078373</v>
      </c>
      <c r="L292">
        <v>367.41719999999998</v>
      </c>
      <c r="M292">
        <v>0.99974390000000002</v>
      </c>
      <c r="N292">
        <v>0</v>
      </c>
      <c r="O292">
        <v>2.2263769999999999E-2</v>
      </c>
      <c r="P292">
        <v>0.98984179999999999</v>
      </c>
      <c r="Q292">
        <v>0.10017909999999999</v>
      </c>
      <c r="R292">
        <v>0.1008845</v>
      </c>
      <c r="S292">
        <v>3.0511169999999899</v>
      </c>
      <c r="T292">
        <v>-0.26336090000000001</v>
      </c>
      <c r="U292">
        <v>5.841064E-2</v>
      </c>
      <c r="V292">
        <v>-7.8833440000000005E-2</v>
      </c>
      <c r="W292">
        <v>0.1042261</v>
      </c>
      <c r="X292">
        <v>0.99142430000000004</v>
      </c>
      <c r="Y292">
        <v>3.030109E-3</v>
      </c>
      <c r="Z292">
        <v>-2.048298E-3</v>
      </c>
      <c r="AA292">
        <v>0.99999329999999997</v>
      </c>
      <c r="AB292">
        <v>36</v>
      </c>
      <c r="AC292">
        <v>0.54860000000002096</v>
      </c>
      <c r="AD292">
        <v>-8.3598499999999895E-2</v>
      </c>
      <c r="AE292">
        <v>9.1000000000462898E-3</v>
      </c>
      <c r="AF292">
        <v>3.0455582002376601E-3</v>
      </c>
      <c r="AG292">
        <v>-8.3598499999999895E-2</v>
      </c>
      <c r="AH292">
        <v>0.53621838958295398</v>
      </c>
      <c r="AI292">
        <v>98.861156014567598</v>
      </c>
      <c r="AJ292">
        <v>89.674580808509205</v>
      </c>
      <c r="AK292">
        <v>0.54270447386578402</v>
      </c>
    </row>
    <row r="293" spans="1:37" x14ac:dyDescent="0.2">
      <c r="A293" t="str">
        <f>"20200111150459506"</f>
        <v>20200111150459506</v>
      </c>
      <c r="B293" t="str">
        <f>"1578726299494361"</f>
        <v>1578726299494361</v>
      </c>
      <c r="C293" t="s">
        <v>37</v>
      </c>
      <c r="D293">
        <v>5.112603</v>
      </c>
      <c r="E293">
        <v>0.53309810000000002</v>
      </c>
      <c r="F293" t="s">
        <v>38</v>
      </c>
      <c r="G293">
        <v>-395.41969999999998</v>
      </c>
      <c r="H293">
        <v>1.0055609999999999</v>
      </c>
      <c r="I293">
        <v>367.43239999999997</v>
      </c>
      <c r="J293">
        <v>-395.9221</v>
      </c>
      <c r="K293">
        <v>1.0813950000000001</v>
      </c>
      <c r="L293">
        <v>367.42540000000002</v>
      </c>
      <c r="M293">
        <v>0.99974300000000005</v>
      </c>
      <c r="N293">
        <v>0</v>
      </c>
      <c r="O293">
        <v>2.2228419999999999E-2</v>
      </c>
      <c r="P293">
        <v>0.98966430000000005</v>
      </c>
      <c r="Q293">
        <v>0.1010858</v>
      </c>
      <c r="R293">
        <v>0.10171769999999999</v>
      </c>
      <c r="S293">
        <v>3.0510860000000002</v>
      </c>
      <c r="T293">
        <v>-0.2540808</v>
      </c>
      <c r="U293">
        <v>5.334473E-2</v>
      </c>
      <c r="V293">
        <v>-7.9695189999999999E-2</v>
      </c>
      <c r="W293">
        <v>0.1055174</v>
      </c>
      <c r="X293">
        <v>0.99121879999999996</v>
      </c>
      <c r="Y293">
        <v>4.6553740000000003E-3</v>
      </c>
      <c r="Z293">
        <v>-2.0410479999999902E-3</v>
      </c>
      <c r="AA293">
        <v>0.99998709999999902</v>
      </c>
      <c r="AB293">
        <v>36</v>
      </c>
      <c r="AC293">
        <v>0.50240000000002205</v>
      </c>
      <c r="AD293">
        <v>-7.5833999999999901E-2</v>
      </c>
      <c r="AE293">
        <v>6.9999999999481597E-3</v>
      </c>
      <c r="AF293">
        <v>4.0765370371502801E-3</v>
      </c>
      <c r="AG293">
        <v>-7.5833999999999901E-2</v>
      </c>
      <c r="AH293">
        <v>0.49124122992706998</v>
      </c>
      <c r="AI293">
        <v>98.775307037560097</v>
      </c>
      <c r="AJ293">
        <v>89.524545189298706</v>
      </c>
      <c r="AK293">
        <v>0.49707681467804898</v>
      </c>
    </row>
    <row r="294" spans="1:37" x14ac:dyDescent="0.2">
      <c r="A294" t="str">
        <f>"20200111150459526"</f>
        <v>20200111150459526</v>
      </c>
      <c r="B294" t="str">
        <f>"1578726299524617"</f>
        <v>1578726299524617</v>
      </c>
      <c r="C294" t="s">
        <v>37</v>
      </c>
      <c r="D294">
        <v>5.03721</v>
      </c>
      <c r="E294">
        <v>0.53363590000000005</v>
      </c>
      <c r="F294" t="s">
        <v>38</v>
      </c>
      <c r="G294">
        <v>-395.09390000000002</v>
      </c>
      <c r="H294">
        <v>1.014529</v>
      </c>
      <c r="I294">
        <v>367.43779999999998</v>
      </c>
      <c r="J294">
        <v>-395.58120000000002</v>
      </c>
      <c r="K294">
        <v>1.083958</v>
      </c>
      <c r="L294">
        <v>367.43299999999999</v>
      </c>
      <c r="M294">
        <v>0.99974349999999901</v>
      </c>
      <c r="N294">
        <v>0</v>
      </c>
      <c r="O294">
        <v>2.2105989999999999E-2</v>
      </c>
      <c r="P294">
        <v>0.9894712</v>
      </c>
      <c r="Q294">
        <v>0.1012324</v>
      </c>
      <c r="R294">
        <v>0.1034347</v>
      </c>
      <c r="S294">
        <v>3.0516969999999999</v>
      </c>
      <c r="T294">
        <v>-0.24661810000000001</v>
      </c>
      <c r="U294">
        <v>4.7180180000000002E-2</v>
      </c>
      <c r="V294">
        <v>-8.1523380000000006E-2</v>
      </c>
      <c r="W294">
        <v>0.1061001</v>
      </c>
      <c r="X294">
        <v>0.99100789999999905</v>
      </c>
      <c r="Y294">
        <v>6.555534E-3</v>
      </c>
      <c r="Z294">
        <v>-2.0477249999999998E-3</v>
      </c>
      <c r="AA294">
        <v>0.99997639999999999</v>
      </c>
      <c r="AB294">
        <v>36</v>
      </c>
      <c r="AC294">
        <v>0.48730000000000401</v>
      </c>
      <c r="AD294">
        <v>-6.9428999999999894E-2</v>
      </c>
      <c r="AE294">
        <v>4.7999999999319698E-3</v>
      </c>
      <c r="AF294">
        <v>5.8547153210031701E-3</v>
      </c>
      <c r="AG294">
        <v>-6.9428999999999894E-2</v>
      </c>
      <c r="AH294">
        <v>0.477592987096638</v>
      </c>
      <c r="AI294">
        <v>98.270689812332606</v>
      </c>
      <c r="AJ294">
        <v>89.297657869562698</v>
      </c>
      <c r="AK294">
        <v>0.48264865591481698</v>
      </c>
    </row>
    <row r="295" spans="1:37" x14ac:dyDescent="0.2">
      <c r="A295" t="str">
        <f>"20200111150459548"</f>
        <v>20200111150459548</v>
      </c>
      <c r="B295" t="str">
        <f>"1578726299544138"</f>
        <v>1578726299544138</v>
      </c>
      <c r="C295" t="s">
        <v>37</v>
      </c>
      <c r="D295">
        <v>5.05349</v>
      </c>
      <c r="E295">
        <v>0.53361919999999996</v>
      </c>
      <c r="F295" t="s">
        <v>38</v>
      </c>
      <c r="G295">
        <v>-394.76859999999999</v>
      </c>
      <c r="H295">
        <v>1.020875</v>
      </c>
      <c r="I295">
        <v>367.44589999999999</v>
      </c>
      <c r="J295">
        <v>-395.23790000000002</v>
      </c>
      <c r="K295">
        <v>1.0862989999999999</v>
      </c>
      <c r="L295">
        <v>367.44040000000001</v>
      </c>
      <c r="M295">
        <v>0.99974660000000004</v>
      </c>
      <c r="N295">
        <v>0</v>
      </c>
      <c r="O295">
        <v>2.186447E-2</v>
      </c>
      <c r="P295">
        <v>0.98929820000000002</v>
      </c>
      <c r="Q295">
        <v>0.1003738</v>
      </c>
      <c r="R295">
        <v>0.1058983</v>
      </c>
      <c r="S295">
        <v>3.0511169999999899</v>
      </c>
      <c r="T295">
        <v>-0.2368683</v>
      </c>
      <c r="U295">
        <v>4.8187260000000003E-2</v>
      </c>
      <c r="V295">
        <v>-8.4209149999999997E-2</v>
      </c>
      <c r="W295">
        <v>0.1057232</v>
      </c>
      <c r="X295">
        <v>0.99082359999999903</v>
      </c>
      <c r="Y295">
        <v>5.9907010000000002E-3</v>
      </c>
      <c r="Z295">
        <v>-1.926781E-3</v>
      </c>
      <c r="AA295">
        <v>0.99998019999999999</v>
      </c>
      <c r="AB295">
        <v>36</v>
      </c>
      <c r="AC295">
        <v>0.46930000000003202</v>
      </c>
      <c r="AD295">
        <v>-6.5423999999999899E-2</v>
      </c>
      <c r="AE295">
        <v>5.4999999999836204E-3</v>
      </c>
      <c r="AF295">
        <v>4.6716785597681297E-3</v>
      </c>
      <c r="AG295">
        <v>-6.5423999999999899E-2</v>
      </c>
      <c r="AH295">
        <v>0.46036238600342699</v>
      </c>
      <c r="AI295">
        <v>98.087967032068093</v>
      </c>
      <c r="AJ295">
        <v>89.418592210331198</v>
      </c>
      <c r="AK295">
        <v>0.46501145233567598</v>
      </c>
    </row>
    <row r="296" spans="1:37" x14ac:dyDescent="0.2">
      <c r="A296" t="str">
        <f>"20200111150459571"</f>
        <v>20200111150459571</v>
      </c>
      <c r="B296" t="str">
        <f>"1578726299563657"</f>
        <v>1578726299563657</v>
      </c>
      <c r="C296" t="s">
        <v>37</v>
      </c>
      <c r="D296">
        <v>5.4862659999999996</v>
      </c>
      <c r="E296">
        <v>0.53350769999999903</v>
      </c>
      <c r="F296" t="s">
        <v>38</v>
      </c>
      <c r="G296">
        <v>-394.4436</v>
      </c>
      <c r="H296">
        <v>1.0243599999999999</v>
      </c>
      <c r="I296">
        <v>367.45460000000003</v>
      </c>
      <c r="J296">
        <v>-394.86829999999998</v>
      </c>
      <c r="K296">
        <v>1.088544</v>
      </c>
      <c r="L296">
        <v>367.44819999999999</v>
      </c>
      <c r="M296">
        <v>0.99975219999999898</v>
      </c>
      <c r="N296">
        <v>0</v>
      </c>
      <c r="O296">
        <v>2.146766E-2</v>
      </c>
      <c r="P296">
        <v>0.98937929999999996</v>
      </c>
      <c r="Q296">
        <v>9.8211909999999999E-2</v>
      </c>
      <c r="R296">
        <v>0.1071598</v>
      </c>
      <c r="S296">
        <v>3.050659</v>
      </c>
      <c r="T296">
        <v>-0.2380052</v>
      </c>
      <c r="U296">
        <v>5.5175780000000001E-2</v>
      </c>
      <c r="V296">
        <v>-8.5835380000000003E-2</v>
      </c>
      <c r="W296">
        <v>0.1040999</v>
      </c>
      <c r="X296">
        <v>0.99085590000000001</v>
      </c>
      <c r="Y296">
        <v>3.3098770000000001E-3</v>
      </c>
      <c r="Z296">
        <v>-1.800938E-3</v>
      </c>
      <c r="AA296">
        <v>0.99999289999999996</v>
      </c>
      <c r="AB296">
        <v>36</v>
      </c>
      <c r="AC296">
        <v>0.42469999999997199</v>
      </c>
      <c r="AD296">
        <v>-6.4184000000000005E-2</v>
      </c>
      <c r="AE296">
        <v>6.4000000000419199E-3</v>
      </c>
      <c r="AF296">
        <v>2.65824863914179E-3</v>
      </c>
      <c r="AG296">
        <v>-6.4184000000000005E-2</v>
      </c>
      <c r="AH296">
        <v>0.41525734676531101</v>
      </c>
      <c r="AI296">
        <v>98.786181319466394</v>
      </c>
      <c r="AJ296">
        <v>89.633229011540095</v>
      </c>
      <c r="AK296">
        <v>0.42019675889325198</v>
      </c>
    </row>
    <row r="297" spans="1:37" x14ac:dyDescent="0.2">
      <c r="A297" t="str">
        <f>"20200111150459594"</f>
        <v>20200111150459594</v>
      </c>
      <c r="B297" t="str">
        <f>"1578726299584156"</f>
        <v>1578726299584156</v>
      </c>
      <c r="C297" t="s">
        <v>37</v>
      </c>
      <c r="D297">
        <v>5.1054709999999996</v>
      </c>
      <c r="E297">
        <v>0.53311629999999999</v>
      </c>
      <c r="F297" t="s">
        <v>38</v>
      </c>
      <c r="G297">
        <v>-394.11799999999999</v>
      </c>
      <c r="H297">
        <v>1.0281049999999901</v>
      </c>
      <c r="I297">
        <v>367.46269999999998</v>
      </c>
      <c r="J297">
        <v>-394.49270000000001</v>
      </c>
      <c r="K297">
        <v>1.0905359999999999</v>
      </c>
      <c r="L297">
        <v>367.45569999999998</v>
      </c>
      <c r="M297">
        <v>0.99976089999999995</v>
      </c>
      <c r="N297">
        <v>0</v>
      </c>
      <c r="O297">
        <v>2.090854E-2</v>
      </c>
      <c r="P297">
        <v>0.9896739</v>
      </c>
      <c r="Q297">
        <v>9.5809909999999998E-2</v>
      </c>
      <c r="R297">
        <v>0.1066122</v>
      </c>
      <c r="S297">
        <v>3.05017099999999</v>
      </c>
      <c r="T297">
        <v>-0.245879299999999</v>
      </c>
      <c r="U297">
        <v>5.960083E-2</v>
      </c>
      <c r="V297">
        <v>-8.5805240000000005E-2</v>
      </c>
      <c r="W297">
        <v>0.1022421</v>
      </c>
      <c r="X297">
        <v>0.99105200000000004</v>
      </c>
      <c r="Y297">
        <v>1.300811E-3</v>
      </c>
      <c r="Z297">
        <v>-1.7347789999999899E-3</v>
      </c>
      <c r="AA297">
        <v>0.99999769999999899</v>
      </c>
      <c r="AB297">
        <v>36</v>
      </c>
      <c r="AC297">
        <v>0.37469999999996101</v>
      </c>
      <c r="AD297">
        <v>-6.2431000000000098E-2</v>
      </c>
      <c r="AE297">
        <v>7.0000000000049996E-3</v>
      </c>
      <c r="AF297">
        <v>8.1354395349988399E-4</v>
      </c>
      <c r="AG297">
        <v>-6.2431000000000098E-2</v>
      </c>
      <c r="AH297">
        <v>0.36464511049445097</v>
      </c>
      <c r="AI297">
        <v>99.715405580322098</v>
      </c>
      <c r="AJ297">
        <v>89.872170073578999</v>
      </c>
      <c r="AK297">
        <v>0.369951818784926</v>
      </c>
    </row>
    <row r="298" spans="1:37" x14ac:dyDescent="0.2">
      <c r="A298" t="str">
        <f>"20200111150459615"</f>
        <v>20200111150459615</v>
      </c>
      <c r="B298" t="str">
        <f>"1578726299603673"</f>
        <v>1578726299603673</v>
      </c>
      <c r="C298" t="s">
        <v>37</v>
      </c>
      <c r="D298">
        <v>5.081944</v>
      </c>
      <c r="E298">
        <v>0.53347500000000003</v>
      </c>
      <c r="F298" t="s">
        <v>38</v>
      </c>
      <c r="G298">
        <v>-393.48270000000002</v>
      </c>
      <c r="H298">
        <v>1.009695</v>
      </c>
      <c r="I298">
        <v>367.47640000000001</v>
      </c>
      <c r="J298">
        <v>-394.14749999999998</v>
      </c>
      <c r="K298">
        <v>1.092122</v>
      </c>
      <c r="L298">
        <v>367.46230000000003</v>
      </c>
      <c r="M298">
        <v>0.99977109999999902</v>
      </c>
      <c r="N298">
        <v>0</v>
      </c>
      <c r="O298">
        <v>2.026244E-2</v>
      </c>
      <c r="P298">
        <v>0.98989760000000004</v>
      </c>
      <c r="Q298">
        <v>9.3960769999999999E-2</v>
      </c>
      <c r="R298">
        <v>0.1061796</v>
      </c>
      <c r="S298">
        <v>3.0482179999999999</v>
      </c>
      <c r="T298">
        <v>-0.2440078</v>
      </c>
      <c r="U298">
        <v>6.2652589999999994E-2</v>
      </c>
      <c r="V298">
        <v>-8.5980840000000003E-2</v>
      </c>
      <c r="W298">
        <v>0.10087169999999999</v>
      </c>
      <c r="X298">
        <v>0.99117719999999898</v>
      </c>
      <c r="Y298">
        <v>-3.5029659999999998E-4</v>
      </c>
      <c r="Z298">
        <v>-1.605109E-3</v>
      </c>
      <c r="AA298">
        <v>0.99999859999999896</v>
      </c>
      <c r="AB298">
        <v>36</v>
      </c>
      <c r="AC298">
        <v>0.66479999999995698</v>
      </c>
      <c r="AD298">
        <v>-8.2427E-2</v>
      </c>
      <c r="AE298">
        <v>1.4099999999984901E-2</v>
      </c>
      <c r="AF298">
        <v>-6.1683881031174596E-4</v>
      </c>
      <c r="AG298">
        <v>-8.2427E-2</v>
      </c>
      <c r="AH298">
        <v>0.654886213867377</v>
      </c>
      <c r="AI298">
        <v>97.173784551861303</v>
      </c>
      <c r="AJ298">
        <v>90.053967008727099</v>
      </c>
      <c r="AK298">
        <v>0.66005344020970502</v>
      </c>
    </row>
    <row r="299" spans="1:37" x14ac:dyDescent="0.2">
      <c r="A299" t="str">
        <f>"20200111150459637"</f>
        <v>20200111150459637</v>
      </c>
      <c r="B299" t="str">
        <f>"1578726299633930"</f>
        <v>1578726299633930</v>
      </c>
      <c r="C299" t="s">
        <v>37</v>
      </c>
      <c r="D299">
        <v>5.1400329999999999</v>
      </c>
      <c r="E299">
        <v>0.53423299999999996</v>
      </c>
      <c r="F299" t="s">
        <v>38</v>
      </c>
      <c r="G299">
        <v>-393.1585</v>
      </c>
      <c r="H299">
        <v>1.010894</v>
      </c>
      <c r="I299">
        <v>367.48070000000001</v>
      </c>
      <c r="J299">
        <v>-393.7842</v>
      </c>
      <c r="K299">
        <v>1.0935809999999999</v>
      </c>
      <c r="L299">
        <v>367.46899999999999</v>
      </c>
      <c r="M299">
        <v>0.9997838</v>
      </c>
      <c r="N299">
        <v>0</v>
      </c>
      <c r="O299">
        <v>1.9467269999999998E-2</v>
      </c>
      <c r="P299">
        <v>0.99008390000000002</v>
      </c>
      <c r="Q299">
        <v>9.2692479999999994E-2</v>
      </c>
      <c r="R299">
        <v>0.105556199999999</v>
      </c>
      <c r="S299">
        <v>3.0481569999999998</v>
      </c>
      <c r="T299">
        <v>-0.25052150000000001</v>
      </c>
      <c r="U299">
        <v>5.8013919999999997E-2</v>
      </c>
      <c r="V299">
        <v>-8.6115380000000005E-2</v>
      </c>
      <c r="W299">
        <v>0.1000751</v>
      </c>
      <c r="X299">
        <v>0.99124619999999997</v>
      </c>
      <c r="Y299">
        <v>3.71997E-4</v>
      </c>
      <c r="Z299">
        <v>-1.612289E-3</v>
      </c>
      <c r="AA299">
        <v>0.99999859999999896</v>
      </c>
      <c r="AB299">
        <v>36</v>
      </c>
      <c r="AC299">
        <v>0.62569999999999404</v>
      </c>
      <c r="AD299">
        <v>-8.2686999999999899E-2</v>
      </c>
      <c r="AE299">
        <v>1.17000000000189E-2</v>
      </c>
      <c r="AF299">
        <v>4.7492216397334398E-4</v>
      </c>
      <c r="AG299">
        <v>-8.2686999999999899E-2</v>
      </c>
      <c r="AH299">
        <v>0.61507137994655703</v>
      </c>
      <c r="AI299">
        <v>97.6566393743893</v>
      </c>
      <c r="AJ299">
        <v>89.955759557228106</v>
      </c>
      <c r="AK299">
        <v>0.62060467928418395</v>
      </c>
    </row>
    <row r="300" spans="1:37" x14ac:dyDescent="0.2">
      <c r="A300" t="str">
        <f>"20200111150459660"</f>
        <v>20200111150459660</v>
      </c>
      <c r="B300" t="str">
        <f>"1578726299654426"</f>
        <v>1578726299654426</v>
      </c>
      <c r="C300" t="s">
        <v>37</v>
      </c>
      <c r="D300">
        <v>5.103396</v>
      </c>
      <c r="E300">
        <v>0.53471990000000003</v>
      </c>
      <c r="F300" t="s">
        <v>38</v>
      </c>
      <c r="G300">
        <v>-392.83269999999999</v>
      </c>
      <c r="H300">
        <v>1.0148629999999901</v>
      </c>
      <c r="I300">
        <v>367.48419999999999</v>
      </c>
      <c r="J300">
        <v>-393.42099999999999</v>
      </c>
      <c r="K300">
        <v>1.094849</v>
      </c>
      <c r="L300">
        <v>367.4751</v>
      </c>
      <c r="M300">
        <v>0.99979779999999996</v>
      </c>
      <c r="N300">
        <v>0</v>
      </c>
      <c r="O300">
        <v>1.8565910000000001E-2</v>
      </c>
      <c r="P300">
        <v>0.99038340000000002</v>
      </c>
      <c r="Q300">
        <v>9.1734309999999999E-2</v>
      </c>
      <c r="R300">
        <v>0.103563899999999</v>
      </c>
      <c r="S300">
        <v>3.0484009999999899</v>
      </c>
      <c r="T300">
        <v>-0.25221139999999997</v>
      </c>
      <c r="U300">
        <v>4.9346920000000002E-2</v>
      </c>
      <c r="V300">
        <v>-8.4988739999999993E-2</v>
      </c>
      <c r="W300">
        <v>9.9550369999999999E-2</v>
      </c>
      <c r="X300">
        <v>0.99139630000000001</v>
      </c>
      <c r="Y300">
        <v>2.3098369999999999E-3</v>
      </c>
      <c r="Z300">
        <v>-1.628649E-3</v>
      </c>
      <c r="AA300">
        <v>0.999995999999999</v>
      </c>
      <c r="AB300">
        <v>36</v>
      </c>
      <c r="AC300">
        <v>0.58830000000000304</v>
      </c>
      <c r="AD300">
        <v>-7.9986000000000099E-2</v>
      </c>
      <c r="AE300">
        <v>9.0999999999894499E-3</v>
      </c>
      <c r="AF300">
        <v>1.7911175836938099E-3</v>
      </c>
      <c r="AG300">
        <v>-7.9986000000000099E-2</v>
      </c>
      <c r="AH300">
        <v>0.57769121527082001</v>
      </c>
      <c r="AI300">
        <v>97.882905870683999</v>
      </c>
      <c r="AJ300">
        <v>89.822356396274699</v>
      </c>
      <c r="AK300">
        <v>0.58320503127054302</v>
      </c>
    </row>
    <row r="301" spans="1:37" x14ac:dyDescent="0.2">
      <c r="A301" t="str">
        <f>"20200111150459682"</f>
        <v>20200111150459682</v>
      </c>
      <c r="B301" t="str">
        <f>"1578726299673948"</f>
        <v>1578726299673948</v>
      </c>
      <c r="C301" t="s">
        <v>37</v>
      </c>
      <c r="D301">
        <v>5.1441520000000001</v>
      </c>
      <c r="E301">
        <v>0.53491069999999996</v>
      </c>
      <c r="F301" t="s">
        <v>38</v>
      </c>
      <c r="G301">
        <v>-392.50720000000001</v>
      </c>
      <c r="H301">
        <v>1.017798</v>
      </c>
      <c r="I301">
        <v>367.48680000000002</v>
      </c>
      <c r="J301">
        <v>-393.05220000000003</v>
      </c>
      <c r="K301">
        <v>1.0959639999999999</v>
      </c>
      <c r="L301">
        <v>367.48099999999999</v>
      </c>
      <c r="M301">
        <v>0.9998129</v>
      </c>
      <c r="N301">
        <v>0</v>
      </c>
      <c r="O301">
        <v>1.7558870000000001E-2</v>
      </c>
      <c r="P301">
        <v>0.9905851</v>
      </c>
      <c r="Q301">
        <v>9.1849479999999997E-2</v>
      </c>
      <c r="R301">
        <v>0.101512899999999</v>
      </c>
      <c r="S301">
        <v>3.0487980000000001</v>
      </c>
      <c r="T301">
        <v>-0.25717440000000003</v>
      </c>
      <c r="U301">
        <v>4.01001E-2</v>
      </c>
      <c r="V301">
        <v>-8.3913119999999994E-2</v>
      </c>
      <c r="W301">
        <v>0.10006610000000001</v>
      </c>
      <c r="X301">
        <v>0.99143599999999998</v>
      </c>
      <c r="Y301">
        <v>4.3306229999999996E-3</v>
      </c>
      <c r="Z301">
        <v>-1.6607179999999901E-3</v>
      </c>
      <c r="AA301">
        <v>0.99998929999999997</v>
      </c>
      <c r="AB301">
        <v>36</v>
      </c>
      <c r="AC301">
        <v>0.54500000000001503</v>
      </c>
      <c r="AD301">
        <v>-7.8165999999999902E-2</v>
      </c>
      <c r="AE301">
        <v>5.8000000000220098E-3</v>
      </c>
      <c r="AF301">
        <v>3.6947986029888902E-3</v>
      </c>
      <c r="AG301">
        <v>-7.8165999999999902E-2</v>
      </c>
      <c r="AH301">
        <v>0.53403377206424796</v>
      </c>
      <c r="AI301">
        <v>98.326999609784593</v>
      </c>
      <c r="AJ301">
        <v>89.603596252793395</v>
      </c>
      <c r="AK301">
        <v>0.53973664392728204</v>
      </c>
    </row>
    <row r="302" spans="1:37" x14ac:dyDescent="0.2">
      <c r="A302" t="str">
        <f>"20200111150459704"</f>
        <v>20200111150459704</v>
      </c>
      <c r="B302" t="str">
        <f>"1578726299694443"</f>
        <v>1578726299694443</v>
      </c>
      <c r="C302" t="s">
        <v>37</v>
      </c>
      <c r="D302">
        <v>4.973484</v>
      </c>
      <c r="E302">
        <v>0.53464140000000004</v>
      </c>
      <c r="F302" t="s">
        <v>38</v>
      </c>
      <c r="G302">
        <v>-392.18040000000002</v>
      </c>
      <c r="H302">
        <v>1.02311</v>
      </c>
      <c r="I302">
        <v>367.49</v>
      </c>
      <c r="J302">
        <v>-392.69639999999998</v>
      </c>
      <c r="K302">
        <v>1.0968869999999999</v>
      </c>
      <c r="L302">
        <v>367.48630000000003</v>
      </c>
      <c r="M302">
        <v>0.99982769999999999</v>
      </c>
      <c r="N302">
        <v>0</v>
      </c>
      <c r="O302">
        <v>1.6526220000000001E-2</v>
      </c>
      <c r="P302">
        <v>0.99073679999999997</v>
      </c>
      <c r="Q302">
        <v>9.2148069999999999E-2</v>
      </c>
      <c r="R302">
        <v>9.9746429999999997E-2</v>
      </c>
      <c r="S302">
        <v>3.0488279999999999</v>
      </c>
      <c r="T302">
        <v>-0.25490570000000001</v>
      </c>
      <c r="U302">
        <v>3.2226560000000001E-2</v>
      </c>
      <c r="V302">
        <v>-8.3151699999999995E-2</v>
      </c>
      <c r="W302">
        <v>0.1007146</v>
      </c>
      <c r="X302">
        <v>0.991434499999999</v>
      </c>
      <c r="Y302">
        <v>5.8796079999999997E-3</v>
      </c>
      <c r="Z302">
        <v>-1.6246029999999901E-3</v>
      </c>
      <c r="AA302">
        <v>0.99998140000000002</v>
      </c>
      <c r="AB302">
        <v>36</v>
      </c>
      <c r="AC302">
        <v>0.51599999999996204</v>
      </c>
      <c r="AD302">
        <v>-7.3777000000000204E-2</v>
      </c>
      <c r="AE302">
        <v>3.69999999998071E-3</v>
      </c>
      <c r="AF302">
        <v>4.7316165288843696E-3</v>
      </c>
      <c r="AG302">
        <v>-7.3777000000000204E-2</v>
      </c>
      <c r="AH302">
        <v>0.50565416752627201</v>
      </c>
      <c r="AI302">
        <v>98.300754985166193</v>
      </c>
      <c r="AJ302">
        <v>89.463875188736907</v>
      </c>
      <c r="AK302">
        <v>0.51102991209973603</v>
      </c>
    </row>
    <row r="303" spans="1:37" x14ac:dyDescent="0.2">
      <c r="A303" t="str">
        <f>"20200111150459727"</f>
        <v>20200111150459727</v>
      </c>
      <c r="B303" t="str">
        <f>"1578726299723722"</f>
        <v>1578726299723722</v>
      </c>
      <c r="C303" t="s">
        <v>37</v>
      </c>
      <c r="D303">
        <v>4.9245219999999996</v>
      </c>
      <c r="E303">
        <v>0.53452549999999999</v>
      </c>
      <c r="F303" t="s">
        <v>38</v>
      </c>
      <c r="G303">
        <v>-391.85410000000002</v>
      </c>
      <c r="H303">
        <v>1.026915</v>
      </c>
      <c r="I303">
        <v>367.49400000000003</v>
      </c>
      <c r="J303">
        <v>-392.33370000000002</v>
      </c>
      <c r="K303">
        <v>1.097693</v>
      </c>
      <c r="L303">
        <v>367.49130000000002</v>
      </c>
      <c r="M303">
        <v>0.99984229999999996</v>
      </c>
      <c r="N303">
        <v>0</v>
      </c>
      <c r="O303">
        <v>1.543579E-2</v>
      </c>
      <c r="P303">
        <v>0.99095630000000001</v>
      </c>
      <c r="Q303">
        <v>9.201281E-2</v>
      </c>
      <c r="R303">
        <v>9.7670060000000003E-2</v>
      </c>
      <c r="S303">
        <v>3.048737</v>
      </c>
      <c r="T303">
        <v>-0.25337389999999999</v>
      </c>
      <c r="U303">
        <v>2.8656009999999999E-2</v>
      </c>
      <c r="V303">
        <v>-8.2141229999999996E-2</v>
      </c>
      <c r="W303">
        <v>0.10090199999999901</v>
      </c>
      <c r="X303">
        <v>0.99149969999999998</v>
      </c>
      <c r="Y303">
        <v>5.9641719999999898E-3</v>
      </c>
      <c r="Z303">
        <v>-1.527991E-3</v>
      </c>
      <c r="AA303">
        <v>0.99998099999999901</v>
      </c>
      <c r="AB303">
        <v>36</v>
      </c>
      <c r="AC303">
        <v>0.47960000000000402</v>
      </c>
      <c r="AD303">
        <v>-7.0777999999999994E-2</v>
      </c>
      <c r="AE303">
        <v>2.7000000000043599E-3</v>
      </c>
      <c r="AF303">
        <v>4.60335859265732E-3</v>
      </c>
      <c r="AG303">
        <v>-7.0777999999999994E-2</v>
      </c>
      <c r="AH303">
        <v>0.46936260382838801</v>
      </c>
      <c r="AI303">
        <v>98.574957589879304</v>
      </c>
      <c r="AJ303">
        <v>89.438079300678297</v>
      </c>
      <c r="AK303">
        <v>0.47469144722324302</v>
      </c>
    </row>
    <row r="304" spans="1:37" x14ac:dyDescent="0.2">
      <c r="A304" t="str">
        <f>"20200111150459749"</f>
        <v>20200111150459749</v>
      </c>
      <c r="B304" t="str">
        <f>"1578726299744218"</f>
        <v>1578726299744218</v>
      </c>
      <c r="C304" t="s">
        <v>37</v>
      </c>
      <c r="D304">
        <v>5.0153509999999999</v>
      </c>
      <c r="E304">
        <v>0.53448899999999999</v>
      </c>
      <c r="F304" t="s">
        <v>38</v>
      </c>
      <c r="G304">
        <v>-391.52769999999998</v>
      </c>
      <c r="H304">
        <v>1.030497</v>
      </c>
      <c r="I304">
        <v>367.49720000000002</v>
      </c>
      <c r="J304">
        <v>-391.981999999999</v>
      </c>
      <c r="K304">
        <v>1.098363</v>
      </c>
      <c r="L304">
        <v>367.49579999999997</v>
      </c>
      <c r="M304">
        <v>0.99985599999999997</v>
      </c>
      <c r="N304">
        <v>0</v>
      </c>
      <c r="O304">
        <v>1.435877E-2</v>
      </c>
      <c r="P304">
        <v>0.99103359999999996</v>
      </c>
      <c r="Q304">
        <v>9.2804419999999999E-2</v>
      </c>
      <c r="R304">
        <v>9.6125589999999997E-2</v>
      </c>
      <c r="S304">
        <v>3.0487669999999998</v>
      </c>
      <c r="T304">
        <v>-0.2542027</v>
      </c>
      <c r="U304">
        <v>2.261353E-2</v>
      </c>
      <c r="V304">
        <v>-8.1651409999999994E-2</v>
      </c>
      <c r="W304">
        <v>0.1019746</v>
      </c>
      <c r="X304">
        <v>0.99143040000000004</v>
      </c>
      <c r="Y304">
        <v>6.8690089999999997E-3</v>
      </c>
      <c r="Z304">
        <v>-1.4809949999999999E-3</v>
      </c>
      <c r="AA304">
        <v>0.99997530000000001</v>
      </c>
      <c r="AB304">
        <v>36</v>
      </c>
      <c r="AC304">
        <v>0.45429999999998899</v>
      </c>
      <c r="AD304">
        <v>-6.7865999999999899E-2</v>
      </c>
      <c r="AE304">
        <v>1.40000000004647E-3</v>
      </c>
      <c r="AF304">
        <v>5.0117583559664402E-3</v>
      </c>
      <c r="AG304">
        <v>-6.7865999999999899E-2</v>
      </c>
      <c r="AH304">
        <v>0.44435702597307097</v>
      </c>
      <c r="AI304">
        <v>98.683053969492605</v>
      </c>
      <c r="AJ304">
        <v>89.353806939470502</v>
      </c>
      <c r="AK304">
        <v>0.44953762713420498</v>
      </c>
    </row>
    <row r="305" spans="1:37" x14ac:dyDescent="0.2">
      <c r="A305" t="str">
        <f>"20200111150459771"</f>
        <v>20200111150459771</v>
      </c>
      <c r="B305" t="str">
        <f>"1578726299764713"</f>
        <v>1578726299764713</v>
      </c>
      <c r="C305" t="s">
        <v>37</v>
      </c>
      <c r="D305">
        <v>4.9174920000000002</v>
      </c>
      <c r="E305">
        <v>0.53473709999999997</v>
      </c>
      <c r="F305" t="s">
        <v>38</v>
      </c>
      <c r="G305">
        <v>-391.2002</v>
      </c>
      <c r="H305">
        <v>1.0340609999999999</v>
      </c>
      <c r="I305">
        <v>367.50009999999997</v>
      </c>
      <c r="J305">
        <v>-391.6087</v>
      </c>
      <c r="K305">
        <v>1.098967</v>
      </c>
      <c r="L305">
        <v>367.50009999999997</v>
      </c>
      <c r="M305">
        <v>0.99986949999999997</v>
      </c>
      <c r="N305">
        <v>0</v>
      </c>
      <c r="O305">
        <v>1.320764E-2</v>
      </c>
      <c r="P305">
        <v>0.99098869999999895</v>
      </c>
      <c r="Q305">
        <v>9.3949480000000002E-2</v>
      </c>
      <c r="R305">
        <v>9.5473450000000001E-2</v>
      </c>
      <c r="S305">
        <v>3.0488279999999999</v>
      </c>
      <c r="T305">
        <v>-0.2510695</v>
      </c>
      <c r="U305">
        <v>1.84020999999999E-2</v>
      </c>
      <c r="V305">
        <v>-8.2130069999999999E-2</v>
      </c>
      <c r="W305">
        <v>0.1033881</v>
      </c>
      <c r="X305">
        <v>0.99124439999999903</v>
      </c>
      <c r="Y305">
        <v>7.1040599999999997E-3</v>
      </c>
      <c r="Z305">
        <v>-1.377819E-3</v>
      </c>
      <c r="AA305">
        <v>0.99997380000000002</v>
      </c>
      <c r="AB305">
        <v>36</v>
      </c>
      <c r="AC305">
        <v>0.40850000000000303</v>
      </c>
      <c r="AD305">
        <v>-6.4905999999999894E-2</v>
      </c>
      <c r="AE305">
        <v>0</v>
      </c>
      <c r="AF305">
        <v>5.2626945709709104E-3</v>
      </c>
      <c r="AG305">
        <v>-6.4905999999999894E-2</v>
      </c>
      <c r="AH305">
        <v>0.39840636096451698</v>
      </c>
      <c r="AI305">
        <v>99.252205384383302</v>
      </c>
      <c r="AJ305">
        <v>89.243203218040406</v>
      </c>
      <c r="AK305">
        <v>0.40369309289005201</v>
      </c>
    </row>
    <row r="306" spans="1:37" x14ac:dyDescent="0.2">
      <c r="A306" t="str">
        <f>"20200111150459795"</f>
        <v>20200111150459795</v>
      </c>
      <c r="B306" t="str">
        <f>"1578726299784235"</f>
        <v>1578726299784235</v>
      </c>
      <c r="C306" t="s">
        <v>37</v>
      </c>
      <c r="D306">
        <v>4.8242010000000004</v>
      </c>
      <c r="E306">
        <v>0.53473669999999995</v>
      </c>
      <c r="F306" t="s">
        <v>38</v>
      </c>
      <c r="G306">
        <v>-390.87110000000001</v>
      </c>
      <c r="H306">
        <v>1.039147</v>
      </c>
      <c r="I306">
        <v>367.5034</v>
      </c>
      <c r="J306">
        <v>-391.2269</v>
      </c>
      <c r="K306">
        <v>1.099488</v>
      </c>
      <c r="L306">
        <v>367.50400000000002</v>
      </c>
      <c r="M306">
        <v>0.99988199999999905</v>
      </c>
      <c r="N306">
        <v>0</v>
      </c>
      <c r="O306">
        <v>1.2031210000000001E-2</v>
      </c>
      <c r="P306">
        <v>0.99097289999999905</v>
      </c>
      <c r="Q306">
        <v>9.4371070000000001E-2</v>
      </c>
      <c r="R306">
        <v>9.522195E-2</v>
      </c>
      <c r="S306">
        <v>3.04946899999999</v>
      </c>
      <c r="T306">
        <v>-0.247384299999999</v>
      </c>
      <c r="U306">
        <v>1.3793949999999999E-2</v>
      </c>
      <c r="V306">
        <v>-8.3037440000000004E-2</v>
      </c>
      <c r="W306">
        <v>0.10405299999999899</v>
      </c>
      <c r="X306">
        <v>0.99109919999999996</v>
      </c>
      <c r="Y306">
        <v>7.4446410000000001E-3</v>
      </c>
      <c r="Z306">
        <v>-1.2759030000000001E-3</v>
      </c>
      <c r="AA306">
        <v>0.99997139999999995</v>
      </c>
      <c r="AB306">
        <v>36</v>
      </c>
      <c r="AC306">
        <v>0.35579999999998702</v>
      </c>
      <c r="AD306">
        <v>-6.0340999999999902E-2</v>
      </c>
      <c r="AE306">
        <v>-6.0000000001991696E-4</v>
      </c>
      <c r="AF306">
        <v>4.7444002012108103E-3</v>
      </c>
      <c r="AG306">
        <v>-6.0340999999999902E-2</v>
      </c>
      <c r="AH306">
        <v>0.34582069661122899</v>
      </c>
      <c r="AI306">
        <v>99.896776068591095</v>
      </c>
      <c r="AJ306">
        <v>89.213994252605204</v>
      </c>
      <c r="AK306">
        <v>0.35107762648585999</v>
      </c>
    </row>
    <row r="307" spans="1:37" x14ac:dyDescent="0.2">
      <c r="A307" t="str">
        <f>"20200111150459816"</f>
        <v>20200111150459816</v>
      </c>
      <c r="B307" t="str">
        <f>"1578726299814489"</f>
        <v>1578726299814489</v>
      </c>
      <c r="C307" t="s">
        <v>37</v>
      </c>
      <c r="D307">
        <v>4.9127519999999896</v>
      </c>
      <c r="E307">
        <v>0.49506800000000001</v>
      </c>
      <c r="F307" t="s">
        <v>38</v>
      </c>
      <c r="G307">
        <v>-390.23270000000002</v>
      </c>
      <c r="H307">
        <v>1.0194510000000001</v>
      </c>
      <c r="I307">
        <v>367.50799999999998</v>
      </c>
      <c r="J307">
        <v>-390.87849999999997</v>
      </c>
      <c r="K307">
        <v>1.099882</v>
      </c>
      <c r="L307">
        <v>367.50720000000001</v>
      </c>
      <c r="M307">
        <v>0.99989240000000001</v>
      </c>
      <c r="N307">
        <v>0</v>
      </c>
      <c r="O307">
        <v>1.096273E-2</v>
      </c>
      <c r="P307">
        <v>0.99094069999999901</v>
      </c>
      <c r="Q307">
        <v>9.4927609999999996E-2</v>
      </c>
      <c r="R307">
        <v>9.5002489999999995E-2</v>
      </c>
      <c r="S307">
        <v>3.0494379999999999</v>
      </c>
      <c r="T307">
        <v>-0.24556459999999999</v>
      </c>
      <c r="U307">
        <v>1.281738E-2</v>
      </c>
      <c r="V307">
        <v>-8.3872420000000003E-2</v>
      </c>
      <c r="W307">
        <v>0.104808</v>
      </c>
      <c r="X307">
        <v>0.99094939999999998</v>
      </c>
      <c r="Y307">
        <v>6.7030630000000004E-3</v>
      </c>
      <c r="Z307">
        <v>-1.150852E-3</v>
      </c>
      <c r="AA307">
        <v>0.99997689999999995</v>
      </c>
      <c r="AB307">
        <v>36</v>
      </c>
      <c r="AC307">
        <v>0.64579999999995097</v>
      </c>
      <c r="AD307">
        <v>-8.0430999999999905E-2</v>
      </c>
      <c r="AE307">
        <v>8.0000000002655703E-4</v>
      </c>
      <c r="AF307">
        <v>6.1841901794700699E-3</v>
      </c>
      <c r="AG307">
        <v>-8.0430999999999905E-2</v>
      </c>
      <c r="AH307">
        <v>0.63590618236315299</v>
      </c>
      <c r="AI307">
        <v>97.208297640538404</v>
      </c>
      <c r="AJ307">
        <v>89.4428158788552</v>
      </c>
      <c r="AK307">
        <v>0.64100238902585704</v>
      </c>
    </row>
    <row r="308" spans="1:37" x14ac:dyDescent="0.2">
      <c r="A308" t="str">
        <f>"20200111150459837"</f>
        <v>20200111150459837</v>
      </c>
      <c r="B308" t="str">
        <f>"1578726299834010"</f>
        <v>1578726299834010</v>
      </c>
      <c r="C308" t="s">
        <v>37</v>
      </c>
      <c r="D308">
        <v>4.7903070000000003</v>
      </c>
      <c r="E308">
        <v>0.492809099999999</v>
      </c>
      <c r="F308" t="s">
        <v>39</v>
      </c>
      <c r="G308">
        <v>-369.93950000000001</v>
      </c>
      <c r="H308" s="1">
        <v>-5.1363239999999999E-8</v>
      </c>
      <c r="I308">
        <v>369.77809999999999</v>
      </c>
      <c r="J308">
        <v>-390.52969999999999</v>
      </c>
      <c r="K308">
        <v>1.1002160000000001</v>
      </c>
      <c r="L308">
        <v>367.51</v>
      </c>
      <c r="M308">
        <v>0.99990179999999995</v>
      </c>
      <c r="N308">
        <v>0</v>
      </c>
      <c r="O308">
        <v>9.8980390000000008E-3</v>
      </c>
      <c r="P308">
        <v>0.99101379999999994</v>
      </c>
      <c r="Q308">
        <v>9.4900159999999997E-2</v>
      </c>
      <c r="R308">
        <v>9.4263719999999995E-2</v>
      </c>
      <c r="S308">
        <v>3.0112919999999899</v>
      </c>
      <c r="T308">
        <v>-0.1581756</v>
      </c>
      <c r="U308">
        <v>0.32659909999999998</v>
      </c>
      <c r="V308">
        <v>-8.4184350000000005E-2</v>
      </c>
      <c r="W308">
        <v>0.1049583</v>
      </c>
      <c r="X308">
        <v>0.99090699999999998</v>
      </c>
      <c r="Y308">
        <v>-9.7859890000000005E-2</v>
      </c>
      <c r="Z308">
        <v>2.0429089999999999E-3</v>
      </c>
      <c r="AA308">
        <v>0.99519809999999997</v>
      </c>
      <c r="AB308">
        <v>36</v>
      </c>
      <c r="AC308">
        <v>20.5901999999999</v>
      </c>
      <c r="AD308">
        <v>-1.10021605136324</v>
      </c>
      <c r="AE308">
        <v>2.2681</v>
      </c>
      <c r="AF308">
        <v>-2.05836967269201</v>
      </c>
      <c r="AG308">
        <v>-1.10021605136324</v>
      </c>
      <c r="AH308">
        <v>20.553661059061099</v>
      </c>
      <c r="AI308">
        <v>93.048837409412698</v>
      </c>
      <c r="AJ308">
        <v>95.718882918827603</v>
      </c>
      <c r="AK308">
        <v>20.685752198068599</v>
      </c>
    </row>
    <row r="309" spans="1:37" x14ac:dyDescent="0.2">
      <c r="A309" t="str">
        <f>"20200111150459861"</f>
        <v>20200111150459861</v>
      </c>
      <c r="B309" t="str">
        <f>"1578726299854505"</f>
        <v>1578726299854505</v>
      </c>
      <c r="C309" t="s">
        <v>37</v>
      </c>
      <c r="D309">
        <v>4.8080169999999898</v>
      </c>
      <c r="E309">
        <v>0.49173939999999999</v>
      </c>
      <c r="F309" t="s">
        <v>39</v>
      </c>
      <c r="G309">
        <v>-372.6678</v>
      </c>
      <c r="H309" s="1">
        <v>-3.140545E-6</v>
      </c>
      <c r="I309">
        <v>369.54450000000003</v>
      </c>
      <c r="J309">
        <v>-390.14620000000002</v>
      </c>
      <c r="K309">
        <v>1.100519</v>
      </c>
      <c r="L309">
        <v>367.5127</v>
      </c>
      <c r="M309">
        <v>0.99991090000000005</v>
      </c>
      <c r="N309">
        <v>0</v>
      </c>
      <c r="O309">
        <v>8.7341480000000006E-3</v>
      </c>
      <c r="P309">
        <v>0.99112109999999998</v>
      </c>
      <c r="Q309">
        <v>9.4854010000000002E-2</v>
      </c>
      <c r="R309">
        <v>9.3176980000000006E-2</v>
      </c>
      <c r="S309">
        <v>3.0123289999999998</v>
      </c>
      <c r="T309">
        <v>-0.18554679999999901</v>
      </c>
      <c r="U309">
        <v>0.3431091</v>
      </c>
      <c r="V309">
        <v>-8.4248429999999999E-2</v>
      </c>
      <c r="W309">
        <v>0.105084</v>
      </c>
      <c r="X309">
        <v>0.99088829999999894</v>
      </c>
      <c r="Y309">
        <v>-0.10430830000000001</v>
      </c>
      <c r="Z309">
        <v>2.6634150000000001E-3</v>
      </c>
      <c r="AA309">
        <v>0.99454149999999997</v>
      </c>
      <c r="AB309">
        <v>36</v>
      </c>
      <c r="AC309">
        <v>17.478400000000001</v>
      </c>
      <c r="AD309">
        <v>-1.1005221405450001</v>
      </c>
      <c r="AE309">
        <v>2.0318000000000298</v>
      </c>
      <c r="AF309">
        <v>-1.8717341308362401</v>
      </c>
      <c r="AG309">
        <v>-1.1005221405450001</v>
      </c>
      <c r="AH309">
        <v>17.427309899755901</v>
      </c>
      <c r="AI309">
        <v>93.592781505461403</v>
      </c>
      <c r="AJ309">
        <v>96.130202571377097</v>
      </c>
      <c r="AK309">
        <v>17.562051929672101</v>
      </c>
    </row>
    <row r="310" spans="1:37" x14ac:dyDescent="0.2">
      <c r="A310" t="str">
        <f>"20200111150459885"</f>
        <v>20200111150459885</v>
      </c>
      <c r="B310" t="str">
        <f>"1578726299874025"</f>
        <v>1578726299874025</v>
      </c>
      <c r="C310" t="s">
        <v>37</v>
      </c>
      <c r="D310">
        <v>4.7570449999999997</v>
      </c>
      <c r="E310">
        <v>0.49145230000000001</v>
      </c>
      <c r="F310" t="s">
        <v>39</v>
      </c>
      <c r="G310">
        <v>-371.61320000000001</v>
      </c>
      <c r="H310" s="1">
        <v>-3.5905039999999999E-6</v>
      </c>
      <c r="I310">
        <v>369.6549</v>
      </c>
      <c r="J310">
        <v>-389.76010000000002</v>
      </c>
      <c r="K310">
        <v>1.10077</v>
      </c>
      <c r="L310">
        <v>367.51490000000001</v>
      </c>
      <c r="M310">
        <v>0.99991890000000005</v>
      </c>
      <c r="N310">
        <v>0</v>
      </c>
      <c r="O310">
        <v>7.570055E-3</v>
      </c>
      <c r="P310">
        <v>0.99127399999999999</v>
      </c>
      <c r="Q310">
        <v>9.4634380000000004E-2</v>
      </c>
      <c r="R310">
        <v>9.1763380000000005E-2</v>
      </c>
      <c r="S310">
        <v>3.0112299999999999</v>
      </c>
      <c r="T310">
        <v>-0.17881150000000001</v>
      </c>
      <c r="U310">
        <v>0.34808349999999999</v>
      </c>
      <c r="V310">
        <v>-8.39863E-2</v>
      </c>
      <c r="W310">
        <v>0.105018</v>
      </c>
      <c r="X310">
        <v>0.99091749999999901</v>
      </c>
      <c r="Y310">
        <v>-0.1071338</v>
      </c>
      <c r="Z310">
        <v>2.719955E-3</v>
      </c>
      <c r="AA310">
        <v>0.99424089999999998</v>
      </c>
      <c r="AB310">
        <v>36</v>
      </c>
      <c r="AC310">
        <v>18.146899999999999</v>
      </c>
      <c r="AD310">
        <v>-1.1007735905039999</v>
      </c>
      <c r="AE310">
        <v>2.1399999999999801</v>
      </c>
      <c r="AF310">
        <v>-1.9953173300827101</v>
      </c>
      <c r="AG310">
        <v>-1.1007735905039999</v>
      </c>
      <c r="AH310">
        <v>18.096906139321401</v>
      </c>
      <c r="AI310">
        <v>93.459904269876006</v>
      </c>
      <c r="AJ310">
        <v>96.291868169487401</v>
      </c>
      <c r="AK310">
        <v>18.239819230482802</v>
      </c>
    </row>
    <row r="311" spans="1:37" x14ac:dyDescent="0.2">
      <c r="A311" t="str">
        <f>"20200111150459906"</f>
        <v>20200111150459906</v>
      </c>
      <c r="B311" t="str">
        <f>"1578726299894521"</f>
        <v>1578726299894521</v>
      </c>
      <c r="C311" t="s">
        <v>37</v>
      </c>
      <c r="D311">
        <v>4.7279400000000003</v>
      </c>
      <c r="E311">
        <v>0.49139240000000001</v>
      </c>
      <c r="F311" t="s">
        <v>39</v>
      </c>
      <c r="G311">
        <v>-372.1977</v>
      </c>
      <c r="H311" s="1">
        <v>-3.3441019999999999E-6</v>
      </c>
      <c r="I311">
        <v>369.53379999999999</v>
      </c>
      <c r="J311">
        <v>-389.4151</v>
      </c>
      <c r="K311">
        <v>1.100965</v>
      </c>
      <c r="L311">
        <v>367.51659999999998</v>
      </c>
      <c r="M311">
        <v>0.99992479999999995</v>
      </c>
      <c r="N311">
        <v>0</v>
      </c>
      <c r="O311">
        <v>6.5384290000000001E-3</v>
      </c>
      <c r="P311">
        <v>0.99148539999999996</v>
      </c>
      <c r="Q311">
        <v>9.4115279999999996E-2</v>
      </c>
      <c r="R311">
        <v>8.9994160000000004E-2</v>
      </c>
      <c r="S311">
        <v>3.0124209999999998</v>
      </c>
      <c r="T311">
        <v>-0.18881120000000001</v>
      </c>
      <c r="U311">
        <v>0.3463135</v>
      </c>
      <c r="V311">
        <v>-8.3238999999999994E-2</v>
      </c>
      <c r="W311">
        <v>0.104619699999999</v>
      </c>
      <c r="X311">
        <v>0.99102269999999903</v>
      </c>
      <c r="Y311">
        <v>-0.10751569999999901</v>
      </c>
      <c r="Z311">
        <v>2.9470389999999998E-3</v>
      </c>
      <c r="AA311">
        <v>0.99419899999999894</v>
      </c>
      <c r="AB311">
        <v>36</v>
      </c>
      <c r="AC311">
        <v>17.217399999999898</v>
      </c>
      <c r="AD311">
        <v>-1.100968344102</v>
      </c>
      <c r="AE311">
        <v>2.0171999999999999</v>
      </c>
      <c r="AF311">
        <v>-1.8969246190240401</v>
      </c>
      <c r="AG311">
        <v>-1.100968344102</v>
      </c>
      <c r="AH311">
        <v>17.1610012032512</v>
      </c>
      <c r="AI311">
        <v>93.6486324418279</v>
      </c>
      <c r="AJ311">
        <v>96.307693503567194</v>
      </c>
      <c r="AK311">
        <v>17.300590065167299</v>
      </c>
    </row>
    <row r="312" spans="1:37" x14ac:dyDescent="0.2">
      <c r="A312" t="str">
        <f>"20200111150459930"</f>
        <v>20200111150459930</v>
      </c>
      <c r="B312" t="str">
        <f>"1578726299923802"</f>
        <v>1578726299923802</v>
      </c>
      <c r="C312" t="s">
        <v>37</v>
      </c>
      <c r="D312">
        <v>4.7485439999999999</v>
      </c>
      <c r="E312">
        <v>0.4910312</v>
      </c>
      <c r="F312" t="s">
        <v>39</v>
      </c>
      <c r="G312">
        <v>-372.73</v>
      </c>
      <c r="H312" s="1">
        <v>-3.138059E-6</v>
      </c>
      <c r="I312">
        <v>369.40809999999999</v>
      </c>
      <c r="J312">
        <v>-389.03899999999999</v>
      </c>
      <c r="K312">
        <v>1.101145</v>
      </c>
      <c r="L312">
        <v>367.51799999999997</v>
      </c>
      <c r="M312">
        <v>0.99993019999999999</v>
      </c>
      <c r="N312">
        <v>0</v>
      </c>
      <c r="O312">
        <v>5.4267259999999998E-3</v>
      </c>
      <c r="P312">
        <v>0.99170829999999999</v>
      </c>
      <c r="Q312">
        <v>9.3668810000000005E-2</v>
      </c>
      <c r="R312">
        <v>8.7983500000000006E-2</v>
      </c>
      <c r="S312">
        <v>3.0136409999999998</v>
      </c>
      <c r="T312">
        <v>-0.198855</v>
      </c>
      <c r="U312">
        <v>0.34164429999999901</v>
      </c>
      <c r="V312">
        <v>-8.2331199999999993E-2</v>
      </c>
      <c r="W312">
        <v>0.1042892</v>
      </c>
      <c r="X312">
        <v>0.99113340000000005</v>
      </c>
      <c r="Y312">
        <v>-0.10703219999999999</v>
      </c>
      <c r="Z312">
        <v>3.1596509999999999E-3</v>
      </c>
      <c r="AA312">
        <v>0.99425049999999904</v>
      </c>
      <c r="AB312">
        <v>36</v>
      </c>
      <c r="AC312">
        <v>16.308999999999902</v>
      </c>
      <c r="AD312">
        <v>-1.101148138059</v>
      </c>
      <c r="AE312">
        <v>1.8900999999999599</v>
      </c>
      <c r="AF312">
        <v>-1.79349524579325</v>
      </c>
      <c r="AG312">
        <v>-1.101148138059</v>
      </c>
      <c r="AH312">
        <v>16.245939323208798</v>
      </c>
      <c r="AI312">
        <v>93.854227296158498</v>
      </c>
      <c r="AJ312">
        <v>96.299745111216794</v>
      </c>
      <c r="AK312">
        <v>16.381687852966099</v>
      </c>
    </row>
    <row r="313" spans="1:37" x14ac:dyDescent="0.2">
      <c r="A313" t="str">
        <f>"20200111150459951"</f>
        <v>20200111150459951</v>
      </c>
      <c r="B313" t="str">
        <f>"1578726299944298"</f>
        <v>1578726299944298</v>
      </c>
      <c r="C313" t="s">
        <v>37</v>
      </c>
      <c r="D313">
        <v>4.6890669999999997</v>
      </c>
      <c r="E313">
        <v>0.49053729999999901</v>
      </c>
      <c r="F313" t="s">
        <v>39</v>
      </c>
      <c r="G313">
        <v>-373.38199999999898</v>
      </c>
      <c r="H313" s="1">
        <v>-2.8810539999999998E-6</v>
      </c>
      <c r="I313">
        <v>369.28</v>
      </c>
      <c r="J313">
        <v>-388.68619999999999</v>
      </c>
      <c r="K313">
        <v>1.101291</v>
      </c>
      <c r="L313">
        <v>367.51900000000001</v>
      </c>
      <c r="M313">
        <v>0.9999344</v>
      </c>
      <c r="N313">
        <v>0</v>
      </c>
      <c r="O313">
        <v>4.3993159999999899E-3</v>
      </c>
      <c r="P313">
        <v>0.99188799999999899</v>
      </c>
      <c r="Q313">
        <v>9.3527639999999995E-2</v>
      </c>
      <c r="R313">
        <v>8.6088020000000001E-2</v>
      </c>
      <c r="S313">
        <v>3.0149840000000001</v>
      </c>
      <c r="T313">
        <v>-0.21204149999999999</v>
      </c>
      <c r="U313">
        <v>0.33932499999999999</v>
      </c>
      <c r="V313">
        <v>-8.1455810000000003E-2</v>
      </c>
      <c r="W313">
        <v>0.10424549999999901</v>
      </c>
      <c r="X313">
        <v>0.99121029999999999</v>
      </c>
      <c r="Y313">
        <v>-0.1072163</v>
      </c>
      <c r="Z313">
        <v>3.4457159999999902E-3</v>
      </c>
      <c r="AA313">
        <v>0.99422969999999899</v>
      </c>
      <c r="AB313">
        <v>36</v>
      </c>
      <c r="AC313">
        <v>15.3042</v>
      </c>
      <c r="AD313">
        <v>-1.1012938810540001</v>
      </c>
      <c r="AE313">
        <v>1.7609999999999599</v>
      </c>
      <c r="AF313">
        <v>-1.6850395993788401</v>
      </c>
      <c r="AG313">
        <v>-1.1012938810540001</v>
      </c>
      <c r="AH313">
        <v>15.233944762941</v>
      </c>
      <c r="AI313">
        <v>94.109860751739603</v>
      </c>
      <c r="AJ313">
        <v>96.311876965588297</v>
      </c>
      <c r="AK313">
        <v>15.366368461814901</v>
      </c>
    </row>
    <row r="314" spans="1:37" x14ac:dyDescent="0.2">
      <c r="A314" t="str">
        <f>"20200111150459974"</f>
        <v>20200111150459974</v>
      </c>
      <c r="B314" t="str">
        <f>"1578726299963820"</f>
        <v>1578726299963820</v>
      </c>
      <c r="C314" t="s">
        <v>37</v>
      </c>
      <c r="D314">
        <v>4.7475259999999997</v>
      </c>
      <c r="E314">
        <v>0.48992920000000001</v>
      </c>
      <c r="F314" t="s">
        <v>39</v>
      </c>
      <c r="G314">
        <v>-373.28030000000001</v>
      </c>
      <c r="H314" s="1">
        <v>-2.930372E-6</v>
      </c>
      <c r="I314">
        <v>369.24810000000002</v>
      </c>
      <c r="J314">
        <v>-388.31150000000002</v>
      </c>
      <c r="K314">
        <v>1.101424</v>
      </c>
      <c r="L314">
        <v>367.51949999999999</v>
      </c>
      <c r="M314">
        <v>0.99993739999999998</v>
      </c>
      <c r="N314">
        <v>0</v>
      </c>
      <c r="O314">
        <v>3.3323150000000002E-3</v>
      </c>
      <c r="P314">
        <v>0.992013699999999</v>
      </c>
      <c r="Q314">
        <v>9.3524510000000005E-2</v>
      </c>
      <c r="R314">
        <v>8.4629709999999997E-2</v>
      </c>
      <c r="S314">
        <v>3.0154719999999999</v>
      </c>
      <c r="T314">
        <v>-0.2155598</v>
      </c>
      <c r="U314">
        <v>0.33847050000000001</v>
      </c>
      <c r="V314">
        <v>-8.1058930000000001E-2</v>
      </c>
      <c r="W314">
        <v>0.1043385</v>
      </c>
      <c r="X314">
        <v>0.99123309999999998</v>
      </c>
      <c r="Y314">
        <v>-0.1079681</v>
      </c>
      <c r="Z314">
        <v>3.604927E-3</v>
      </c>
      <c r="AA314">
        <v>0.99414780000000003</v>
      </c>
      <c r="AB314">
        <v>36</v>
      </c>
      <c r="AC314">
        <v>15.0312</v>
      </c>
      <c r="AD314">
        <v>-1.1014269303719999</v>
      </c>
      <c r="AE314">
        <v>1.7286000000000199</v>
      </c>
      <c r="AF314">
        <v>-1.66965087797294</v>
      </c>
      <c r="AG314">
        <v>-1.1014269303719999</v>
      </c>
      <c r="AH314">
        <v>14.9576123022765</v>
      </c>
      <c r="AI314">
        <v>94.185559786642003</v>
      </c>
      <c r="AJ314">
        <v>96.3693027135253</v>
      </c>
      <c r="AK314">
        <v>15.0907601240785</v>
      </c>
    </row>
    <row r="315" spans="1:37" x14ac:dyDescent="0.2">
      <c r="A315" t="str">
        <f>"20200111150459996"</f>
        <v>20200111150459996</v>
      </c>
      <c r="B315" t="str">
        <f>"1578726299984313"</f>
        <v>1578726299984313</v>
      </c>
      <c r="C315" t="s">
        <v>37</v>
      </c>
      <c r="D315">
        <v>4.7109249999999996</v>
      </c>
      <c r="E315">
        <v>0.489701099999999</v>
      </c>
      <c r="F315" t="s">
        <v>39</v>
      </c>
      <c r="G315">
        <v>-373.0197</v>
      </c>
      <c r="H315" s="1">
        <v>-3.0435580000000001E-6</v>
      </c>
      <c r="I315">
        <v>369.24040000000002</v>
      </c>
      <c r="J315">
        <v>-387.959</v>
      </c>
      <c r="K315">
        <v>1.1015330000000001</v>
      </c>
      <c r="L315">
        <v>367.5197</v>
      </c>
      <c r="M315">
        <v>0.99993920000000003</v>
      </c>
      <c r="N315">
        <v>0</v>
      </c>
      <c r="O315">
        <v>2.353806E-3</v>
      </c>
      <c r="P315">
        <v>0.99213370000000001</v>
      </c>
      <c r="Q315">
        <v>9.3380320000000003E-2</v>
      </c>
      <c r="R315">
        <v>8.3373810000000007E-2</v>
      </c>
      <c r="S315">
        <v>3.015717</v>
      </c>
      <c r="T315">
        <v>-0.21721199999999999</v>
      </c>
      <c r="U315">
        <v>0.33938600000000002</v>
      </c>
      <c r="V315">
        <v>-8.0778230000000006E-2</v>
      </c>
      <c r="W315">
        <v>0.104275399999999</v>
      </c>
      <c r="X315">
        <v>0.99126259999999999</v>
      </c>
      <c r="Y315">
        <v>-0.10922029999999899</v>
      </c>
      <c r="Z315">
        <v>3.7471940000000001E-3</v>
      </c>
      <c r="AA315">
        <v>0.99401049999999902</v>
      </c>
      <c r="AB315">
        <v>36</v>
      </c>
      <c r="AC315">
        <v>14.939299999999999</v>
      </c>
      <c r="AD315">
        <v>-1.1015360435579999</v>
      </c>
      <c r="AE315">
        <v>1.7207000000000201</v>
      </c>
      <c r="AF315">
        <v>-1.6765334729230901</v>
      </c>
      <c r="AG315">
        <v>-1.1015360435579999</v>
      </c>
      <c r="AH315">
        <v>14.863558043926</v>
      </c>
      <c r="AI315">
        <v>94.211822220337396</v>
      </c>
      <c r="AJ315">
        <v>96.435471267013298</v>
      </c>
      <c r="AK315">
        <v>14.998316701091699</v>
      </c>
    </row>
    <row r="316" spans="1:37" x14ac:dyDescent="0.2">
      <c r="A316" t="str">
        <f>"20200111150500018"</f>
        <v>20200111150500018</v>
      </c>
      <c r="B316" t="str">
        <f>"1578726300014569"</f>
        <v>1578726300014569</v>
      </c>
      <c r="C316" t="s">
        <v>37</v>
      </c>
      <c r="D316">
        <v>4.7439710000000002</v>
      </c>
      <c r="E316">
        <v>0.48899949999999998</v>
      </c>
      <c r="F316" t="s">
        <v>39</v>
      </c>
      <c r="G316">
        <v>-372.95440000000002</v>
      </c>
      <c r="H316" s="1">
        <v>-3.0789150000000001E-6</v>
      </c>
      <c r="I316">
        <v>369.19869999999997</v>
      </c>
      <c r="J316">
        <v>-387.59339999999997</v>
      </c>
      <c r="K316">
        <v>1.101629</v>
      </c>
      <c r="L316">
        <v>367.5197</v>
      </c>
      <c r="M316">
        <v>0.9999401</v>
      </c>
      <c r="N316">
        <v>0</v>
      </c>
      <c r="O316">
        <v>1.3630319999999999E-3</v>
      </c>
      <c r="P316">
        <v>0.99217979999999995</v>
      </c>
      <c r="Q316">
        <v>9.3442369999999997E-2</v>
      </c>
      <c r="R316">
        <v>8.2751249999999998E-2</v>
      </c>
      <c r="S316">
        <v>3.0162659999999999</v>
      </c>
      <c r="T316">
        <v>-0.22143289999999899</v>
      </c>
      <c r="U316">
        <v>0.3375244</v>
      </c>
      <c r="V316">
        <v>-8.1142430000000001E-2</v>
      </c>
      <c r="W316">
        <v>0.10441250000000001</v>
      </c>
      <c r="X316">
        <v>0.99121840000000005</v>
      </c>
      <c r="Y316">
        <v>-0.109565</v>
      </c>
      <c r="Z316">
        <v>3.9042690000000001E-3</v>
      </c>
      <c r="AA316">
        <v>0.99397190000000002</v>
      </c>
      <c r="AB316">
        <v>36</v>
      </c>
      <c r="AC316">
        <v>14.6389999999999</v>
      </c>
      <c r="AD316">
        <v>-1.101632078915</v>
      </c>
      <c r="AE316">
        <v>1.6789999999999701</v>
      </c>
      <c r="AF316">
        <v>-1.6498221225241301</v>
      </c>
      <c r="AG316">
        <v>-1.101632078915</v>
      </c>
      <c r="AH316">
        <v>14.559892241799799</v>
      </c>
      <c r="AI316">
        <v>94.299465103525307</v>
      </c>
      <c r="AJ316">
        <v>96.464770406100499</v>
      </c>
      <c r="AK316">
        <v>14.694419633523699</v>
      </c>
    </row>
    <row r="317" spans="1:37" x14ac:dyDescent="0.2">
      <c r="A317" t="str">
        <f>"20200111150500039"</f>
        <v>20200111150500039</v>
      </c>
      <c r="B317" t="str">
        <f>"1578726300034089"</f>
        <v>1578726300034089</v>
      </c>
      <c r="C317" t="s">
        <v>37</v>
      </c>
      <c r="D317">
        <v>4.7170889999999996</v>
      </c>
      <c r="E317">
        <v>0.48851299999999998</v>
      </c>
      <c r="F317" t="s">
        <v>39</v>
      </c>
      <c r="G317">
        <v>-372.88060000000002</v>
      </c>
      <c r="H317" s="1">
        <v>-3.1134230000000001E-6</v>
      </c>
      <c r="I317">
        <v>369.18279999999999</v>
      </c>
      <c r="J317">
        <v>-387.23579999999998</v>
      </c>
      <c r="K317">
        <v>1.1017110000000001</v>
      </c>
      <c r="L317">
        <v>367.51920000000001</v>
      </c>
      <c r="M317">
        <v>0.99994019999999995</v>
      </c>
      <c r="N317">
        <v>0</v>
      </c>
      <c r="O317">
        <v>4.20448799999999E-4</v>
      </c>
      <c r="P317">
        <v>0.99217610000000001</v>
      </c>
      <c r="Q317">
        <v>9.3414129999999998E-2</v>
      </c>
      <c r="R317">
        <v>8.2827609999999996E-2</v>
      </c>
      <c r="S317">
        <v>3.0164789999999999</v>
      </c>
      <c r="T317">
        <v>-0.22586030000000001</v>
      </c>
      <c r="U317">
        <v>0.34100340000000001</v>
      </c>
      <c r="V317">
        <v>-8.2159670000000004E-2</v>
      </c>
      <c r="W317">
        <v>0.1044499</v>
      </c>
      <c r="X317">
        <v>0.99113069999999903</v>
      </c>
      <c r="Y317">
        <v>-0.111606199999999</v>
      </c>
      <c r="Z317">
        <v>4.1279120000000001E-3</v>
      </c>
      <c r="AA317">
        <v>0.99374399999999996</v>
      </c>
      <c r="AB317">
        <v>36</v>
      </c>
      <c r="AC317">
        <v>14.3551999999999</v>
      </c>
      <c r="AD317">
        <v>-1.101714113423</v>
      </c>
      <c r="AE317">
        <v>1.66359999999997</v>
      </c>
      <c r="AF317">
        <v>-1.6479857742431001</v>
      </c>
      <c r="AG317">
        <v>-1.101714113423</v>
      </c>
      <c r="AH317">
        <v>14.272943895825099</v>
      </c>
      <c r="AI317">
        <v>94.384834330630198</v>
      </c>
      <c r="AJ317">
        <v>96.586332558168294</v>
      </c>
      <c r="AK317">
        <v>14.4099465145847</v>
      </c>
    </row>
    <row r="318" spans="1:37" x14ac:dyDescent="0.2">
      <c r="A318" t="str">
        <f>"20200111150500062"</f>
        <v>20200111150500062</v>
      </c>
      <c r="B318" t="str">
        <f>"1578726300054585"</f>
        <v>1578726300054585</v>
      </c>
      <c r="C318" t="s">
        <v>37</v>
      </c>
      <c r="D318">
        <v>4.8808559999999996</v>
      </c>
      <c r="E318">
        <v>0.48845559999999899</v>
      </c>
      <c r="F318" t="s">
        <v>39</v>
      </c>
      <c r="G318">
        <v>-372.85160000000002</v>
      </c>
      <c r="H318" s="1">
        <v>-3.1288869999999899E-6</v>
      </c>
      <c r="I318">
        <v>369.16579999999999</v>
      </c>
      <c r="J318">
        <v>-386.861999999999</v>
      </c>
      <c r="K318">
        <v>1.1017859999999999</v>
      </c>
      <c r="L318">
        <v>367.51850000000002</v>
      </c>
      <c r="M318">
        <v>0.99993940000000003</v>
      </c>
      <c r="N318">
        <v>0</v>
      </c>
      <c r="O318">
        <v>-5.325385E-4</v>
      </c>
      <c r="P318">
        <v>0.99219840000000004</v>
      </c>
      <c r="Q318">
        <v>9.2962699999999995E-2</v>
      </c>
      <c r="R318">
        <v>8.3068649999999994E-2</v>
      </c>
      <c r="S318">
        <v>3.0166019999999998</v>
      </c>
      <c r="T318">
        <v>-0.23104520000000001</v>
      </c>
      <c r="U318">
        <v>0.3453369</v>
      </c>
      <c r="V318">
        <v>-8.3352599999999999E-2</v>
      </c>
      <c r="W318">
        <v>0.1040596</v>
      </c>
      <c r="X318">
        <v>0.99107209999999901</v>
      </c>
      <c r="Y318">
        <v>-0.1139341</v>
      </c>
      <c r="Z318">
        <v>4.383278E-3</v>
      </c>
      <c r="AA318">
        <v>0.99347870000000005</v>
      </c>
      <c r="AB318">
        <v>37</v>
      </c>
      <c r="AC318">
        <v>14.010399999999899</v>
      </c>
      <c r="AD318">
        <v>-1.1017891288870001</v>
      </c>
      <c r="AE318">
        <v>1.64729999999997</v>
      </c>
      <c r="AF318">
        <v>-1.64472837444481</v>
      </c>
      <c r="AG318">
        <v>-1.1017891288870001</v>
      </c>
      <c r="AH318">
        <v>13.9245801156681</v>
      </c>
      <c r="AI318">
        <v>94.4930256489084</v>
      </c>
      <c r="AJ318">
        <v>96.736388324841897</v>
      </c>
      <c r="AK318">
        <v>14.0646010291049</v>
      </c>
    </row>
    <row r="319" spans="1:37" x14ac:dyDescent="0.2">
      <c r="A319" t="str">
        <f>"20200111150500086"</f>
        <v>20200111150500086</v>
      </c>
      <c r="B319" t="str">
        <f>"1578726300083866"</f>
        <v>1578726300083866</v>
      </c>
      <c r="C319" t="s">
        <v>37</v>
      </c>
      <c r="D319">
        <v>4.5856349999999999</v>
      </c>
      <c r="E319">
        <v>0.51615049999999996</v>
      </c>
      <c r="F319" t="s">
        <v>39</v>
      </c>
      <c r="G319">
        <v>-372.6191</v>
      </c>
      <c r="H319" s="1">
        <v>-3.2308169999999999E-6</v>
      </c>
      <c r="I319">
        <v>369.1533</v>
      </c>
      <c r="J319">
        <v>-386.46980000000002</v>
      </c>
      <c r="K319">
        <v>1.101855</v>
      </c>
      <c r="L319">
        <v>367.51729999999998</v>
      </c>
      <c r="M319">
        <v>0.99993790000000005</v>
      </c>
      <c r="N319">
        <v>0</v>
      </c>
      <c r="O319">
        <v>-1.4944679999999899E-3</v>
      </c>
      <c r="P319">
        <v>0.99227509999999997</v>
      </c>
      <c r="Q319">
        <v>9.1904490000000005E-2</v>
      </c>
      <c r="R319">
        <v>8.3330580000000001E-2</v>
      </c>
      <c r="S319">
        <v>3.0164490000000002</v>
      </c>
      <c r="T319">
        <v>-0.2333432</v>
      </c>
      <c r="U319">
        <v>0.34625240000000002</v>
      </c>
      <c r="V319">
        <v>-8.4578780000000006E-2</v>
      </c>
      <c r="W319">
        <v>0.1030575</v>
      </c>
      <c r="X319">
        <v>0.99107299999999998</v>
      </c>
      <c r="Y319">
        <v>-0.1151799</v>
      </c>
      <c r="Z319">
        <v>4.5489119999999996E-3</v>
      </c>
      <c r="AA319">
        <v>0.99333419999999895</v>
      </c>
      <c r="AB319">
        <v>37</v>
      </c>
      <c r="AC319">
        <v>13.8507</v>
      </c>
      <c r="AD319">
        <v>-1.101858230817</v>
      </c>
      <c r="AE319">
        <v>1.6360000000000201</v>
      </c>
      <c r="AF319">
        <v>-1.6464226732768701</v>
      </c>
      <c r="AG319">
        <v>-1.101858230817</v>
      </c>
      <c r="AH319">
        <v>13.762341420652501</v>
      </c>
      <c r="AI319">
        <v>94.545251170475794</v>
      </c>
      <c r="AJ319">
        <v>96.822012603712906</v>
      </c>
      <c r="AK319">
        <v>13.9042022625718</v>
      </c>
    </row>
    <row r="320" spans="1:37" x14ac:dyDescent="0.2">
      <c r="A320" t="str">
        <f>"20200111150500107"</f>
        <v>20200111150500107</v>
      </c>
      <c r="B320" t="str">
        <f>"1578726300104362"</f>
        <v>1578726300104362</v>
      </c>
      <c r="C320" t="s">
        <v>37</v>
      </c>
      <c r="D320">
        <v>4.5337889999999996</v>
      </c>
      <c r="E320">
        <v>0.55957190000000001</v>
      </c>
      <c r="F320" t="s">
        <v>39</v>
      </c>
      <c r="G320">
        <v>-353.90309999999999</v>
      </c>
      <c r="H320" s="1">
        <v>-2.7302339999999998E-6</v>
      </c>
      <c r="I320">
        <v>368.87009999999998</v>
      </c>
      <c r="J320">
        <v>-386.1404</v>
      </c>
      <c r="K320">
        <v>1.1019060000000001</v>
      </c>
      <c r="L320">
        <v>367.51609999999999</v>
      </c>
      <c r="M320">
        <v>0.99993589999999999</v>
      </c>
      <c r="N320">
        <v>0</v>
      </c>
      <c r="O320">
        <v>-2.2661639999999898E-3</v>
      </c>
      <c r="P320">
        <v>0.99229590000000001</v>
      </c>
      <c r="Q320">
        <v>9.1182100000000002E-2</v>
      </c>
      <c r="R320">
        <v>8.3873509999999998E-2</v>
      </c>
      <c r="S320">
        <v>3.0223080000000002</v>
      </c>
      <c r="T320">
        <v>-0.10225629999999999</v>
      </c>
      <c r="U320">
        <v>0.1255493</v>
      </c>
      <c r="V320">
        <v>-8.5896199999999895E-2</v>
      </c>
      <c r="W320">
        <v>0.10237499999999999</v>
      </c>
      <c r="X320">
        <v>0.99103039999999998</v>
      </c>
      <c r="Y320">
        <v>-4.3743039999999997E-2</v>
      </c>
      <c r="Z320">
        <v>8.1609110000000005E-4</v>
      </c>
      <c r="AA320">
        <v>0.99904249999999895</v>
      </c>
      <c r="AB320">
        <v>37</v>
      </c>
      <c r="AC320">
        <v>32.237299999999998</v>
      </c>
      <c r="AD320">
        <v>-1.101908730234</v>
      </c>
      <c r="AE320">
        <v>1.3539999999999801</v>
      </c>
      <c r="AF320">
        <v>-1.42539359742262</v>
      </c>
      <c r="AG320">
        <v>-1.101908730234</v>
      </c>
      <c r="AH320">
        <v>32.1965979016841</v>
      </c>
      <c r="AI320">
        <v>91.958231083175093</v>
      </c>
      <c r="AJ320">
        <v>92.534918250391101</v>
      </c>
      <c r="AK320">
        <v>32.246966775187801</v>
      </c>
    </row>
    <row r="321" spans="1:37" x14ac:dyDescent="0.2">
      <c r="A321" t="str">
        <f>"20200111150507074"</f>
        <v>20200111150507074</v>
      </c>
      <c r="B321" t="str">
        <f>"1578726307064444"</f>
        <v>1578726307064444</v>
      </c>
      <c r="C321" t="s">
        <v>37</v>
      </c>
      <c r="D321">
        <v>5.2559809999999896</v>
      </c>
      <c r="E321">
        <v>0.46383350000000001</v>
      </c>
      <c r="F321" t="s">
        <v>39</v>
      </c>
      <c r="G321">
        <v>-252.84719999999999</v>
      </c>
      <c r="H321" s="1">
        <v>-3.1866609999999999E-6</v>
      </c>
      <c r="I321">
        <v>370.1268</v>
      </c>
      <c r="J321">
        <v>-269.68279999999999</v>
      </c>
      <c r="K321">
        <v>1.1020589999999999</v>
      </c>
      <c r="L321">
        <v>367.37490000000003</v>
      </c>
      <c r="M321">
        <v>0.99976369999999903</v>
      </c>
      <c r="N321">
        <v>0</v>
      </c>
      <c r="O321">
        <v>1.7718020000000001E-2</v>
      </c>
      <c r="P321">
        <v>0.99480179999999996</v>
      </c>
      <c r="Q321">
        <v>7.8211020000000006E-2</v>
      </c>
      <c r="R321">
        <v>6.5210889999999994E-2</v>
      </c>
      <c r="S321">
        <v>2.999695</v>
      </c>
      <c r="T321">
        <v>-0.1925509</v>
      </c>
      <c r="U321">
        <v>0.48193359999999902</v>
      </c>
      <c r="V321">
        <v>-4.7554590000000001E-2</v>
      </c>
      <c r="W321">
        <v>9.0764209999999998E-2</v>
      </c>
      <c r="X321">
        <v>0.99473639999999997</v>
      </c>
      <c r="Y321">
        <v>-0.14085980000000001</v>
      </c>
      <c r="Z321">
        <v>3.3589900000000001E-3</v>
      </c>
      <c r="AA321">
        <v>0.99002389999999996</v>
      </c>
      <c r="AB321">
        <v>35</v>
      </c>
      <c r="AC321">
        <v>16.835599999999999</v>
      </c>
      <c r="AD321">
        <v>-1.1020621866610001</v>
      </c>
      <c r="AE321">
        <v>2.7518999999999698</v>
      </c>
      <c r="AF321">
        <v>-2.4429550402166398</v>
      </c>
      <c r="AG321">
        <v>-1.1020621866610001</v>
      </c>
      <c r="AH321">
        <v>16.811555315019699</v>
      </c>
      <c r="AI321">
        <v>93.711719400712198</v>
      </c>
      <c r="AJ321">
        <v>98.268009155261396</v>
      </c>
      <c r="AK321">
        <v>17.023835129069901</v>
      </c>
    </row>
    <row r="322" spans="1:37" x14ac:dyDescent="0.2">
      <c r="A322" t="str">
        <f>"20200111150507096"</f>
        <v>20200111150507096</v>
      </c>
      <c r="B322" t="str">
        <f>"1578726307084937"</f>
        <v>1578726307084937</v>
      </c>
      <c r="C322" t="s">
        <v>37</v>
      </c>
      <c r="D322">
        <v>5.2503830000000002</v>
      </c>
      <c r="E322">
        <v>0.46315859999999898</v>
      </c>
      <c r="F322" t="s">
        <v>39</v>
      </c>
      <c r="G322">
        <v>-255.2621</v>
      </c>
      <c r="H322" s="1">
        <v>-2.044496E-6</v>
      </c>
      <c r="I322">
        <v>369.7276</v>
      </c>
      <c r="J322">
        <v>-269.33210000000003</v>
      </c>
      <c r="K322">
        <v>1.102255</v>
      </c>
      <c r="L322">
        <v>367.38099999999997</v>
      </c>
      <c r="M322">
        <v>0.99976339999999997</v>
      </c>
      <c r="N322">
        <v>0</v>
      </c>
      <c r="O322">
        <v>1.764783E-2</v>
      </c>
      <c r="P322">
        <v>0.99475419999999903</v>
      </c>
      <c r="Q322">
        <v>7.8587610000000002E-2</v>
      </c>
      <c r="R322">
        <v>6.5487130000000005E-2</v>
      </c>
      <c r="S322">
        <v>3.001617</v>
      </c>
      <c r="T322">
        <v>-0.22938800000000001</v>
      </c>
      <c r="U322">
        <v>0.48971559999999997</v>
      </c>
      <c r="V322">
        <v>-4.7901489999999998E-2</v>
      </c>
      <c r="W322">
        <v>9.1263750000000005E-2</v>
      </c>
      <c r="X322">
        <v>0.99467399999999995</v>
      </c>
      <c r="Y322">
        <v>-0.14322119999999999</v>
      </c>
      <c r="Z322">
        <v>4.09140299999999E-3</v>
      </c>
      <c r="AA322">
        <v>0.98968230000000001</v>
      </c>
      <c r="AB322">
        <v>35</v>
      </c>
      <c r="AC322">
        <v>14.07</v>
      </c>
      <c r="AD322">
        <v>-1.102257044496</v>
      </c>
      <c r="AE322">
        <v>2.34660000000002</v>
      </c>
      <c r="AF322">
        <v>-2.0854567475754799</v>
      </c>
      <c r="AG322">
        <v>-1.102257044496</v>
      </c>
      <c r="AH322">
        <v>14.025475145810899</v>
      </c>
      <c r="AI322">
        <v>94.444949730397298</v>
      </c>
      <c r="AJ322">
        <v>98.457381064710702</v>
      </c>
      <c r="AK322">
        <v>14.222448927801</v>
      </c>
    </row>
    <row r="323" spans="1:37" x14ac:dyDescent="0.2">
      <c r="A323" t="str">
        <f>"20200111150507120"</f>
        <v>20200111150507120</v>
      </c>
      <c r="B323" t="str">
        <f>"1578726307114291"</f>
        <v>1578726307114291</v>
      </c>
      <c r="C323" t="s">
        <v>37</v>
      </c>
      <c r="D323">
        <v>5.17157</v>
      </c>
      <c r="E323">
        <v>0.4632617</v>
      </c>
      <c r="F323" t="s">
        <v>39</v>
      </c>
      <c r="G323">
        <v>-254.80199999999999</v>
      </c>
      <c r="H323" s="1">
        <v>-2.2565260000000002E-6</v>
      </c>
      <c r="I323">
        <v>369.78269999999998</v>
      </c>
      <c r="J323">
        <v>-268.96269999999998</v>
      </c>
      <c r="K323">
        <v>1.1024229999999999</v>
      </c>
      <c r="L323">
        <v>367.38749999999999</v>
      </c>
      <c r="M323">
        <v>0.99976309999999902</v>
      </c>
      <c r="N323">
        <v>0</v>
      </c>
      <c r="O323">
        <v>1.7574409999999999E-2</v>
      </c>
      <c r="P323">
        <v>0.99469280000000004</v>
      </c>
      <c r="Q323">
        <v>7.9003329999999997E-2</v>
      </c>
      <c r="R323">
        <v>6.5914180000000003E-2</v>
      </c>
      <c r="S323">
        <v>3.00116</v>
      </c>
      <c r="T323">
        <v>-0.2276667</v>
      </c>
      <c r="U323">
        <v>0.49606319999999998</v>
      </c>
      <c r="V323">
        <v>-4.8402340000000002E-2</v>
      </c>
      <c r="W323">
        <v>9.1794130000000002E-2</v>
      </c>
      <c r="X323">
        <v>0.99460099999999996</v>
      </c>
      <c r="Y323">
        <v>-0.14535490000000001</v>
      </c>
      <c r="Z323">
        <v>4.1465080000000001E-3</v>
      </c>
      <c r="AA323">
        <v>0.98937090000000005</v>
      </c>
      <c r="AB323">
        <v>35</v>
      </c>
      <c r="AC323">
        <v>14.160699999999901</v>
      </c>
      <c r="AD323">
        <v>-1.102425256526</v>
      </c>
      <c r="AE323">
        <v>2.39519999999998</v>
      </c>
      <c r="AF323">
        <v>-2.1333732690176399</v>
      </c>
      <c r="AG323">
        <v>-1.102425256526</v>
      </c>
      <c r="AH323">
        <v>14.117427482756799</v>
      </c>
      <c r="AI323">
        <v>94.415219972337397</v>
      </c>
      <c r="AJ323">
        <v>98.593306658689102</v>
      </c>
      <c r="AK323">
        <v>14.320208856091501</v>
      </c>
    </row>
    <row r="324" spans="1:37" x14ac:dyDescent="0.2">
      <c r="A324" t="str">
        <f>"20200111150507142"</f>
        <v>20200111150507142</v>
      </c>
      <c r="B324" t="str">
        <f>"1578726307134789"</f>
        <v>1578726307134789</v>
      </c>
      <c r="C324" t="s">
        <v>37</v>
      </c>
      <c r="D324">
        <v>5.2957879999999999</v>
      </c>
      <c r="E324">
        <v>0.46471519999999999</v>
      </c>
      <c r="F324" t="s">
        <v>39</v>
      </c>
      <c r="G324">
        <v>-254.3914</v>
      </c>
      <c r="H324" s="1">
        <v>-2.43632E-6</v>
      </c>
      <c r="I324">
        <v>369.79640000000001</v>
      </c>
      <c r="J324">
        <v>-268.61270000000002</v>
      </c>
      <c r="K324">
        <v>1.102557</v>
      </c>
      <c r="L324">
        <v>367.39359999999999</v>
      </c>
      <c r="M324">
        <v>0.99976309999999902</v>
      </c>
      <c r="N324">
        <v>0</v>
      </c>
      <c r="O324">
        <v>1.7504570000000001E-2</v>
      </c>
      <c r="P324">
        <v>0.99468440000000002</v>
      </c>
      <c r="Q324">
        <v>7.9415440000000004E-2</v>
      </c>
      <c r="R324">
        <v>6.5545259999999994E-2</v>
      </c>
      <c r="S324">
        <v>3.0011290000000002</v>
      </c>
      <c r="T324">
        <v>-0.2270557</v>
      </c>
      <c r="U324">
        <v>0.49615479999999901</v>
      </c>
      <c r="V324">
        <v>-4.8103189999999997E-2</v>
      </c>
      <c r="W324">
        <v>9.2302179999999998E-2</v>
      </c>
      <c r="X324">
        <v>0.99456849999999997</v>
      </c>
      <c r="Y324">
        <v>-0.14545639999999899</v>
      </c>
      <c r="Z324">
        <v>4.1444840000000004E-3</v>
      </c>
      <c r="AA324">
        <v>0.98935599999999901</v>
      </c>
      <c r="AB324">
        <v>35</v>
      </c>
      <c r="AC324">
        <v>14.221299999999999</v>
      </c>
      <c r="AD324">
        <v>-1.10255943632</v>
      </c>
      <c r="AE324">
        <v>2.4028000000000098</v>
      </c>
      <c r="AF324">
        <v>-2.140961691332</v>
      </c>
      <c r="AG324">
        <v>-1.10255943632</v>
      </c>
      <c r="AH324">
        <v>14.1783277296565</v>
      </c>
      <c r="AI324">
        <v>94.396936416347003</v>
      </c>
      <c r="AJ324">
        <v>98.586927505584995</v>
      </c>
      <c r="AK324">
        <v>14.381388371221799</v>
      </c>
    </row>
    <row r="325" spans="1:37" x14ac:dyDescent="0.2">
      <c r="A325" t="str">
        <f>"20200111150507164"</f>
        <v>20200111150507164</v>
      </c>
      <c r="B325" t="str">
        <f>"1578726307154309"</f>
        <v>1578726307154309</v>
      </c>
      <c r="C325" t="s">
        <v>37</v>
      </c>
      <c r="D325">
        <v>5.0778419999999898</v>
      </c>
      <c r="E325">
        <v>0.46522609999999998</v>
      </c>
      <c r="F325" t="s">
        <v>39</v>
      </c>
      <c r="G325">
        <v>-254.18430000000001</v>
      </c>
      <c r="H325" s="1">
        <v>-2.504803E-6</v>
      </c>
      <c r="I325">
        <v>369.7199</v>
      </c>
      <c r="J325">
        <v>-268.27359999999999</v>
      </c>
      <c r="K325">
        <v>1.102662</v>
      </c>
      <c r="L325">
        <v>367.39940000000001</v>
      </c>
      <c r="M325">
        <v>0.99976319999999996</v>
      </c>
      <c r="N325">
        <v>0</v>
      </c>
      <c r="O325">
        <v>1.743654E-2</v>
      </c>
      <c r="P325">
        <v>0.99469200000000002</v>
      </c>
      <c r="Q325">
        <v>7.9595979999999997E-2</v>
      </c>
      <c r="R325">
        <v>6.5212039999999999E-2</v>
      </c>
      <c r="S325">
        <v>3.0024109999999999</v>
      </c>
      <c r="T325">
        <v>-0.2294302</v>
      </c>
      <c r="U325">
        <v>0.48410029999999998</v>
      </c>
      <c r="V325">
        <v>-4.7837379999999999E-2</v>
      </c>
      <c r="W325">
        <v>9.2565220000000004E-2</v>
      </c>
      <c r="X325">
        <v>0.99455680000000002</v>
      </c>
      <c r="Y325">
        <v>-0.14158889999999999</v>
      </c>
      <c r="Z325">
        <v>4.0458150000000003E-3</v>
      </c>
      <c r="AA325">
        <v>0.9899173</v>
      </c>
      <c r="AB325">
        <v>35</v>
      </c>
      <c r="AC325">
        <v>14.0892999999999</v>
      </c>
      <c r="AD325">
        <v>-1.1026645048029999</v>
      </c>
      <c r="AE325">
        <v>2.32049999999998</v>
      </c>
      <c r="AF325">
        <v>-2.0621604777284799</v>
      </c>
      <c r="AG325">
        <v>-1.1026645048029999</v>
      </c>
      <c r="AH325">
        <v>14.0438752084798</v>
      </c>
      <c r="AI325">
        <v>94.4419694683085</v>
      </c>
      <c r="AJ325">
        <v>98.353445112249304</v>
      </c>
      <c r="AK325">
        <v>14.237233078004</v>
      </c>
    </row>
    <row r="326" spans="1:37" x14ac:dyDescent="0.2">
      <c r="A326" t="str">
        <f>"20200111150511363"</f>
        <v>20200111150511363</v>
      </c>
      <c r="B326" t="str">
        <f>"1578726311355203"</f>
        <v>1578726311355203</v>
      </c>
      <c r="C326" t="s">
        <v>37</v>
      </c>
      <c r="D326">
        <v>5.3999169999999896</v>
      </c>
      <c r="E326">
        <v>0.57639099999999999</v>
      </c>
      <c r="F326" t="s">
        <v>39</v>
      </c>
      <c r="G326">
        <v>-253.5367</v>
      </c>
      <c r="H326" s="1">
        <v>-2.7907299999999998E-6</v>
      </c>
      <c r="I326">
        <v>369.75040000000001</v>
      </c>
      <c r="J326">
        <v>-207.50799999999899</v>
      </c>
      <c r="K326">
        <v>1.0977129999999999</v>
      </c>
      <c r="L326">
        <v>364.23140000000001</v>
      </c>
      <c r="M326">
        <v>0.95419900000000002</v>
      </c>
      <c r="N326">
        <v>0</v>
      </c>
      <c r="O326">
        <v>-0.2988401</v>
      </c>
      <c r="P326">
        <v>0.92964429999999998</v>
      </c>
      <c r="Q326">
        <v>0.10019689999999901</v>
      </c>
      <c r="R326">
        <v>-0.35457329999999998</v>
      </c>
      <c r="S326">
        <v>3.00259399999999</v>
      </c>
      <c r="T326">
        <v>-0.224663</v>
      </c>
      <c r="U326">
        <v>0.47900389999999998</v>
      </c>
      <c r="V326">
        <v>6.2135830000000003E-2</v>
      </c>
      <c r="W326">
        <v>0.11333599999999899</v>
      </c>
      <c r="X326">
        <v>0.99161180000000004</v>
      </c>
      <c r="Y326">
        <v>-0.44344620000000001</v>
      </c>
      <c r="Z326">
        <v>3.8527489999999998E-2</v>
      </c>
      <c r="AA326">
        <v>0.89547259999999995</v>
      </c>
      <c r="AB326">
        <v>30</v>
      </c>
      <c r="AC326">
        <v>-46.028700000000001</v>
      </c>
      <c r="AD326">
        <v>-1.0977157907299999</v>
      </c>
      <c r="AE326">
        <v>5.5190000000000001</v>
      </c>
      <c r="AF326">
        <v>8.4850837250653992</v>
      </c>
      <c r="AG326">
        <v>-1.0977157907299999</v>
      </c>
      <c r="AH326">
        <v>-45.548830987215197</v>
      </c>
      <c r="AI326">
        <v>91.357207871584194</v>
      </c>
      <c r="AJ326">
        <v>-79.447585602989093</v>
      </c>
      <c r="AK326">
        <v>46.345416494843199</v>
      </c>
    </row>
    <row r="327" spans="1:37" x14ac:dyDescent="0.2">
      <c r="A327" t="str">
        <f>"20200111150511377"</f>
        <v>20200111150511377</v>
      </c>
      <c r="B327" t="str">
        <f>"1578726311374711"</f>
        <v>1578726311374711</v>
      </c>
      <c r="C327" t="s">
        <v>37</v>
      </c>
      <c r="D327">
        <v>5.6664120000000002</v>
      </c>
      <c r="E327">
        <v>0.578800599999999</v>
      </c>
      <c r="F327" t="s">
        <v>41</v>
      </c>
      <c r="G327">
        <v>-198.2287</v>
      </c>
      <c r="H327" s="1">
        <v>-6.1855880000000002E-6</v>
      </c>
      <c r="I327">
        <v>358.44459999999998</v>
      </c>
      <c r="J327">
        <v>-207.3287</v>
      </c>
      <c r="K327">
        <v>1.0976159999999999</v>
      </c>
      <c r="L327">
        <v>364.1703</v>
      </c>
      <c r="M327">
        <v>0.95274979999999998</v>
      </c>
      <c r="N327">
        <v>0</v>
      </c>
      <c r="O327">
        <v>-0.30342759999999902</v>
      </c>
      <c r="P327">
        <v>0.92828940000000004</v>
      </c>
      <c r="Q327">
        <v>0.1005648</v>
      </c>
      <c r="R327">
        <v>-0.35800279999999901</v>
      </c>
      <c r="S327">
        <v>2.634109</v>
      </c>
      <c r="T327">
        <v>-0.31160700000000002</v>
      </c>
      <c r="U327">
        <v>-1.6427</v>
      </c>
      <c r="V327">
        <v>6.1068320000000002E-2</v>
      </c>
      <c r="W327">
        <v>0.113717899999999</v>
      </c>
      <c r="X327">
        <v>0.99163449999999997</v>
      </c>
      <c r="Y327">
        <v>0.24695210000000001</v>
      </c>
      <c r="Z327">
        <v>1.8414549999999998E-2</v>
      </c>
      <c r="AA327">
        <v>0.96885270000000001</v>
      </c>
      <c r="AB327">
        <v>30</v>
      </c>
      <c r="AC327">
        <v>9.0999999999999908</v>
      </c>
      <c r="AD327">
        <v>-1.097622185588</v>
      </c>
      <c r="AE327">
        <v>-5.7257000000000096</v>
      </c>
      <c r="AF327">
        <v>2.6664461183366099</v>
      </c>
      <c r="AG327">
        <v>-1.097622185588</v>
      </c>
      <c r="AH327">
        <v>10.301034423084699</v>
      </c>
      <c r="AI327">
        <v>95.889496616317999</v>
      </c>
      <c r="AJ327">
        <v>75.487397315652302</v>
      </c>
      <c r="AK327">
        <v>10.697009841533401</v>
      </c>
    </row>
    <row r="328" spans="1:37" x14ac:dyDescent="0.2">
      <c r="A328" t="str">
        <f>"20200111150511391"</f>
        <v>20200111150511391</v>
      </c>
      <c r="B328" t="str">
        <f>"1578726311384470"</f>
        <v>1578726311384470</v>
      </c>
      <c r="C328" t="s">
        <v>37</v>
      </c>
      <c r="D328">
        <v>5.430129</v>
      </c>
      <c r="E328">
        <v>0.57904449999999996</v>
      </c>
      <c r="F328" t="s">
        <v>41</v>
      </c>
      <c r="G328">
        <v>-194.84389999999999</v>
      </c>
      <c r="H328" s="1">
        <v>-4.7750799999999997E-6</v>
      </c>
      <c r="I328">
        <v>356.19510000000002</v>
      </c>
      <c r="J328">
        <v>-207.15049999999999</v>
      </c>
      <c r="K328">
        <v>1.0975250000000001</v>
      </c>
      <c r="L328">
        <v>364.10860000000002</v>
      </c>
      <c r="M328">
        <v>0.95126339999999998</v>
      </c>
      <c r="N328">
        <v>0</v>
      </c>
      <c r="O328">
        <v>-0.30805559999999998</v>
      </c>
      <c r="P328">
        <v>0.92690469999999903</v>
      </c>
      <c r="Q328">
        <v>0.1009193</v>
      </c>
      <c r="R328">
        <v>-0.36147360000000001</v>
      </c>
      <c r="S328">
        <v>2.6129150000000001</v>
      </c>
      <c r="T328">
        <v>-0.22971799999999901</v>
      </c>
      <c r="U328">
        <v>-1.669098</v>
      </c>
      <c r="V328">
        <v>6.000051E-2</v>
      </c>
      <c r="W328">
        <v>0.1140864</v>
      </c>
      <c r="X328">
        <v>0.99165729999999996</v>
      </c>
      <c r="Y328">
        <v>0.25263239999999998</v>
      </c>
      <c r="Z328">
        <v>1.37553E-2</v>
      </c>
      <c r="AA328">
        <v>0.96746460000000001</v>
      </c>
      <c r="AB328">
        <v>30</v>
      </c>
      <c r="AC328">
        <v>12.3066</v>
      </c>
      <c r="AD328">
        <v>-1.0975297750799999</v>
      </c>
      <c r="AE328">
        <v>-7.9134999999999902</v>
      </c>
      <c r="AF328">
        <v>3.7161687167983701</v>
      </c>
      <c r="AG328">
        <v>-1.0975297750799999</v>
      </c>
      <c r="AH328">
        <v>14.0668765184599</v>
      </c>
      <c r="AI328">
        <v>94.313901145272098</v>
      </c>
      <c r="AJ328">
        <v>75.201752813832002</v>
      </c>
      <c r="AK328">
        <v>14.5908017779866</v>
      </c>
    </row>
    <row r="329" spans="1:37" x14ac:dyDescent="0.2">
      <c r="A329" t="str">
        <f>"20200111150511407"</f>
        <v>20200111150511407</v>
      </c>
      <c r="B329" t="str">
        <f>"1578726311404967"</f>
        <v>1578726311404967</v>
      </c>
      <c r="C329" t="s">
        <v>37</v>
      </c>
      <c r="D329">
        <v>5.5449060000000001</v>
      </c>
      <c r="E329">
        <v>0.57781090000000002</v>
      </c>
      <c r="F329" t="s">
        <v>41</v>
      </c>
      <c r="G329">
        <v>-195.3271</v>
      </c>
      <c r="H329" s="1">
        <v>-5.0168259999999901E-6</v>
      </c>
      <c r="I329">
        <v>356.48410000000001</v>
      </c>
      <c r="J329">
        <v>-206.94759999999999</v>
      </c>
      <c r="K329">
        <v>1.097421</v>
      </c>
      <c r="L329">
        <v>364.0369</v>
      </c>
      <c r="M329">
        <v>0.94950089999999998</v>
      </c>
      <c r="N329">
        <v>0</v>
      </c>
      <c r="O329">
        <v>-0.31344519999999998</v>
      </c>
      <c r="P329">
        <v>0.92556349999999998</v>
      </c>
      <c r="Q329">
        <v>0.1019419</v>
      </c>
      <c r="R329">
        <v>-0.36460979999999998</v>
      </c>
      <c r="S329">
        <v>2.6072540000000002</v>
      </c>
      <c r="T329">
        <v>-0.242023299999999</v>
      </c>
      <c r="U329">
        <v>-1.68133499999999</v>
      </c>
      <c r="V329">
        <v>5.7811519999999998E-2</v>
      </c>
      <c r="W329">
        <v>0.1151413</v>
      </c>
      <c r="X329">
        <v>0.99166540000000003</v>
      </c>
      <c r="Y329">
        <v>0.25134329999999999</v>
      </c>
      <c r="Z329">
        <v>1.496858E-2</v>
      </c>
      <c r="AA329">
        <v>0.96778229999999998</v>
      </c>
      <c r="AB329">
        <v>30</v>
      </c>
      <c r="AC329">
        <v>11.6204999999999</v>
      </c>
      <c r="AD329">
        <v>-1.0974260168259999</v>
      </c>
      <c r="AE329">
        <v>-7.5527999999999897</v>
      </c>
      <c r="AF329">
        <v>3.5073625522477898</v>
      </c>
      <c r="AG329">
        <v>-1.0974260168259999</v>
      </c>
      <c r="AH329">
        <v>13.3188961268068</v>
      </c>
      <c r="AI329">
        <v>94.555686639039394</v>
      </c>
      <c r="AJ329">
        <v>75.246822534411805</v>
      </c>
      <c r="AK329">
        <v>13.816617891943901</v>
      </c>
    </row>
    <row r="330" spans="1:37" x14ac:dyDescent="0.2">
      <c r="A330" t="str">
        <f>"20200111150511423"</f>
        <v>20200111150511423</v>
      </c>
      <c r="B330" t="str">
        <f>"1578726311414727"</f>
        <v>1578726311414727</v>
      </c>
      <c r="C330" t="s">
        <v>37</v>
      </c>
      <c r="D330">
        <v>5.3852459999999898</v>
      </c>
      <c r="E330">
        <v>0.57839619999999903</v>
      </c>
      <c r="F330" t="s">
        <v>41</v>
      </c>
      <c r="G330">
        <v>-190.33320000000001</v>
      </c>
      <c r="H330" s="1">
        <v>-2.2737520000000001E-6</v>
      </c>
      <c r="I330">
        <v>353.29419999999999</v>
      </c>
      <c r="J330">
        <v>-206.75149999999999</v>
      </c>
      <c r="K330">
        <v>1.097318</v>
      </c>
      <c r="L330">
        <v>363.96620000000001</v>
      </c>
      <c r="M330">
        <v>0.94773249999999998</v>
      </c>
      <c r="N330">
        <v>0</v>
      </c>
      <c r="O330">
        <v>-0.31875100000000001</v>
      </c>
      <c r="P330">
        <v>0.92372940000000003</v>
      </c>
      <c r="Q330">
        <v>0.102326899999999</v>
      </c>
      <c r="R330">
        <v>-0.36912539999999999</v>
      </c>
      <c r="S330">
        <v>2.5983429999999998</v>
      </c>
      <c r="T330">
        <v>-0.1716271</v>
      </c>
      <c r="U330">
        <v>-1.6800539999999999</v>
      </c>
      <c r="V330">
        <v>5.7155690000000002E-2</v>
      </c>
      <c r="W330">
        <v>0.1155364</v>
      </c>
      <c r="X330">
        <v>0.99165749999999997</v>
      </c>
      <c r="Y330">
        <v>0.24703739999999999</v>
      </c>
      <c r="Z330">
        <v>1.107674E-2</v>
      </c>
      <c r="AA330">
        <v>0.96894259999999999</v>
      </c>
      <c r="AB330">
        <v>30</v>
      </c>
      <c r="AC330">
        <v>16.418299999999899</v>
      </c>
      <c r="AD330">
        <v>-1.097320273752</v>
      </c>
      <c r="AE330">
        <v>-10.672000000000001</v>
      </c>
      <c r="AF330">
        <v>4.8660617251872003</v>
      </c>
      <c r="AG330">
        <v>-1.097320273752</v>
      </c>
      <c r="AH330">
        <v>18.904408869716399</v>
      </c>
      <c r="AI330">
        <v>93.217401414161998</v>
      </c>
      <c r="AJ330">
        <v>75.565218192231498</v>
      </c>
      <c r="AK330">
        <v>19.551453736485499</v>
      </c>
    </row>
    <row r="331" spans="1:37" x14ac:dyDescent="0.2">
      <c r="A331" t="str">
        <f>"20200111150511437"</f>
        <v>20200111150511437</v>
      </c>
      <c r="B331" t="str">
        <f>"1578726311434247"</f>
        <v>1578726311434247</v>
      </c>
      <c r="C331" t="s">
        <v>37</v>
      </c>
      <c r="D331">
        <v>5.3863769999999898</v>
      </c>
      <c r="E331">
        <v>0.57904489999999997</v>
      </c>
      <c r="F331" t="s">
        <v>41</v>
      </c>
      <c r="G331">
        <v>-191.47049999999999</v>
      </c>
      <c r="H331" s="1">
        <v>-2.957765E-6</v>
      </c>
      <c r="I331">
        <v>353.95159999999998</v>
      </c>
      <c r="J331">
        <v>-206.5805</v>
      </c>
      <c r="K331">
        <v>1.097226</v>
      </c>
      <c r="L331">
        <v>363.90350000000001</v>
      </c>
      <c r="M331">
        <v>0.946140599999999</v>
      </c>
      <c r="N331">
        <v>0</v>
      </c>
      <c r="O331">
        <v>-0.32344509999999899</v>
      </c>
      <c r="P331">
        <v>0.92207139999999999</v>
      </c>
      <c r="Q331">
        <v>0.1029365</v>
      </c>
      <c r="R331">
        <v>-0.37307970000000001</v>
      </c>
      <c r="S331">
        <v>2.59001199999999</v>
      </c>
      <c r="T331">
        <v>-0.18598719999999999</v>
      </c>
      <c r="U331">
        <v>-1.6973879999999999</v>
      </c>
      <c r="V331">
        <v>5.6545209999999999E-2</v>
      </c>
      <c r="W331">
        <v>0.11615489999999901</v>
      </c>
      <c r="X331">
        <v>0.99162019999999995</v>
      </c>
      <c r="Y331">
        <v>0.24822520000000001</v>
      </c>
      <c r="Z331">
        <v>1.2250479999999999E-2</v>
      </c>
      <c r="AA331">
        <v>0.96862490000000001</v>
      </c>
      <c r="AB331">
        <v>30</v>
      </c>
      <c r="AC331">
        <v>15.11</v>
      </c>
      <c r="AD331">
        <v>-1.0972289577650001</v>
      </c>
      <c r="AE331">
        <v>-9.9519000000000197</v>
      </c>
      <c r="AF331">
        <v>4.5125011716378101</v>
      </c>
      <c r="AG331">
        <v>-1.0972289577650001</v>
      </c>
      <c r="AH331">
        <v>17.4526543005462</v>
      </c>
      <c r="AI331">
        <v>93.483140036975101</v>
      </c>
      <c r="AJ331">
        <v>75.503268330946</v>
      </c>
      <c r="AK331">
        <v>18.059947960726898</v>
      </c>
    </row>
    <row r="332" spans="1:37" x14ac:dyDescent="0.2">
      <c r="A332" t="str">
        <f>"20200111150511452"</f>
        <v>20200111150511452</v>
      </c>
      <c r="B332" t="str">
        <f>"1578726311444985"</f>
        <v>1578726311444985</v>
      </c>
      <c r="C332" t="s">
        <v>37</v>
      </c>
      <c r="D332">
        <v>5.3950430000000003</v>
      </c>
      <c r="E332">
        <v>0.57959959999999999</v>
      </c>
      <c r="F332" t="s">
        <v>41</v>
      </c>
      <c r="G332">
        <v>-192.13460000000001</v>
      </c>
      <c r="H332" s="1">
        <v>-3.2885989999999999E-6</v>
      </c>
      <c r="I332">
        <v>354.31639999999999</v>
      </c>
      <c r="J332">
        <v>-206.38460000000001</v>
      </c>
      <c r="K332">
        <v>1.0971229999999901</v>
      </c>
      <c r="L332">
        <v>363.8306</v>
      </c>
      <c r="M332">
        <v>0.94425720000000002</v>
      </c>
      <c r="N332">
        <v>0</v>
      </c>
      <c r="O332">
        <v>-0.3289029</v>
      </c>
      <c r="P332">
        <v>0.92003449999999998</v>
      </c>
      <c r="Q332">
        <v>0.1036757</v>
      </c>
      <c r="R332">
        <v>-0.37787320000000002</v>
      </c>
      <c r="S332">
        <v>2.5821079999999998</v>
      </c>
      <c r="T332">
        <v>-0.19612160000000001</v>
      </c>
      <c r="U332">
        <v>-1.7136229999999999</v>
      </c>
      <c r="V332">
        <v>5.6047550000000002E-2</v>
      </c>
      <c r="W332">
        <v>0.1169022</v>
      </c>
      <c r="X332">
        <v>0.99156060000000001</v>
      </c>
      <c r="Y332">
        <v>0.24825220000000001</v>
      </c>
      <c r="Z332">
        <v>1.3266E-2</v>
      </c>
      <c r="AA332">
        <v>0.96860460000000004</v>
      </c>
      <c r="AB332">
        <v>29</v>
      </c>
      <c r="AC332">
        <v>14.25</v>
      </c>
      <c r="AD332">
        <v>-1.0971262885990001</v>
      </c>
      <c r="AE332">
        <v>-9.5142000000000095</v>
      </c>
      <c r="AF332">
        <v>4.2798704804098904</v>
      </c>
      <c r="AG332">
        <v>-1.0971262885990001</v>
      </c>
      <c r="AH332">
        <v>16.518854770055299</v>
      </c>
      <c r="AI332">
        <v>93.678695083266305</v>
      </c>
      <c r="AJ332">
        <v>75.474631051011698</v>
      </c>
      <c r="AK332">
        <v>17.0995187165136</v>
      </c>
    </row>
    <row r="333" spans="1:37" x14ac:dyDescent="0.2">
      <c r="A333" t="str">
        <f>"20200111150511465"</f>
        <v>20200111150511465</v>
      </c>
      <c r="B333" t="str">
        <f>"1578726311454743"</f>
        <v>1578726311454743</v>
      </c>
      <c r="C333" t="s">
        <v>37</v>
      </c>
      <c r="D333">
        <v>5.4411250000000004</v>
      </c>
      <c r="E333">
        <v>0.57959569999999905</v>
      </c>
      <c r="F333" t="s">
        <v>41</v>
      </c>
      <c r="G333">
        <v>-192.65459999999999</v>
      </c>
      <c r="H333" s="1">
        <v>-3.5425610000000002E-6</v>
      </c>
      <c r="I333">
        <v>354.59190000000001</v>
      </c>
      <c r="J333">
        <v>-206.22819999999999</v>
      </c>
      <c r="K333">
        <v>1.097043</v>
      </c>
      <c r="L333">
        <v>363.77099999999899</v>
      </c>
      <c r="M333">
        <v>0.9426968</v>
      </c>
      <c r="N333">
        <v>0</v>
      </c>
      <c r="O333">
        <v>-0.33334789999999997</v>
      </c>
      <c r="P333">
        <v>0.91825489999999999</v>
      </c>
      <c r="Q333">
        <v>0.1036984</v>
      </c>
      <c r="R333">
        <v>-0.38217109999999999</v>
      </c>
      <c r="S333">
        <v>2.5728610000000001</v>
      </c>
      <c r="T333">
        <v>-0.20559059999999901</v>
      </c>
      <c r="U333">
        <v>-1.7312319999999899</v>
      </c>
      <c r="V333">
        <v>5.6036229999999999E-2</v>
      </c>
      <c r="W333">
        <v>0.1169269</v>
      </c>
      <c r="X333">
        <v>0.99155839999999995</v>
      </c>
      <c r="Y333">
        <v>0.2498861</v>
      </c>
      <c r="Z333">
        <v>1.4149449999999999E-2</v>
      </c>
      <c r="AA333">
        <v>0.96817180000000003</v>
      </c>
      <c r="AB333">
        <v>29</v>
      </c>
      <c r="AC333">
        <v>13.573600000000001</v>
      </c>
      <c r="AD333">
        <v>-1.0970465425610001</v>
      </c>
      <c r="AE333">
        <v>-9.1790999999999396</v>
      </c>
      <c r="AF333">
        <v>4.1103697857199499</v>
      </c>
      <c r="AG333">
        <v>-1.0970465425610001</v>
      </c>
      <c r="AH333">
        <v>15.7864631676995</v>
      </c>
      <c r="AI333">
        <v>93.847384923603599</v>
      </c>
      <c r="AJ333">
        <v>75.405764081387204</v>
      </c>
      <c r="AK333">
        <v>16.349650462228201</v>
      </c>
    </row>
    <row r="334" spans="1:37" x14ac:dyDescent="0.2">
      <c r="A334" t="str">
        <f>"20200111150511478"</f>
        <v>20200111150511478</v>
      </c>
      <c r="B334" t="str">
        <f>"1578726311474263"</f>
        <v>1578726311474263</v>
      </c>
      <c r="C334" t="s">
        <v>37</v>
      </c>
      <c r="D334">
        <v>4.2062679999999997</v>
      </c>
      <c r="E334">
        <v>0.57900079999999998</v>
      </c>
      <c r="F334" t="s">
        <v>41</v>
      </c>
      <c r="G334">
        <v>-192.63200000000001</v>
      </c>
      <c r="H334" s="1">
        <v>-3.50525599999999E-6</v>
      </c>
      <c r="I334">
        <v>354.52780000000001</v>
      </c>
      <c r="J334">
        <v>-206.0676</v>
      </c>
      <c r="K334">
        <v>1.0969629999999999</v>
      </c>
      <c r="L334">
        <v>363.70909999999998</v>
      </c>
      <c r="M334">
        <v>0.94105729999999999</v>
      </c>
      <c r="N334">
        <v>0</v>
      </c>
      <c r="O334">
        <v>-0.33794839999999998</v>
      </c>
      <c r="P334">
        <v>0.91643730000000001</v>
      </c>
      <c r="Q334">
        <v>0.1034914</v>
      </c>
      <c r="R334">
        <v>-0.3865652</v>
      </c>
      <c r="S334">
        <v>2.5647579999999999</v>
      </c>
      <c r="T334">
        <v>-0.20694470000000001</v>
      </c>
      <c r="U334">
        <v>-1.743622</v>
      </c>
      <c r="V334">
        <v>5.5953450000000002E-2</v>
      </c>
      <c r="W334">
        <v>0.1167237</v>
      </c>
      <c r="X334">
        <v>0.991587</v>
      </c>
      <c r="Y334">
        <v>0.24978909999999999</v>
      </c>
      <c r="Z334">
        <v>1.4565E-2</v>
      </c>
      <c r="AA334">
        <v>0.96819069999999996</v>
      </c>
      <c r="AB334">
        <v>29</v>
      </c>
      <c r="AC334">
        <v>13.4355999999999</v>
      </c>
      <c r="AD334">
        <v>-1.09696650525599</v>
      </c>
      <c r="AE334">
        <v>-9.1812999999999594</v>
      </c>
      <c r="AF334">
        <v>4.0814574342651202</v>
      </c>
      <c r="AG334">
        <v>-1.09696650525599</v>
      </c>
      <c r="AH334">
        <v>15.6768286558593</v>
      </c>
      <c r="AI334">
        <v>93.873949838069194</v>
      </c>
      <c r="AJ334">
        <v>75.4070184549591</v>
      </c>
      <c r="AK334">
        <v>16.236520163093498</v>
      </c>
    </row>
    <row r="335" spans="1:37" x14ac:dyDescent="0.2">
      <c r="A335" t="str">
        <f>"20200111150511492"</f>
        <v>20200111150511492</v>
      </c>
      <c r="B335" t="str">
        <f>"1578726311484999"</f>
        <v>1578726311484999</v>
      </c>
      <c r="C335" t="s">
        <v>37</v>
      </c>
      <c r="D335">
        <v>5.6483720000000002</v>
      </c>
      <c r="E335">
        <v>0.57979019999999903</v>
      </c>
      <c r="F335" t="s">
        <v>41</v>
      </c>
      <c r="G335">
        <v>-191.2285</v>
      </c>
      <c r="H335" s="1">
        <v>-2.659425E-6</v>
      </c>
      <c r="I335">
        <v>353.54329999999999</v>
      </c>
      <c r="J335">
        <v>-205.89060000000001</v>
      </c>
      <c r="K335">
        <v>1.0968770000000001</v>
      </c>
      <c r="L335">
        <v>363.64</v>
      </c>
      <c r="M335">
        <v>0.93920429999999999</v>
      </c>
      <c r="N335">
        <v>0</v>
      </c>
      <c r="O335">
        <v>-0.34306399999999998</v>
      </c>
      <c r="P335">
        <v>0.91431269999999998</v>
      </c>
      <c r="Q335">
        <v>0.1033931</v>
      </c>
      <c r="R335">
        <v>-0.39158989999999999</v>
      </c>
      <c r="S335">
        <v>2.55619799999999</v>
      </c>
      <c r="T335">
        <v>-0.18896450000000001</v>
      </c>
      <c r="U335">
        <v>-1.7511599999999901</v>
      </c>
      <c r="V335">
        <v>5.6018430000000001E-2</v>
      </c>
      <c r="W335">
        <v>0.1166271</v>
      </c>
      <c r="X335">
        <v>0.99159470000000005</v>
      </c>
      <c r="Y335">
        <v>0.24795610000000001</v>
      </c>
      <c r="Z335">
        <v>1.369533E-2</v>
      </c>
      <c r="AA335">
        <v>0.96867449999999999</v>
      </c>
      <c r="AB335">
        <v>29</v>
      </c>
      <c r="AC335">
        <v>14.662100000000001</v>
      </c>
      <c r="AD335">
        <v>-1.0968796594250001</v>
      </c>
      <c r="AE335">
        <v>-10.096699999999901</v>
      </c>
      <c r="AF335">
        <v>4.4364337120301602</v>
      </c>
      <c r="AG335">
        <v>-1.0968796594250001</v>
      </c>
      <c r="AH335">
        <v>17.171078211116999</v>
      </c>
      <c r="AI335">
        <v>93.539151901826699</v>
      </c>
      <c r="AJ335">
        <v>75.513477730547393</v>
      </c>
      <c r="AK335">
        <v>17.768821457845601</v>
      </c>
    </row>
    <row r="336" spans="1:37" x14ac:dyDescent="0.2">
      <c r="A336" t="str">
        <f>"20200111150511505"</f>
        <v>20200111150511505</v>
      </c>
      <c r="B336" t="str">
        <f>"1578726311494759"</f>
        <v>1578726311494759</v>
      </c>
      <c r="C336" t="s">
        <v>37</v>
      </c>
      <c r="D336">
        <v>5.4067850000000002</v>
      </c>
      <c r="E336">
        <v>0.58022510000000005</v>
      </c>
      <c r="F336" t="s">
        <v>41</v>
      </c>
      <c r="G336">
        <v>-190.64359999999999</v>
      </c>
      <c r="H336" s="1">
        <v>-2.1968529999999999E-6</v>
      </c>
      <c r="I336">
        <v>353.02480000000003</v>
      </c>
      <c r="J336">
        <v>-205.73240000000001</v>
      </c>
      <c r="K336">
        <v>1.0968059999999999</v>
      </c>
      <c r="L336">
        <v>363.57679999999999</v>
      </c>
      <c r="M336">
        <v>0.93749150000000003</v>
      </c>
      <c r="N336">
        <v>0</v>
      </c>
      <c r="O336">
        <v>-0.3477169</v>
      </c>
      <c r="P336">
        <v>0.91224069999999902</v>
      </c>
      <c r="Q336">
        <v>0.1028862</v>
      </c>
      <c r="R336">
        <v>-0.39652409999999999</v>
      </c>
      <c r="S336">
        <v>2.54344199999999</v>
      </c>
      <c r="T336">
        <v>-0.18297669999999999</v>
      </c>
      <c r="U336">
        <v>-1.7707820000000001</v>
      </c>
      <c r="V336">
        <v>5.6450409999999999E-2</v>
      </c>
      <c r="W336">
        <v>0.1161161</v>
      </c>
      <c r="X336">
        <v>0.99163020000000002</v>
      </c>
      <c r="Y336">
        <v>0.25045879999999998</v>
      </c>
      <c r="Z336">
        <v>1.347398E-2</v>
      </c>
      <c r="AA336">
        <v>0.96803349999999899</v>
      </c>
      <c r="AB336">
        <v>29</v>
      </c>
      <c r="AC336">
        <v>15.088800000000001</v>
      </c>
      <c r="AD336">
        <v>-1.0968081968529999</v>
      </c>
      <c r="AE336">
        <v>-10.5519999999999</v>
      </c>
      <c r="AF336">
        <v>4.6298215845519</v>
      </c>
      <c r="AG336">
        <v>-1.0968081968529999</v>
      </c>
      <c r="AH336">
        <v>17.753537986921899</v>
      </c>
      <c r="AI336">
        <v>93.421091183415399</v>
      </c>
      <c r="AJ336">
        <v>75.383767829017302</v>
      </c>
      <c r="AK336">
        <v>18.3800529699603</v>
      </c>
    </row>
    <row r="337" spans="1:37" x14ac:dyDescent="0.2">
      <c r="A337" t="str">
        <f>"20200111150511519"</f>
        <v>20200111150511519</v>
      </c>
      <c r="B337" t="str">
        <f>"1578726311515051"</f>
        <v>1578726311515051</v>
      </c>
      <c r="C337" t="s">
        <v>37</v>
      </c>
      <c r="D337">
        <v>5.3184519999999997</v>
      </c>
      <c r="E337">
        <v>0.58074709999999996</v>
      </c>
      <c r="F337" t="s">
        <v>41</v>
      </c>
      <c r="G337">
        <v>-191.2611</v>
      </c>
      <c r="H337" s="1">
        <v>-2.559706E-6</v>
      </c>
      <c r="I337">
        <v>353.36020000000002</v>
      </c>
      <c r="J337">
        <v>-205.55799999999999</v>
      </c>
      <c r="K337">
        <v>1.0967279999999999</v>
      </c>
      <c r="L337">
        <v>363.50619999999998</v>
      </c>
      <c r="M337">
        <v>0.935558</v>
      </c>
      <c r="N337">
        <v>0</v>
      </c>
      <c r="O337">
        <v>-0.352885</v>
      </c>
      <c r="P337">
        <v>0.90984719999999997</v>
      </c>
      <c r="Q337">
        <v>0.1017108</v>
      </c>
      <c r="R337">
        <v>-0.40228439999999999</v>
      </c>
      <c r="S337">
        <v>2.532959</v>
      </c>
      <c r="T337">
        <v>-0.19197829999999999</v>
      </c>
      <c r="U337">
        <v>-1.7882389999999999</v>
      </c>
      <c r="V337">
        <v>5.7203049999999998E-2</v>
      </c>
      <c r="W337">
        <v>0.11493199999999899</v>
      </c>
      <c r="X337">
        <v>0.99172499999999997</v>
      </c>
      <c r="Y337">
        <v>0.25147969999999997</v>
      </c>
      <c r="Z337">
        <v>1.4432749999999999E-2</v>
      </c>
      <c r="AA337">
        <v>0.96775499999999903</v>
      </c>
      <c r="AB337">
        <v>29</v>
      </c>
      <c r="AC337">
        <v>14.2968999999999</v>
      </c>
      <c r="AD337">
        <v>-1.096730559706</v>
      </c>
      <c r="AE337">
        <v>-10.1459999999999</v>
      </c>
      <c r="AF337">
        <v>4.43012449423445</v>
      </c>
      <c r="AG337">
        <v>-1.096730559706</v>
      </c>
      <c r="AH337">
        <v>16.891568176651798</v>
      </c>
      <c r="AI337">
        <v>93.593663995803496</v>
      </c>
      <c r="AJ337">
        <v>75.304111293342899</v>
      </c>
      <c r="AK337">
        <v>17.497253968022601</v>
      </c>
    </row>
    <row r="338" spans="1:37" x14ac:dyDescent="0.2">
      <c r="A338" t="str">
        <f>"20200111150511542"</f>
        <v>20200111150511542</v>
      </c>
      <c r="B338" t="str">
        <f>"1578726311534571"</f>
        <v>1578726311534571</v>
      </c>
      <c r="C338" t="s">
        <v>37</v>
      </c>
      <c r="D338">
        <v>5.4070499999999999</v>
      </c>
      <c r="E338">
        <v>0.58039619999999903</v>
      </c>
      <c r="F338" t="s">
        <v>41</v>
      </c>
      <c r="G338">
        <v>-192.00599999999901</v>
      </c>
      <c r="H338" s="1">
        <v>-2.9934399999999998E-6</v>
      </c>
      <c r="I338">
        <v>353.78649999999999</v>
      </c>
      <c r="J338">
        <v>-205.28039999999999</v>
      </c>
      <c r="K338">
        <v>1.0966209999999901</v>
      </c>
      <c r="L338">
        <v>363.39139999999998</v>
      </c>
      <c r="M338">
        <v>0.93237429999999999</v>
      </c>
      <c r="N338">
        <v>0</v>
      </c>
      <c r="O338">
        <v>-0.3612129</v>
      </c>
      <c r="P338">
        <v>0.90589580000000003</v>
      </c>
      <c r="Q338">
        <v>0.1010659</v>
      </c>
      <c r="R338">
        <v>-0.41126469999999998</v>
      </c>
      <c r="S338">
        <v>2.5207060000000001</v>
      </c>
      <c r="T338">
        <v>-0.20399579999999901</v>
      </c>
      <c r="U338">
        <v>-1.8078919999999901</v>
      </c>
      <c r="V338">
        <v>5.8162569999999997E-2</v>
      </c>
      <c r="W338">
        <v>0.1142759</v>
      </c>
      <c r="X338">
        <v>0.99174499999999999</v>
      </c>
      <c r="Y338">
        <v>0.25010179999999999</v>
      </c>
      <c r="Z338">
        <v>1.5945069999999999E-2</v>
      </c>
      <c r="AA338">
        <v>0.96808830000000001</v>
      </c>
      <c r="AB338">
        <v>29</v>
      </c>
      <c r="AC338">
        <v>13.2744</v>
      </c>
      <c r="AD338">
        <v>-1.0966239934399999</v>
      </c>
      <c r="AE338">
        <v>-9.6048999999999793</v>
      </c>
      <c r="AF338">
        <v>4.1423449476619902</v>
      </c>
      <c r="AG338">
        <v>-1.0966239934399999</v>
      </c>
      <c r="AH338">
        <v>15.777061649362301</v>
      </c>
      <c r="AI338">
        <v>93.846144261364401</v>
      </c>
      <c r="AJ338">
        <v>75.288753023100597</v>
      </c>
      <c r="AK338">
        <v>16.348617071061</v>
      </c>
    </row>
    <row r="339" spans="1:37" x14ac:dyDescent="0.2">
      <c r="A339" t="str">
        <f>"20200111150511555"</f>
        <v>20200111150511555</v>
      </c>
      <c r="B339" t="str">
        <f>"1578726311544332"</f>
        <v>1578726311544332</v>
      </c>
      <c r="C339" t="s">
        <v>37</v>
      </c>
      <c r="D339">
        <v>5.3629100000000003</v>
      </c>
      <c r="E339">
        <v>0.58042969999999905</v>
      </c>
      <c r="F339" t="s">
        <v>41</v>
      </c>
      <c r="G339">
        <v>-192.08349999999999</v>
      </c>
      <c r="H339" s="1">
        <v>-2.990951E-6</v>
      </c>
      <c r="I339">
        <v>353.7475</v>
      </c>
      <c r="J339">
        <v>-205.12459999999999</v>
      </c>
      <c r="K339">
        <v>1.0965689999999999</v>
      </c>
      <c r="L339">
        <v>363.32580000000002</v>
      </c>
      <c r="M339">
        <v>0.930531</v>
      </c>
      <c r="N339">
        <v>0</v>
      </c>
      <c r="O339">
        <v>-0.3659345</v>
      </c>
      <c r="P339">
        <v>0.90351649999999994</v>
      </c>
      <c r="Q339">
        <v>0.1009157</v>
      </c>
      <c r="R339">
        <v>-0.41650229999999999</v>
      </c>
      <c r="S339">
        <v>2.504105</v>
      </c>
      <c r="T339">
        <v>-0.20808260000000001</v>
      </c>
      <c r="U339">
        <v>-1.8299259999999999</v>
      </c>
      <c r="V339">
        <v>5.888347E-2</v>
      </c>
      <c r="W339">
        <v>0.1141163</v>
      </c>
      <c r="X339">
        <v>0.99172090000000002</v>
      </c>
      <c r="Y339">
        <v>0.25381090000000001</v>
      </c>
      <c r="Z339">
        <v>1.6477039999999998E-2</v>
      </c>
      <c r="AA339">
        <v>0.96711349999999996</v>
      </c>
      <c r="AB339">
        <v>29</v>
      </c>
      <c r="AC339">
        <v>13.0411</v>
      </c>
      <c r="AD339">
        <v>-1.0965719909510001</v>
      </c>
      <c r="AE339">
        <v>-9.5783000000000094</v>
      </c>
      <c r="AF339">
        <v>4.1222064555169302</v>
      </c>
      <c r="AG339">
        <v>-1.0965719909510001</v>
      </c>
      <c r="AH339">
        <v>15.570262077108</v>
      </c>
      <c r="AI339">
        <v>93.894786604969795</v>
      </c>
      <c r="AJ339">
        <v>75.171228072760201</v>
      </c>
      <c r="AK339">
        <v>16.143980839404801</v>
      </c>
    </row>
    <row r="340" spans="1:37" x14ac:dyDescent="0.2">
      <c r="A340" t="str">
        <f>"20200111150511568"</f>
        <v>20200111150511568</v>
      </c>
      <c r="B340" t="str">
        <f>"1578726311564827"</f>
        <v>1578726311564827</v>
      </c>
      <c r="C340" t="s">
        <v>37</v>
      </c>
      <c r="D340">
        <v>5.3885249999999996</v>
      </c>
      <c r="E340">
        <v>0.57971729999999999</v>
      </c>
      <c r="F340" t="s">
        <v>41</v>
      </c>
      <c r="G340">
        <v>-192.3382</v>
      </c>
      <c r="H340" s="1">
        <v>-3.1090630000000001E-6</v>
      </c>
      <c r="I340">
        <v>353.86989999999997</v>
      </c>
      <c r="J340">
        <v>-204.95599999999999</v>
      </c>
      <c r="K340">
        <v>1.0965180000000001</v>
      </c>
      <c r="L340">
        <v>363.25360000000001</v>
      </c>
      <c r="M340">
        <v>0.92848660000000005</v>
      </c>
      <c r="N340">
        <v>0</v>
      </c>
      <c r="O340">
        <v>-0.3710907</v>
      </c>
      <c r="P340">
        <v>0.90091719999999897</v>
      </c>
      <c r="Q340">
        <v>0.10095989999999901</v>
      </c>
      <c r="R340">
        <v>-0.42208459999999998</v>
      </c>
      <c r="S340">
        <v>2.49401899999999</v>
      </c>
      <c r="T340">
        <v>-0.21388850000000001</v>
      </c>
      <c r="U340">
        <v>-1.8443909999999999</v>
      </c>
      <c r="V340">
        <v>5.9535739999999997E-2</v>
      </c>
      <c r="W340">
        <v>0.1141513</v>
      </c>
      <c r="X340">
        <v>0.9916779</v>
      </c>
      <c r="Y340">
        <v>0.25396390000000002</v>
      </c>
      <c r="Z340">
        <v>1.7301190000000001E-2</v>
      </c>
      <c r="AA340">
        <v>0.967059</v>
      </c>
      <c r="AB340">
        <v>29</v>
      </c>
      <c r="AC340">
        <v>12.6177999999999</v>
      </c>
      <c r="AD340">
        <v>-1.096521109063</v>
      </c>
      <c r="AE340">
        <v>-9.3837000000000295</v>
      </c>
      <c r="AF340">
        <v>4.0111981247091002</v>
      </c>
      <c r="AG340">
        <v>-1.096521109063</v>
      </c>
      <c r="AH340">
        <v>15.125663689778399</v>
      </c>
      <c r="AI340">
        <v>94.008277117324297</v>
      </c>
      <c r="AJ340">
        <v>75.147518831234905</v>
      </c>
      <c r="AK340">
        <v>15.686866194194801</v>
      </c>
    </row>
    <row r="341" spans="1:37" x14ac:dyDescent="0.2">
      <c r="A341" t="str">
        <f>"20200111150511587"</f>
        <v>20200111150511587</v>
      </c>
      <c r="B341" t="str">
        <f>"1578726311584348"</f>
        <v>1578726311584348</v>
      </c>
      <c r="C341" t="s">
        <v>37</v>
      </c>
      <c r="D341">
        <v>5.4386429999999999</v>
      </c>
      <c r="E341">
        <v>0.57935329999999996</v>
      </c>
      <c r="F341" t="s">
        <v>41</v>
      </c>
      <c r="G341">
        <v>-191.6996</v>
      </c>
      <c r="H341" s="1">
        <v>-2.675781E-6</v>
      </c>
      <c r="I341">
        <v>353.35919999999999</v>
      </c>
      <c r="J341">
        <v>-204.73990000000001</v>
      </c>
      <c r="K341">
        <v>1.096457</v>
      </c>
      <c r="L341">
        <v>363.15929999999997</v>
      </c>
      <c r="M341">
        <v>0.9257978</v>
      </c>
      <c r="N341">
        <v>0</v>
      </c>
      <c r="O341">
        <v>-0.3777488</v>
      </c>
      <c r="P341">
        <v>0.89715710000000004</v>
      </c>
      <c r="Q341">
        <v>0.1014883</v>
      </c>
      <c r="R341">
        <v>-0.42989499999999897</v>
      </c>
      <c r="S341">
        <v>2.4842529999999998</v>
      </c>
      <c r="T341">
        <v>-0.20548920000000001</v>
      </c>
      <c r="U341">
        <v>-1.8542179999999999</v>
      </c>
      <c r="V341">
        <v>6.1078840000000002E-2</v>
      </c>
      <c r="W341">
        <v>0.1146558</v>
      </c>
      <c r="X341">
        <v>0.99152580000000001</v>
      </c>
      <c r="Y341">
        <v>0.25129360000000001</v>
      </c>
      <c r="Z341">
        <v>1.7183779999999999E-2</v>
      </c>
      <c r="AA341">
        <v>0.96775840000000002</v>
      </c>
      <c r="AB341">
        <v>29</v>
      </c>
      <c r="AC341">
        <v>13.0403</v>
      </c>
      <c r="AD341">
        <v>-1.0964596757809999</v>
      </c>
      <c r="AE341">
        <v>-9.8000999999999792</v>
      </c>
      <c r="AF341">
        <v>4.1287230461350104</v>
      </c>
      <c r="AG341">
        <v>-1.0964596757809999</v>
      </c>
      <c r="AH341">
        <v>15.705310570208701</v>
      </c>
      <c r="AI341">
        <v>93.862771049074695</v>
      </c>
      <c r="AJ341">
        <v>75.270950363496297</v>
      </c>
      <c r="AK341">
        <v>16.2759134281001</v>
      </c>
    </row>
    <row r="342" spans="1:37" x14ac:dyDescent="0.2">
      <c r="A342" t="str">
        <f>"20200111150511600"</f>
        <v>20200111150511600</v>
      </c>
      <c r="B342" t="str">
        <f>"1578726311595083"</f>
        <v>1578726311595083</v>
      </c>
      <c r="C342" t="s">
        <v>37</v>
      </c>
      <c r="D342">
        <v>5.3611469999999999</v>
      </c>
      <c r="E342">
        <v>0.57899330000000004</v>
      </c>
      <c r="F342" t="s">
        <v>41</v>
      </c>
      <c r="G342">
        <v>-191.91820000000001</v>
      </c>
      <c r="H342" s="1">
        <v>-2.7816819999999999E-6</v>
      </c>
      <c r="I342">
        <v>353.43979999999999</v>
      </c>
      <c r="J342">
        <v>-204.56720000000001</v>
      </c>
      <c r="K342">
        <v>1.0964100000000001</v>
      </c>
      <c r="L342">
        <v>363.08260000000001</v>
      </c>
      <c r="M342">
        <v>0.92359360000000001</v>
      </c>
      <c r="N342">
        <v>0</v>
      </c>
      <c r="O342">
        <v>-0.38310569999999999</v>
      </c>
      <c r="P342">
        <v>0.89430390000000004</v>
      </c>
      <c r="Q342">
        <v>0.1022425</v>
      </c>
      <c r="R342">
        <v>-0.43562279999999998</v>
      </c>
      <c r="S342">
        <v>2.4704440000000001</v>
      </c>
      <c r="T342">
        <v>-0.21126220000000001</v>
      </c>
      <c r="U342">
        <v>-1.872711</v>
      </c>
      <c r="V342">
        <v>6.1733000000000003E-2</v>
      </c>
      <c r="W342">
        <v>0.115400399999999</v>
      </c>
      <c r="X342">
        <v>0.99139889999999997</v>
      </c>
      <c r="Y342">
        <v>0.25291160000000001</v>
      </c>
      <c r="Z342">
        <v>1.799508E-2</v>
      </c>
      <c r="AA342">
        <v>0.96732209999999996</v>
      </c>
      <c r="AB342">
        <v>29</v>
      </c>
      <c r="AC342">
        <v>12.648999999999999</v>
      </c>
      <c r="AD342">
        <v>-1.096412781682</v>
      </c>
      <c r="AE342">
        <v>-9.6428000000000207</v>
      </c>
      <c r="AF342">
        <v>4.0413366264057098</v>
      </c>
      <c r="AG342">
        <v>-1.096412781682</v>
      </c>
      <c r="AH342">
        <v>15.305593030524101</v>
      </c>
      <c r="AI342">
        <v>93.962038952858194</v>
      </c>
      <c r="AJ342">
        <v>75.209012475787304</v>
      </c>
      <c r="AK342">
        <v>15.868071739558999</v>
      </c>
    </row>
    <row r="343" spans="1:37" x14ac:dyDescent="0.2">
      <c r="A343" t="str">
        <f>"20200111150511613"</f>
        <v>20200111150511613</v>
      </c>
      <c r="B343" t="str">
        <f>"1578726311604844"</f>
        <v>1578726311604844</v>
      </c>
      <c r="C343" t="s">
        <v>37</v>
      </c>
      <c r="D343">
        <v>5.3408519999999999</v>
      </c>
      <c r="E343">
        <v>0.57886079999999995</v>
      </c>
      <c r="F343" t="s">
        <v>41</v>
      </c>
      <c r="G343">
        <v>-191.71599999999901</v>
      </c>
      <c r="H343" s="1">
        <v>-2.603802E-6</v>
      </c>
      <c r="I343">
        <v>353.23020000000002</v>
      </c>
      <c r="J343">
        <v>-204.4188</v>
      </c>
      <c r="K343">
        <v>1.0963750000000001</v>
      </c>
      <c r="L343">
        <v>363.01589999999999</v>
      </c>
      <c r="M343">
        <v>0.92166389999999998</v>
      </c>
      <c r="N343">
        <v>0</v>
      </c>
      <c r="O343">
        <v>-0.38772469999999998</v>
      </c>
      <c r="P343">
        <v>0.89200219999999897</v>
      </c>
      <c r="Q343">
        <v>0.102897</v>
      </c>
      <c r="R343">
        <v>-0.44016329999999998</v>
      </c>
      <c r="S343">
        <v>2.4599299999999999</v>
      </c>
      <c r="T343">
        <v>-0.20987120000000001</v>
      </c>
      <c r="U343">
        <v>-1.8858950000000001</v>
      </c>
      <c r="V343">
        <v>6.1859539999999998E-2</v>
      </c>
      <c r="W343">
        <v>0.11605360000000001</v>
      </c>
      <c r="X343">
        <v>0.99131480000000005</v>
      </c>
      <c r="Y343">
        <v>0.25333359999999999</v>
      </c>
      <c r="Z343">
        <v>1.819426E-2</v>
      </c>
      <c r="AA343">
        <v>0.96720779999999995</v>
      </c>
      <c r="AB343">
        <v>29</v>
      </c>
      <c r="AC343">
        <v>12.7028</v>
      </c>
      <c r="AD343">
        <v>-1.0963776038019999</v>
      </c>
      <c r="AE343">
        <v>-9.7856999999999594</v>
      </c>
      <c r="AF343">
        <v>4.0753051371941797</v>
      </c>
      <c r="AG343">
        <v>-1.0963776038019999</v>
      </c>
      <c r="AH343">
        <v>15.4313190265479</v>
      </c>
      <c r="AI343">
        <v>93.929685938367697</v>
      </c>
      <c r="AJ343">
        <v>75.206334918534097</v>
      </c>
      <c r="AK343">
        <v>15.9979924587574</v>
      </c>
    </row>
    <row r="344" spans="1:37" x14ac:dyDescent="0.2">
      <c r="A344" t="str">
        <f>"20200111150511628"</f>
        <v>20200111150511628</v>
      </c>
      <c r="B344" t="str">
        <f>"1578726311624364"</f>
        <v>1578726311624364</v>
      </c>
      <c r="C344" t="s">
        <v>37</v>
      </c>
      <c r="D344">
        <v>4.5328189999999999</v>
      </c>
      <c r="E344">
        <v>0.57958140000000002</v>
      </c>
      <c r="F344" t="s">
        <v>41</v>
      </c>
      <c r="G344">
        <v>-191.68260000000001</v>
      </c>
      <c r="H344" s="1">
        <v>-2.5489859999999899E-6</v>
      </c>
      <c r="I344">
        <v>353.15260000000001</v>
      </c>
      <c r="J344">
        <v>-204.24019999999999</v>
      </c>
      <c r="K344">
        <v>1.0963339999999999</v>
      </c>
      <c r="L344">
        <v>362.93400000000003</v>
      </c>
      <c r="M344">
        <v>0.91928949999999998</v>
      </c>
      <c r="N344">
        <v>0</v>
      </c>
      <c r="O344">
        <v>-0.39332109999999998</v>
      </c>
      <c r="P344">
        <v>0.88959979999999905</v>
      </c>
      <c r="Q344">
        <v>0.104594699999999</v>
      </c>
      <c r="R344">
        <v>-0.44460339999999998</v>
      </c>
      <c r="S344">
        <v>2.4509430000000001</v>
      </c>
      <c r="T344">
        <v>-0.210985799999999</v>
      </c>
      <c r="U344">
        <v>-1.8980709999999901</v>
      </c>
      <c r="V344">
        <v>6.0887579999999997E-2</v>
      </c>
      <c r="W344">
        <v>0.11777020000000001</v>
      </c>
      <c r="X344">
        <v>0.99117250000000001</v>
      </c>
      <c r="Y344">
        <v>0.25218879999999999</v>
      </c>
      <c r="Z344">
        <v>1.8727480000000001E-2</v>
      </c>
      <c r="AA344">
        <v>0.96749680000000005</v>
      </c>
      <c r="AB344">
        <v>29</v>
      </c>
      <c r="AC344">
        <v>12.5575999999999</v>
      </c>
      <c r="AD344">
        <v>-1.096336548986</v>
      </c>
      <c r="AE344">
        <v>-9.7814000000000192</v>
      </c>
      <c r="AF344">
        <v>4.0340483460325798</v>
      </c>
      <c r="AG344">
        <v>-1.096336548986</v>
      </c>
      <c r="AH344">
        <v>15.320203922816299</v>
      </c>
      <c r="AI344">
        <v>93.958705775600393</v>
      </c>
      <c r="AJ344">
        <v>75.247988064974805</v>
      </c>
      <c r="AK344">
        <v>15.880306927872899</v>
      </c>
    </row>
    <row r="345" spans="1:37" x14ac:dyDescent="0.2">
      <c r="A345" t="str">
        <f>"20200111150511655"</f>
        <v>20200111150511655</v>
      </c>
      <c r="B345" t="str">
        <f>"1578726311644859"</f>
        <v>1578726311644859</v>
      </c>
      <c r="C345" t="s">
        <v>37</v>
      </c>
      <c r="D345">
        <v>5.2378669999999996</v>
      </c>
      <c r="E345">
        <v>0.57958140000000002</v>
      </c>
      <c r="F345" t="s">
        <v>41</v>
      </c>
      <c r="G345">
        <v>-190.4461</v>
      </c>
      <c r="H345" s="1">
        <v>-1.5880770000000001E-6</v>
      </c>
      <c r="I345">
        <v>352.08510000000001</v>
      </c>
      <c r="J345">
        <v>-203.91720000000001</v>
      </c>
      <c r="K345">
        <v>1.096287</v>
      </c>
      <c r="L345">
        <v>362.78280000000001</v>
      </c>
      <c r="M345">
        <v>0.91487289999999999</v>
      </c>
      <c r="N345">
        <v>0</v>
      </c>
      <c r="O345">
        <v>-0.40348709999999999</v>
      </c>
      <c r="P345">
        <v>0.88566199999999995</v>
      </c>
      <c r="Q345">
        <v>0.1085701</v>
      </c>
      <c r="R345">
        <v>-0.45145969999999902</v>
      </c>
      <c r="S345">
        <v>2.4370880000000001</v>
      </c>
      <c r="T345">
        <v>-0.19369629999999999</v>
      </c>
      <c r="U345">
        <v>-1.9167479999999999</v>
      </c>
      <c r="V345">
        <v>5.7824559999999997E-2</v>
      </c>
      <c r="W345">
        <v>0.1218022</v>
      </c>
      <c r="X345">
        <v>0.99086859999999999</v>
      </c>
      <c r="Y345">
        <v>0.248695899999999</v>
      </c>
      <c r="Z345">
        <v>1.7967549999999999E-2</v>
      </c>
      <c r="AA345">
        <v>0.96841499999999903</v>
      </c>
      <c r="AB345">
        <v>29</v>
      </c>
      <c r="AC345">
        <v>13.4711</v>
      </c>
      <c r="AD345">
        <v>-1.0962885880769999</v>
      </c>
      <c r="AE345">
        <v>-10.6976999999999</v>
      </c>
      <c r="AF345">
        <v>4.3344639669590004</v>
      </c>
      <c r="AG345">
        <v>-1.0962885880769999</v>
      </c>
      <c r="AH345">
        <v>16.575120221729701</v>
      </c>
      <c r="AI345">
        <v>93.661300341321194</v>
      </c>
      <c r="AJ345">
        <v>75.3450849235372</v>
      </c>
      <c r="AK345">
        <v>17.1675285616191</v>
      </c>
    </row>
    <row r="346" spans="1:37" x14ac:dyDescent="0.2">
      <c r="A346" t="str">
        <f>"20200111150511680"</f>
        <v>20200111150511680</v>
      </c>
      <c r="B346" t="str">
        <f>"1578726311675115"</f>
        <v>1578726311675115</v>
      </c>
      <c r="C346" t="s">
        <v>37</v>
      </c>
      <c r="D346">
        <v>5.2858900000000002</v>
      </c>
      <c r="E346">
        <v>0.65937009999999996</v>
      </c>
      <c r="F346" t="s">
        <v>41</v>
      </c>
      <c r="G346">
        <v>-188.7526</v>
      </c>
      <c r="H346" s="1">
        <v>-7.7413719999999998E-7</v>
      </c>
      <c r="I346">
        <v>350.61709999999999</v>
      </c>
      <c r="J346">
        <v>-203.61920000000001</v>
      </c>
      <c r="K346">
        <v>1.096249</v>
      </c>
      <c r="L346">
        <v>362.63920000000002</v>
      </c>
      <c r="M346">
        <v>0.91064489999999998</v>
      </c>
      <c r="N346">
        <v>0</v>
      </c>
      <c r="O346">
        <v>-0.41294069999999999</v>
      </c>
      <c r="P346">
        <v>0.88074129999999995</v>
      </c>
      <c r="Q346">
        <v>0.1081444</v>
      </c>
      <c r="R346">
        <v>-0.46108549999999998</v>
      </c>
      <c r="S346">
        <v>2.41935699999999</v>
      </c>
      <c r="T346">
        <v>-0.17490139999999901</v>
      </c>
      <c r="U346">
        <v>-1.9409179999999999</v>
      </c>
      <c r="V346">
        <v>5.8343979999999997E-2</v>
      </c>
      <c r="W346">
        <v>0.12137290000000001</v>
      </c>
      <c r="X346">
        <v>0.99089079999999996</v>
      </c>
      <c r="Y346">
        <v>0.2479864</v>
      </c>
      <c r="Z346">
        <v>1.6803229999999999E-2</v>
      </c>
      <c r="AA346">
        <v>0.96861779999999997</v>
      </c>
      <c r="AB346">
        <v>29</v>
      </c>
      <c r="AC346">
        <v>14.8666</v>
      </c>
      <c r="AD346">
        <v>-1.0962497741371999</v>
      </c>
      <c r="AE346">
        <v>-12.0221</v>
      </c>
      <c r="AF346">
        <v>4.7935755964248798</v>
      </c>
      <c r="AG346">
        <v>-1.0962497741371999</v>
      </c>
      <c r="AH346">
        <v>18.443876782596799</v>
      </c>
      <c r="AI346">
        <v>93.292363557399099</v>
      </c>
      <c r="AJ346">
        <v>75.431115736825902</v>
      </c>
      <c r="AK346">
        <v>19.088130378262601</v>
      </c>
    </row>
    <row r="347" spans="1:37" x14ac:dyDescent="0.2">
      <c r="A347" t="str">
        <f>"20200111150511710"</f>
        <v>20200111150511710</v>
      </c>
      <c r="B347" t="str">
        <f>"1578726311704394"</f>
        <v>1578726311704394</v>
      </c>
      <c r="C347" t="s">
        <v>37</v>
      </c>
      <c r="D347">
        <v>5.1138159999999999</v>
      </c>
      <c r="E347">
        <v>0.67420749999999996</v>
      </c>
      <c r="F347" t="s">
        <v>39</v>
      </c>
      <c r="G347">
        <v>-177.1935</v>
      </c>
      <c r="H347">
        <v>7.9985799999999996E-2</v>
      </c>
      <c r="I347">
        <v>330.72579999999999</v>
      </c>
      <c r="J347">
        <v>-203.26900000000001</v>
      </c>
      <c r="K347">
        <v>1.0961989999999999</v>
      </c>
      <c r="L347">
        <v>362.46570000000003</v>
      </c>
      <c r="M347">
        <v>0.90548280000000003</v>
      </c>
      <c r="N347">
        <v>0</v>
      </c>
      <c r="O347">
        <v>-0.42413990000000001</v>
      </c>
      <c r="P347">
        <v>0.87393619999999905</v>
      </c>
      <c r="Q347">
        <v>0.1056426</v>
      </c>
      <c r="R347">
        <v>-0.47442129999999999</v>
      </c>
      <c r="S347">
        <v>2.092911</v>
      </c>
      <c r="T347">
        <v>-8.0487729999999993E-2</v>
      </c>
      <c r="U347">
        <v>-2.5275270000000001</v>
      </c>
      <c r="V347">
        <v>6.1032070000000001E-2</v>
      </c>
      <c r="W347">
        <v>0.1188299</v>
      </c>
      <c r="X347">
        <v>0.991037099999999</v>
      </c>
      <c r="Y347">
        <v>0.42695070000000002</v>
      </c>
      <c r="Z347">
        <v>5.4232050000000004E-3</v>
      </c>
      <c r="AA347">
        <v>0.90425859999999902</v>
      </c>
      <c r="AB347">
        <v>29</v>
      </c>
      <c r="AC347">
        <v>26.075500000000002</v>
      </c>
      <c r="AD347">
        <v>-1.0162131999999999</v>
      </c>
      <c r="AE347">
        <v>-31.739899999999999</v>
      </c>
      <c r="AF347">
        <v>17.671281938687802</v>
      </c>
      <c r="AG347">
        <v>-1.0162131999999999</v>
      </c>
      <c r="AH347">
        <v>37.054220581370501</v>
      </c>
      <c r="AI347">
        <v>91.418017293470498</v>
      </c>
      <c r="AJ347">
        <v>64.503369321918399</v>
      </c>
      <c r="AK347">
        <v>41.064853068254202</v>
      </c>
    </row>
    <row r="348" spans="1:37" x14ac:dyDescent="0.2">
      <c r="A348" t="str">
        <f>"20200111150511721"</f>
        <v>20200111150511721</v>
      </c>
      <c r="B348" t="str">
        <f>"1578726311715131"</f>
        <v>1578726311715131</v>
      </c>
      <c r="C348" t="s">
        <v>37</v>
      </c>
      <c r="D348">
        <v>5.0711570000000004</v>
      </c>
      <c r="E348">
        <v>0.67675689999999999</v>
      </c>
      <c r="F348" t="s">
        <v>39</v>
      </c>
      <c r="G348">
        <v>-184.37139999999999</v>
      </c>
      <c r="H348" s="1">
        <v>-4.2767320000000001E-6</v>
      </c>
      <c r="I348">
        <v>337.27460000000002</v>
      </c>
      <c r="J348">
        <v>-203.12880000000001</v>
      </c>
      <c r="K348">
        <v>1.0961719999999999</v>
      </c>
      <c r="L348">
        <v>362.39440000000002</v>
      </c>
      <c r="M348">
        <v>0.90334709999999996</v>
      </c>
      <c r="N348">
        <v>0</v>
      </c>
      <c r="O348">
        <v>-0.42866959999999998</v>
      </c>
      <c r="P348">
        <v>0.87102060000000003</v>
      </c>
      <c r="Q348">
        <v>0.1052521</v>
      </c>
      <c r="R348">
        <v>-0.4798385</v>
      </c>
      <c r="S348">
        <v>1.999695</v>
      </c>
      <c r="T348">
        <v>-0.11599710000000001</v>
      </c>
      <c r="U348">
        <v>-2.6656490000000002</v>
      </c>
      <c r="V348">
        <v>6.2204570000000001E-2</v>
      </c>
      <c r="W348">
        <v>0.1184204</v>
      </c>
      <c r="X348">
        <v>0.99101319999999904</v>
      </c>
      <c r="Y348">
        <v>0.46539369999999902</v>
      </c>
      <c r="Z348">
        <v>7.1569140000000003E-3</v>
      </c>
      <c r="AA348">
        <v>0.8850749</v>
      </c>
      <c r="AB348">
        <v>29</v>
      </c>
      <c r="AC348">
        <v>18.757400000000001</v>
      </c>
      <c r="AD348">
        <v>-1.096176276732</v>
      </c>
      <c r="AE348">
        <v>-25.119800000000001</v>
      </c>
      <c r="AF348">
        <v>14.6347913449492</v>
      </c>
      <c r="AG348">
        <v>-1.096176276732</v>
      </c>
      <c r="AH348">
        <v>27.6815549456642</v>
      </c>
      <c r="AI348">
        <v>92.0049980520822</v>
      </c>
      <c r="AJ348">
        <v>62.135314396609097</v>
      </c>
      <c r="AK348">
        <v>31.331249645516799</v>
      </c>
    </row>
    <row r="349" spans="1:37" x14ac:dyDescent="0.2">
      <c r="A349" t="str">
        <f>"20200111150511734"</f>
        <v>20200111150511734</v>
      </c>
      <c r="B349" t="str">
        <f>"1578726311724892"</f>
        <v>1578726311724892</v>
      </c>
      <c r="C349" t="s">
        <v>37</v>
      </c>
      <c r="D349">
        <v>5.090001</v>
      </c>
      <c r="E349">
        <v>0.67752889999999999</v>
      </c>
      <c r="F349" t="s">
        <v>39</v>
      </c>
      <c r="G349">
        <v>-186.6335</v>
      </c>
      <c r="H349" s="1">
        <v>-9.6895219999999999E-7</v>
      </c>
      <c r="I349">
        <v>339.86320000000001</v>
      </c>
      <c r="J349">
        <v>-202.99109999999999</v>
      </c>
      <c r="K349">
        <v>1.096149</v>
      </c>
      <c r="L349">
        <v>362.32389999999998</v>
      </c>
      <c r="M349">
        <v>0.90121839999999998</v>
      </c>
      <c r="N349">
        <v>0</v>
      </c>
      <c r="O349">
        <v>-0.43312679999999998</v>
      </c>
      <c r="P349">
        <v>0.8680426</v>
      </c>
      <c r="Q349">
        <v>0.10489900000000001</v>
      </c>
      <c r="R349">
        <v>-0.48528149999999998</v>
      </c>
      <c r="S349">
        <v>1.9744109999999999</v>
      </c>
      <c r="T349">
        <v>-0.1312063</v>
      </c>
      <c r="U349">
        <v>-2.696869</v>
      </c>
      <c r="V349">
        <v>6.3497949999999997E-2</v>
      </c>
      <c r="W349">
        <v>0.118044899999999</v>
      </c>
      <c r="X349">
        <v>0.99097599999999997</v>
      </c>
      <c r="Y349">
        <v>0.4713175</v>
      </c>
      <c r="Z349">
        <v>8.1399009999999997E-3</v>
      </c>
      <c r="AA349">
        <v>0.88192599999999999</v>
      </c>
      <c r="AB349">
        <v>29</v>
      </c>
      <c r="AC349">
        <v>16.357599999999898</v>
      </c>
      <c r="AD349">
        <v>-1.0961499689522001</v>
      </c>
      <c r="AE349">
        <v>-22.4606999999999</v>
      </c>
      <c r="AF349">
        <v>13.137993709735699</v>
      </c>
      <c r="AG349">
        <v>-1.0961499689522001</v>
      </c>
      <c r="AH349">
        <v>24.4346015372418</v>
      </c>
      <c r="AI349">
        <v>92.262654557075805</v>
      </c>
      <c r="AJ349">
        <v>61.7339746164226</v>
      </c>
      <c r="AK349">
        <v>27.7643327986694</v>
      </c>
    </row>
    <row r="350" spans="1:37" x14ac:dyDescent="0.2">
      <c r="A350" t="str">
        <f>"20200111150511746"</f>
        <v>20200111150511746</v>
      </c>
      <c r="B350" t="str">
        <f>"1578726311734652"</f>
        <v>1578726311734652</v>
      </c>
      <c r="C350" t="s">
        <v>37</v>
      </c>
      <c r="D350">
        <v>5.1110519999999999</v>
      </c>
      <c r="E350">
        <v>0.67844380000000004</v>
      </c>
      <c r="F350" t="s">
        <v>39</v>
      </c>
      <c r="G350">
        <v>-187.63299999999899</v>
      </c>
      <c r="H350" s="1">
        <v>-1.0873590000000001E-6</v>
      </c>
      <c r="I350">
        <v>340.99259999999998</v>
      </c>
      <c r="J350">
        <v>-202.83770000000001</v>
      </c>
      <c r="K350">
        <v>1.096114</v>
      </c>
      <c r="L350">
        <v>362.24380000000002</v>
      </c>
      <c r="M350">
        <v>0.89878789999999997</v>
      </c>
      <c r="N350">
        <v>0</v>
      </c>
      <c r="O350">
        <v>-0.43814769999999997</v>
      </c>
      <c r="P350">
        <v>0.8645389</v>
      </c>
      <c r="Q350">
        <v>0.1046048</v>
      </c>
      <c r="R350">
        <v>-0.49155919999999997</v>
      </c>
      <c r="S350">
        <v>1.9549259999999999</v>
      </c>
      <c r="T350">
        <v>-0.13952790000000001</v>
      </c>
      <c r="U350">
        <v>-2.7152400000000001</v>
      </c>
      <c r="V350">
        <v>6.5143789999999993E-2</v>
      </c>
      <c r="W350">
        <v>0.11772100000000001</v>
      </c>
      <c r="X350">
        <v>0.99090769999999995</v>
      </c>
      <c r="Y350">
        <v>0.47339730000000002</v>
      </c>
      <c r="Z350">
        <v>8.8345049999999994E-3</v>
      </c>
      <c r="AA350">
        <v>0.880804699999999</v>
      </c>
      <c r="AB350">
        <v>29</v>
      </c>
      <c r="AC350">
        <v>15.204700000000001</v>
      </c>
      <c r="AD350">
        <v>-1.096115087359</v>
      </c>
      <c r="AE350">
        <v>-21.251200000000001</v>
      </c>
      <c r="AF350">
        <v>12.4178532504136</v>
      </c>
      <c r="AG350">
        <v>-1.096115087359</v>
      </c>
      <c r="AH350">
        <v>22.9389780761684</v>
      </c>
      <c r="AI350">
        <v>92.406252881197702</v>
      </c>
      <c r="AJ350">
        <v>61.571415043797103</v>
      </c>
      <c r="AK350">
        <v>26.1074943802058</v>
      </c>
    </row>
    <row r="351" spans="1:37" x14ac:dyDescent="0.2">
      <c r="A351" t="str">
        <f>"20200111150511759"</f>
        <v>20200111150511759</v>
      </c>
      <c r="B351" t="str">
        <f>"1578726311755147"</f>
        <v>1578726311755147</v>
      </c>
      <c r="C351" t="s">
        <v>37</v>
      </c>
      <c r="D351">
        <v>5.0796429999999999</v>
      </c>
      <c r="E351">
        <v>0.67915439999999905</v>
      </c>
      <c r="F351" t="s">
        <v>39</v>
      </c>
      <c r="G351">
        <v>-188.6704</v>
      </c>
      <c r="H351" s="1">
        <v>-1.3303519999999999E-6</v>
      </c>
      <c r="I351">
        <v>342.1841</v>
      </c>
      <c r="J351">
        <v>-202.69829999999999</v>
      </c>
      <c r="K351">
        <v>1.0960780000000001</v>
      </c>
      <c r="L351">
        <v>362.1703</v>
      </c>
      <c r="M351">
        <v>0.89653559999999999</v>
      </c>
      <c r="N351">
        <v>0</v>
      </c>
      <c r="O351">
        <v>-0.44273790000000002</v>
      </c>
      <c r="P351">
        <v>0.86115869999999894</v>
      </c>
      <c r="Q351">
        <v>0.1047559</v>
      </c>
      <c r="R351">
        <v>-0.49742529999999902</v>
      </c>
      <c r="S351">
        <v>1.9324189999999899</v>
      </c>
      <c r="T351">
        <v>-0.14951010000000001</v>
      </c>
      <c r="U351">
        <v>-2.736145</v>
      </c>
      <c r="V351">
        <v>6.6838579999999995E-2</v>
      </c>
      <c r="W351">
        <v>0.1178403</v>
      </c>
      <c r="X351">
        <v>0.99078069999999896</v>
      </c>
      <c r="Y351">
        <v>0.47689749999999997</v>
      </c>
      <c r="Z351">
        <v>9.6001090000000008E-3</v>
      </c>
      <c r="AA351">
        <v>0.87890650000000003</v>
      </c>
      <c r="AB351">
        <v>29</v>
      </c>
      <c r="AC351">
        <v>14.027899999999899</v>
      </c>
      <c r="AD351">
        <v>-1.096079330352</v>
      </c>
      <c r="AE351">
        <v>-19.9862</v>
      </c>
      <c r="AF351">
        <v>11.685323506278699</v>
      </c>
      <c r="AG351">
        <v>-1.096079330352</v>
      </c>
      <c r="AH351">
        <v>21.384289711434</v>
      </c>
      <c r="AI351">
        <v>92.575367682325194</v>
      </c>
      <c r="AJ351">
        <v>61.3458524578378</v>
      </c>
      <c r="AK351">
        <v>24.393360199188599</v>
      </c>
    </row>
    <row r="352" spans="1:37" x14ac:dyDescent="0.2">
      <c r="A352" t="str">
        <f>"20200111150511770"</f>
        <v>20200111150511770</v>
      </c>
      <c r="B352" t="str">
        <f>"1578726311764907"</f>
        <v>1578726311764907</v>
      </c>
      <c r="C352" t="s">
        <v>37</v>
      </c>
      <c r="D352">
        <v>5.0900119999999998</v>
      </c>
      <c r="E352">
        <v>0.67918959999999995</v>
      </c>
      <c r="F352" t="s">
        <v>39</v>
      </c>
      <c r="G352">
        <v>-189.9579</v>
      </c>
      <c r="H352" s="1">
        <v>-1.799235E-6</v>
      </c>
      <c r="I352">
        <v>343.80930000000001</v>
      </c>
      <c r="J352">
        <v>-202.5522</v>
      </c>
      <c r="K352">
        <v>1.0960379999999901</v>
      </c>
      <c r="L352">
        <v>362.09230000000002</v>
      </c>
      <c r="M352">
        <v>0.89413109999999996</v>
      </c>
      <c r="N352">
        <v>0</v>
      </c>
      <c r="O352">
        <v>-0.44757370000000002</v>
      </c>
      <c r="P352">
        <v>0.85758639999999997</v>
      </c>
      <c r="Q352">
        <v>0.1048861</v>
      </c>
      <c r="R352">
        <v>-0.50353230000000004</v>
      </c>
      <c r="S352">
        <v>1.9120330000000001</v>
      </c>
      <c r="T352">
        <v>-0.16449559999999999</v>
      </c>
      <c r="U352">
        <v>-2.7555540000000001</v>
      </c>
      <c r="V352">
        <v>6.8552699999999994E-2</v>
      </c>
      <c r="W352">
        <v>0.1179384</v>
      </c>
      <c r="X352">
        <v>0.99065179999999997</v>
      </c>
      <c r="Y352">
        <v>0.47943649999999999</v>
      </c>
      <c r="Z352">
        <v>1.074729E-2</v>
      </c>
      <c r="AA352">
        <v>0.87751069999999998</v>
      </c>
      <c r="AB352">
        <v>29</v>
      </c>
      <c r="AC352">
        <v>12.5943</v>
      </c>
      <c r="AD352">
        <v>-1.0960397992349999</v>
      </c>
      <c r="AE352">
        <v>-18.283000000000001</v>
      </c>
      <c r="AF352">
        <v>10.6855881909635</v>
      </c>
      <c r="AG352">
        <v>-1.0960397992349999</v>
      </c>
      <c r="AH352">
        <v>19.398681278405199</v>
      </c>
      <c r="AI352">
        <v>92.833214257897097</v>
      </c>
      <c r="AJ352">
        <v>61.152226397053198</v>
      </c>
      <c r="AK352">
        <v>22.174127571778701</v>
      </c>
    </row>
    <row r="353" spans="1:37" x14ac:dyDescent="0.2">
      <c r="A353" t="str">
        <f>"20200111150511783"</f>
        <v>20200111150511783</v>
      </c>
      <c r="B353" t="str">
        <f>"1578726311774667"</f>
        <v>1578726311774667</v>
      </c>
      <c r="C353" t="s">
        <v>37</v>
      </c>
      <c r="D353">
        <v>5.1010080000000002</v>
      </c>
      <c r="E353">
        <v>0.67896630000000002</v>
      </c>
      <c r="F353" t="s">
        <v>39</v>
      </c>
      <c r="G353">
        <v>-190.18960000000001</v>
      </c>
      <c r="H353" s="1">
        <v>-1.9402749999999998E-6</v>
      </c>
      <c r="I353">
        <v>343.99439999999998</v>
      </c>
      <c r="J353">
        <v>-202.41309999999999</v>
      </c>
      <c r="K353">
        <v>1.0959950000000001</v>
      </c>
      <c r="L353">
        <v>362.01670000000001</v>
      </c>
      <c r="M353">
        <v>0.8917794</v>
      </c>
      <c r="N353">
        <v>0</v>
      </c>
      <c r="O353">
        <v>-0.4522409</v>
      </c>
      <c r="P353">
        <v>0.85399609999999904</v>
      </c>
      <c r="Q353">
        <v>0.10558629999999999</v>
      </c>
      <c r="R353">
        <v>-0.50945320000000005</v>
      </c>
      <c r="S353">
        <v>1.89224199999999</v>
      </c>
      <c r="T353">
        <v>-0.1677621</v>
      </c>
      <c r="U353">
        <v>-2.770111</v>
      </c>
      <c r="V353">
        <v>7.0297029999999996E-2</v>
      </c>
      <c r="W353">
        <v>0.1186041</v>
      </c>
      <c r="X353">
        <v>0.9904501</v>
      </c>
      <c r="Y353">
        <v>0.48127249999999999</v>
      </c>
      <c r="Z353">
        <v>1.117143E-2</v>
      </c>
      <c r="AA353">
        <v>0.87649979999999905</v>
      </c>
      <c r="AB353">
        <v>29</v>
      </c>
      <c r="AC353">
        <v>12.2234999999999</v>
      </c>
      <c r="AD353">
        <v>-1.0959969402750001</v>
      </c>
      <c r="AE353">
        <v>-18.022300000000001</v>
      </c>
      <c r="AF353">
        <v>10.5184007553509</v>
      </c>
      <c r="AG353">
        <v>-1.0959969402750001</v>
      </c>
      <c r="AH353">
        <v>19.004924990392201</v>
      </c>
      <c r="AI353">
        <v>92.888509794182497</v>
      </c>
      <c r="AJ353">
        <v>61.037376517090102</v>
      </c>
      <c r="AK353">
        <v>21.749141078067701</v>
      </c>
    </row>
    <row r="354" spans="1:37" x14ac:dyDescent="0.2">
      <c r="A354" t="str">
        <f>"20200111150511796"</f>
        <v>20200111150511796</v>
      </c>
      <c r="B354" t="str">
        <f>"1578726311784428"</f>
        <v>1578726311784428</v>
      </c>
      <c r="C354" t="s">
        <v>37</v>
      </c>
      <c r="D354">
        <v>7.9638720000000003</v>
      </c>
      <c r="E354">
        <v>0.67896630000000002</v>
      </c>
      <c r="F354" t="s">
        <v>39</v>
      </c>
      <c r="G354">
        <v>-190.2517</v>
      </c>
      <c r="H354" s="1">
        <v>-1.9425110000000001E-6</v>
      </c>
      <c r="I354">
        <v>343.96100000000001</v>
      </c>
      <c r="J354">
        <v>-202.27340000000001</v>
      </c>
      <c r="K354">
        <v>1.0959570000000001</v>
      </c>
      <c r="L354">
        <v>361.9402</v>
      </c>
      <c r="M354">
        <v>0.88937770000000005</v>
      </c>
      <c r="N354">
        <v>0</v>
      </c>
      <c r="O354">
        <v>-0.45694589999999902</v>
      </c>
      <c r="P354">
        <v>0.85032750000000001</v>
      </c>
      <c r="Q354">
        <v>0.10624309999999999</v>
      </c>
      <c r="R354">
        <v>-0.51541809999999999</v>
      </c>
      <c r="S354">
        <v>1.8740079999999999</v>
      </c>
      <c r="T354">
        <v>-0.16888810000000001</v>
      </c>
      <c r="U354">
        <v>-2.7822879999999999</v>
      </c>
      <c r="V354">
        <v>7.2063669999999996E-2</v>
      </c>
      <c r="W354">
        <v>0.11922619999999901</v>
      </c>
      <c r="X354">
        <v>0.99024840000000003</v>
      </c>
      <c r="Y354">
        <v>0.48237239999999998</v>
      </c>
      <c r="Z354">
        <v>1.148457E-2</v>
      </c>
      <c r="AA354">
        <v>0.87589099999999998</v>
      </c>
      <c r="AB354">
        <v>29</v>
      </c>
      <c r="AC354">
        <v>12.021699999999999</v>
      </c>
      <c r="AD354">
        <v>-1.0959589425109999</v>
      </c>
      <c r="AE354">
        <v>-17.979199999999899</v>
      </c>
      <c r="AF354">
        <v>10.4712360094644</v>
      </c>
      <c r="AG354">
        <v>-1.0959589425109999</v>
      </c>
      <c r="AH354">
        <v>18.860887809712899</v>
      </c>
      <c r="AI354">
        <v>92.908304693281394</v>
      </c>
      <c r="AJ354">
        <v>60.961729138062204</v>
      </c>
      <c r="AK354">
        <v>21.6004860718492</v>
      </c>
    </row>
    <row r="355" spans="1:37" x14ac:dyDescent="0.2">
      <c r="A355" t="str">
        <f>"20200111150511810"</f>
        <v>20200111150511810</v>
      </c>
      <c r="B355" t="str">
        <f>"1578726311804923"</f>
        <v>1578726311804923</v>
      </c>
      <c r="C355" t="s">
        <v>37</v>
      </c>
      <c r="D355">
        <v>5.0919730000000003</v>
      </c>
      <c r="E355">
        <v>0.67872200000000005</v>
      </c>
      <c r="F355" t="s">
        <v>39</v>
      </c>
      <c r="G355">
        <v>-189.99690000000001</v>
      </c>
      <c r="H355" s="1">
        <v>-1.645103E-6</v>
      </c>
      <c r="I355">
        <v>343.42579999999998</v>
      </c>
      <c r="J355">
        <v>-202.09799999999899</v>
      </c>
      <c r="K355">
        <v>1.0958920000000001</v>
      </c>
      <c r="L355">
        <v>361.84249999999997</v>
      </c>
      <c r="M355">
        <v>0.88628079999999998</v>
      </c>
      <c r="N355">
        <v>0</v>
      </c>
      <c r="O355">
        <v>-0.46292359999999999</v>
      </c>
      <c r="P355">
        <v>0.84521689999999905</v>
      </c>
      <c r="Q355">
        <v>0.1074724</v>
      </c>
      <c r="R355">
        <v>-0.52350569999999996</v>
      </c>
      <c r="S355">
        <v>1.853958</v>
      </c>
      <c r="T355">
        <v>-0.16550860000000001</v>
      </c>
      <c r="U355">
        <v>-2.7959900000000002</v>
      </c>
      <c r="V355">
        <v>7.4961299999999995E-2</v>
      </c>
      <c r="W355">
        <v>0.1203964</v>
      </c>
      <c r="X355">
        <v>0.98989159999999898</v>
      </c>
      <c r="Y355">
        <v>0.48282239999999998</v>
      </c>
      <c r="Z355">
        <v>1.157622E-2</v>
      </c>
      <c r="AA355">
        <v>0.87564179999999903</v>
      </c>
      <c r="AB355">
        <v>29</v>
      </c>
      <c r="AC355">
        <v>12.101099999999899</v>
      </c>
      <c r="AD355">
        <v>-1.0958936451029999</v>
      </c>
      <c r="AE355">
        <v>-18.416699999999899</v>
      </c>
      <c r="AF355">
        <v>10.6951478401041</v>
      </c>
      <c r="AG355">
        <v>-1.0958936451029999</v>
      </c>
      <c r="AH355">
        <v>19.205004251577702</v>
      </c>
      <c r="AI355">
        <v>92.854039051542401</v>
      </c>
      <c r="AJ355">
        <v>60.886837237592403</v>
      </c>
      <c r="AK355">
        <v>22.009528811543799</v>
      </c>
    </row>
    <row r="356" spans="1:37" x14ac:dyDescent="0.2">
      <c r="A356" t="str">
        <f>"20200111150511823"</f>
        <v>20200111150511823</v>
      </c>
      <c r="B356" t="str">
        <f>"1578726311814683"</f>
        <v>1578726311814683</v>
      </c>
      <c r="C356" t="s">
        <v>37</v>
      </c>
      <c r="D356">
        <v>5.0818110000000001</v>
      </c>
      <c r="E356">
        <v>0.67876000000000003</v>
      </c>
      <c r="F356" t="s">
        <v>39</v>
      </c>
      <c r="G356">
        <v>-190.55879999999999</v>
      </c>
      <c r="H356" s="1">
        <v>-2.0790669999999999E-6</v>
      </c>
      <c r="I356">
        <v>344.08890000000002</v>
      </c>
      <c r="J356">
        <v>-201.95189999999999</v>
      </c>
      <c r="K356">
        <v>1.095837</v>
      </c>
      <c r="L356">
        <v>361.75959999999998</v>
      </c>
      <c r="M356">
        <v>0.88362559999999901</v>
      </c>
      <c r="N356">
        <v>0</v>
      </c>
      <c r="O356">
        <v>-0.46797149999999998</v>
      </c>
      <c r="P356">
        <v>0.84162320000000002</v>
      </c>
      <c r="Q356">
        <v>0.10805090000000001</v>
      </c>
      <c r="R356">
        <v>-0.52914600000000001</v>
      </c>
      <c r="S356">
        <v>1.8287659999999999</v>
      </c>
      <c r="T356">
        <v>-0.1736799</v>
      </c>
      <c r="U356">
        <v>-2.8136290000000002</v>
      </c>
      <c r="V356">
        <v>7.599852E-2</v>
      </c>
      <c r="W356">
        <v>0.12095359999999999</v>
      </c>
      <c r="X356">
        <v>0.98974470000000003</v>
      </c>
      <c r="Y356">
        <v>0.48584279999999902</v>
      </c>
      <c r="Z356">
        <v>1.235579E-2</v>
      </c>
      <c r="AA356">
        <v>0.87395889999999998</v>
      </c>
      <c r="AB356">
        <v>29</v>
      </c>
      <c r="AC356">
        <v>11.3931</v>
      </c>
      <c r="AD356">
        <v>-1.0958390790670001</v>
      </c>
      <c r="AE356">
        <v>-17.670699999999901</v>
      </c>
      <c r="AF356">
        <v>10.255848382738501</v>
      </c>
      <c r="AG356">
        <v>-1.0958390790670001</v>
      </c>
      <c r="AH356">
        <v>18.288848097231998</v>
      </c>
      <c r="AI356">
        <v>92.991671046516402</v>
      </c>
      <c r="AJ356">
        <v>60.717573011246202</v>
      </c>
      <c r="AK356">
        <v>20.996791518242901</v>
      </c>
    </row>
    <row r="357" spans="1:37" x14ac:dyDescent="0.2">
      <c r="A357" t="str">
        <f>"20200111150512740"</f>
        <v>20200111150512740</v>
      </c>
      <c r="B357" t="str">
        <f>"1578726312735223"</f>
        <v>1578726312735223</v>
      </c>
      <c r="C357" t="s">
        <v>37</v>
      </c>
      <c r="D357">
        <v>4.644209</v>
      </c>
      <c r="E357">
        <v>0.67753299999999905</v>
      </c>
      <c r="F357" t="s">
        <v>39</v>
      </c>
      <c r="G357">
        <v>-190.7072</v>
      </c>
      <c r="H357" s="1">
        <v>-2.16315699999999E-6</v>
      </c>
      <c r="I357">
        <v>344.19279999999998</v>
      </c>
      <c r="J357">
        <v>-193.34010000000001</v>
      </c>
      <c r="K357">
        <v>1.092938</v>
      </c>
      <c r="L357">
        <v>353.92669999999998</v>
      </c>
      <c r="M357">
        <v>0.58579499999999995</v>
      </c>
      <c r="N357">
        <v>0</v>
      </c>
      <c r="O357">
        <v>-0.81031999999999904</v>
      </c>
      <c r="P357">
        <v>0.48695680000000002</v>
      </c>
      <c r="Q357">
        <v>0.1056652</v>
      </c>
      <c r="R357">
        <v>-0.86701099999999998</v>
      </c>
      <c r="S357">
        <v>1.8097080000000001</v>
      </c>
      <c r="T357">
        <v>-0.17636379999999999</v>
      </c>
      <c r="U357">
        <v>-2.8271790000000001</v>
      </c>
      <c r="V357">
        <v>0.1163728</v>
      </c>
      <c r="W357">
        <v>0.11754389999999899</v>
      </c>
      <c r="X357">
        <v>0.98622549999999898</v>
      </c>
      <c r="Y357">
        <v>5.709703E-2</v>
      </c>
      <c r="Z357">
        <v>4.1651239999999999E-2</v>
      </c>
      <c r="AA357">
        <v>0.99749940000000004</v>
      </c>
      <c r="AB357">
        <v>28</v>
      </c>
      <c r="AC357">
        <v>2.6328999999999998</v>
      </c>
      <c r="AD357">
        <v>-1.0929401631569999</v>
      </c>
      <c r="AE357">
        <v>-9.7339000000000002</v>
      </c>
      <c r="AF357">
        <v>3.5275407198939202</v>
      </c>
      <c r="AG357">
        <v>-1.0929401631569999</v>
      </c>
      <c r="AH357">
        <v>9.3214720065953198</v>
      </c>
      <c r="AI357">
        <v>96.258057671017497</v>
      </c>
      <c r="AJ357">
        <v>69.271767504498797</v>
      </c>
      <c r="AK357">
        <v>10.026360361591401</v>
      </c>
    </row>
    <row r="358" spans="1:37" x14ac:dyDescent="0.2">
      <c r="A358" t="str">
        <f>"20200111150512829"</f>
        <v>20200111150512829</v>
      </c>
      <c r="B358" t="str">
        <f>"1578726312825015"</f>
        <v>1578726312825015</v>
      </c>
      <c r="C358" t="s">
        <v>37</v>
      </c>
      <c r="D358">
        <v>5.3605269999999896</v>
      </c>
      <c r="E358">
        <v>0.67648699999999995</v>
      </c>
      <c r="F358" t="s">
        <v>39</v>
      </c>
      <c r="G358">
        <v>-191.78200000000001</v>
      </c>
      <c r="H358" s="1">
        <v>-1.7691900000000001E-6</v>
      </c>
      <c r="I358">
        <v>332.60789999999997</v>
      </c>
      <c r="J358">
        <v>-192.75550000000001</v>
      </c>
      <c r="K358">
        <v>1.0923350000000001</v>
      </c>
      <c r="L358">
        <v>352.96879999999999</v>
      </c>
      <c r="M358">
        <v>0.53640500000000002</v>
      </c>
      <c r="N358">
        <v>0</v>
      </c>
      <c r="O358">
        <v>-0.84382309999999905</v>
      </c>
      <c r="P358">
        <v>0.43491069999999998</v>
      </c>
      <c r="Q358">
        <v>0.1106461</v>
      </c>
      <c r="R358">
        <v>-0.8936499</v>
      </c>
      <c r="S358">
        <v>0.24438479999999899</v>
      </c>
      <c r="T358">
        <v>-0.17142270000000001</v>
      </c>
      <c r="U358">
        <v>-3.34375</v>
      </c>
      <c r="V358">
        <v>0.1157585</v>
      </c>
      <c r="W358">
        <v>0.122578399999999</v>
      </c>
      <c r="X358">
        <v>0.98568480000000003</v>
      </c>
      <c r="Y358">
        <v>0.47353489999999998</v>
      </c>
      <c r="Z358">
        <v>3.620139E-2</v>
      </c>
      <c r="AA358">
        <v>0.8800308</v>
      </c>
      <c r="AB358">
        <v>27</v>
      </c>
      <c r="AC358">
        <v>0.97350000000000103</v>
      </c>
      <c r="AD358">
        <v>-1.0923367691899999</v>
      </c>
      <c r="AE358">
        <v>-20.360900000000001</v>
      </c>
      <c r="AF358">
        <v>10.0724755221395</v>
      </c>
      <c r="AG358">
        <v>-1.0923367691899999</v>
      </c>
      <c r="AH358">
        <v>17.6545469702451</v>
      </c>
      <c r="AI358">
        <v>93.076197001042004</v>
      </c>
      <c r="AJ358">
        <v>60.293879292007503</v>
      </c>
      <c r="AK358">
        <v>20.3551219963432</v>
      </c>
    </row>
    <row r="359" spans="1:37" x14ac:dyDescent="0.2">
      <c r="A359" t="str">
        <f>"20200111150512854"</f>
        <v>20200111150512854</v>
      </c>
      <c r="B359" t="str">
        <f>"1578726312844535"</f>
        <v>1578726312844535</v>
      </c>
      <c r="C359" t="s">
        <v>37</v>
      </c>
      <c r="D359">
        <v>5.2010309999999897</v>
      </c>
      <c r="E359">
        <v>0.67681199999999997</v>
      </c>
      <c r="F359" t="s">
        <v>39</v>
      </c>
      <c r="G359">
        <v>-192.37599999999901</v>
      </c>
      <c r="H359" s="1">
        <v>-1.0633569999999999E-6</v>
      </c>
      <c r="I359">
        <v>330.5942</v>
      </c>
      <c r="J359">
        <v>-192.6097</v>
      </c>
      <c r="K359">
        <v>1.0922019999999999</v>
      </c>
      <c r="L359">
        <v>352.70679999999999</v>
      </c>
      <c r="M359">
        <v>0.52238240000000002</v>
      </c>
      <c r="N359">
        <v>0</v>
      </c>
      <c r="O359">
        <v>-0.85257450000000001</v>
      </c>
      <c r="P359">
        <v>0.42094579999999998</v>
      </c>
      <c r="Q359">
        <v>0.111263599999999</v>
      </c>
      <c r="R359">
        <v>-0.90023639999999905</v>
      </c>
      <c r="S359">
        <v>5.6823730000000003E-2</v>
      </c>
      <c r="T359">
        <v>-0.16352749999999999</v>
      </c>
      <c r="U359">
        <v>-3.3495789999999999</v>
      </c>
      <c r="V359">
        <v>0.1148276</v>
      </c>
      <c r="W359">
        <v>0.123239</v>
      </c>
      <c r="X359">
        <v>0.98571129999999996</v>
      </c>
      <c r="Y359">
        <v>0.50787040000000006</v>
      </c>
      <c r="Z359">
        <v>3.4626539999999997E-2</v>
      </c>
      <c r="AA359">
        <v>0.86073729999999904</v>
      </c>
      <c r="AB359">
        <v>27</v>
      </c>
      <c r="AC359">
        <v>0.233700000000027</v>
      </c>
      <c r="AD359">
        <v>-1.0922030633569999</v>
      </c>
      <c r="AE359">
        <v>-22.112599999999901</v>
      </c>
      <c r="AF359">
        <v>11.325683528416</v>
      </c>
      <c r="AG359">
        <v>-1.0922030633569999</v>
      </c>
      <c r="AH359">
        <v>18.930754700792999</v>
      </c>
      <c r="AI359">
        <v>92.834429063784199</v>
      </c>
      <c r="AJ359">
        <v>59.109225240783601</v>
      </c>
      <c r="AK359">
        <v>22.0870434521924</v>
      </c>
    </row>
    <row r="360" spans="1:37" x14ac:dyDescent="0.2">
      <c r="A360" t="str">
        <f>"20200111150512875"</f>
        <v>20200111150512875</v>
      </c>
      <c r="B360" t="str">
        <f>"1578726312865034"</f>
        <v>1578726312865034</v>
      </c>
      <c r="C360" t="s">
        <v>37</v>
      </c>
      <c r="D360">
        <v>5.2447309999999998</v>
      </c>
      <c r="E360">
        <v>0.67650129999999997</v>
      </c>
      <c r="F360" t="s">
        <v>39</v>
      </c>
      <c r="G360">
        <v>-192.59039999999999</v>
      </c>
      <c r="H360" s="1">
        <v>-4.738997E-6</v>
      </c>
      <c r="I360">
        <v>329.56229999999999</v>
      </c>
      <c r="J360">
        <v>-192.48179999999999</v>
      </c>
      <c r="K360">
        <v>1.0920920000000001</v>
      </c>
      <c r="L360">
        <v>352.46749999999997</v>
      </c>
      <c r="M360">
        <v>0.50941930000000002</v>
      </c>
      <c r="N360">
        <v>0</v>
      </c>
      <c r="O360">
        <v>-0.86038169999999903</v>
      </c>
      <c r="P360">
        <v>0.40774090000000002</v>
      </c>
      <c r="Q360">
        <v>0.1108315</v>
      </c>
      <c r="R360">
        <v>-0.9063464</v>
      </c>
      <c r="S360">
        <v>2.792358E-3</v>
      </c>
      <c r="T360">
        <v>-0.1581224</v>
      </c>
      <c r="U360">
        <v>-3.350708</v>
      </c>
      <c r="V360">
        <v>0.1143661</v>
      </c>
      <c r="W360">
        <v>0.12283769999999999</v>
      </c>
      <c r="X360">
        <v>0.985815</v>
      </c>
      <c r="Y360">
        <v>0.50872019999999996</v>
      </c>
      <c r="Z360">
        <v>3.3999769999999999E-2</v>
      </c>
      <c r="AA360">
        <v>0.86026029999999998</v>
      </c>
      <c r="AB360">
        <v>27</v>
      </c>
      <c r="AC360">
        <v>-0.10859999999999501</v>
      </c>
      <c r="AD360">
        <v>-1.092096738997</v>
      </c>
      <c r="AE360">
        <v>-22.905199999999901</v>
      </c>
      <c r="AF360">
        <v>11.7364926607014</v>
      </c>
      <c r="AG360">
        <v>-1.092096738997</v>
      </c>
      <c r="AH360">
        <v>19.609627216244601</v>
      </c>
      <c r="AI360">
        <v>92.735902714694902</v>
      </c>
      <c r="AJ360">
        <v>59.099197843237398</v>
      </c>
      <c r="AK360">
        <v>22.879585110357802</v>
      </c>
    </row>
    <row r="361" spans="1:37" x14ac:dyDescent="0.2">
      <c r="A361" t="str">
        <f>"20200111150512897"</f>
        <v>20200111150512897</v>
      </c>
      <c r="B361" t="str">
        <f>"1578726312895288"</f>
        <v>1578726312895288</v>
      </c>
      <c r="C361" t="s">
        <v>37</v>
      </c>
      <c r="D361">
        <v>5.3061989999999897</v>
      </c>
      <c r="E361">
        <v>0.67659590000000003</v>
      </c>
      <c r="F361" t="s">
        <v>39</v>
      </c>
      <c r="G361">
        <v>-192.77690000000001</v>
      </c>
      <c r="H361" s="1">
        <v>-7.7942260000000004E-7</v>
      </c>
      <c r="I361">
        <v>329.68360000000001</v>
      </c>
      <c r="J361">
        <v>-192.35900000000001</v>
      </c>
      <c r="K361">
        <v>1.091995</v>
      </c>
      <c r="L361">
        <v>352.2287</v>
      </c>
      <c r="M361">
        <v>0.49636279999999999</v>
      </c>
      <c r="N361">
        <v>0</v>
      </c>
      <c r="O361">
        <v>-0.867979099999999</v>
      </c>
      <c r="P361">
        <v>0.39374359999999903</v>
      </c>
      <c r="Q361">
        <v>0.109908399999999</v>
      </c>
      <c r="R361">
        <v>-0.91262619999999905</v>
      </c>
      <c r="S361">
        <v>-4.3380740000000001E-2</v>
      </c>
      <c r="T361">
        <v>-0.1605308</v>
      </c>
      <c r="U361">
        <v>-3.349091</v>
      </c>
      <c r="V361">
        <v>0.11470080000000001</v>
      </c>
      <c r="W361">
        <v>0.1219243</v>
      </c>
      <c r="X361">
        <v>0.98588960000000003</v>
      </c>
      <c r="Y361">
        <v>0.50757200000000002</v>
      </c>
      <c r="Z361">
        <v>3.508178E-2</v>
      </c>
      <c r="AA361">
        <v>0.86089490000000002</v>
      </c>
      <c r="AB361">
        <v>27</v>
      </c>
      <c r="AC361">
        <v>-0.41790000000000299</v>
      </c>
      <c r="AD361">
        <v>-1.0919957794226001</v>
      </c>
      <c r="AE361">
        <v>-22.545099999999898</v>
      </c>
      <c r="AF361">
        <v>11.527607342358801</v>
      </c>
      <c r="AG361">
        <v>-1.0919957794226001</v>
      </c>
      <c r="AH361">
        <v>19.318227078510901</v>
      </c>
      <c r="AI361">
        <v>92.7790311108525</v>
      </c>
      <c r="AJ361">
        <v>59.174551101044102</v>
      </c>
      <c r="AK361">
        <v>22.522701509339299</v>
      </c>
    </row>
    <row r="362" spans="1:37" x14ac:dyDescent="0.2">
      <c r="A362" t="str">
        <f>"20200111150512919"</f>
        <v>20200111150512919</v>
      </c>
      <c r="B362" t="str">
        <f>"1578726312914808"</f>
        <v>1578726312914808</v>
      </c>
      <c r="C362" t="s">
        <v>37</v>
      </c>
      <c r="D362">
        <v>5.271884</v>
      </c>
      <c r="E362">
        <v>0.67571969999999904</v>
      </c>
      <c r="F362" t="s">
        <v>39</v>
      </c>
      <c r="G362">
        <v>-193.0273</v>
      </c>
      <c r="H362" s="1">
        <v>-4.5478010000000001E-6</v>
      </c>
      <c r="I362">
        <v>328.77280000000002</v>
      </c>
      <c r="J362">
        <v>-192.23689999999999</v>
      </c>
      <c r="K362">
        <v>1.0919299999999901</v>
      </c>
      <c r="L362">
        <v>351.9821</v>
      </c>
      <c r="M362">
        <v>0.48277730000000002</v>
      </c>
      <c r="N362">
        <v>0</v>
      </c>
      <c r="O362">
        <v>-0.87560759999999904</v>
      </c>
      <c r="P362">
        <v>0.37930330000000001</v>
      </c>
      <c r="Q362">
        <v>0.10948430000000001</v>
      </c>
      <c r="R362">
        <v>-0.91877229999999999</v>
      </c>
      <c r="S362">
        <v>-9.5367430000000003E-2</v>
      </c>
      <c r="T362">
        <v>-0.15582860000000001</v>
      </c>
      <c r="U362">
        <v>-3.3471679999999999</v>
      </c>
      <c r="V362">
        <v>0.11491749999999901</v>
      </c>
      <c r="W362">
        <v>0.1215135</v>
      </c>
      <c r="X362">
        <v>0.98591499999999999</v>
      </c>
      <c r="Y362">
        <v>0.50752189999999997</v>
      </c>
      <c r="Z362">
        <v>3.4592199999999997E-2</v>
      </c>
      <c r="AA362">
        <v>0.86094419999999905</v>
      </c>
      <c r="AB362">
        <v>27</v>
      </c>
      <c r="AC362">
        <v>-0.79040000000000499</v>
      </c>
      <c r="AD362">
        <v>-1.0919345478010001</v>
      </c>
      <c r="AE362">
        <v>-23.209299999999899</v>
      </c>
      <c r="AF362">
        <v>11.872167944649</v>
      </c>
      <c r="AG362">
        <v>-1.0919345478010001</v>
      </c>
      <c r="AH362">
        <v>19.899025348729801</v>
      </c>
      <c r="AI362">
        <v>92.698009358980102</v>
      </c>
      <c r="AJ362">
        <v>59.178828398417103</v>
      </c>
      <c r="AK362">
        <v>23.197239115722901</v>
      </c>
    </row>
    <row r="363" spans="1:37" x14ac:dyDescent="0.2">
      <c r="A363" t="str">
        <f>"20200111150512942"</f>
        <v>20200111150512942</v>
      </c>
      <c r="B363" t="str">
        <f>"1578726312935304"</f>
        <v>1578726312935304</v>
      </c>
      <c r="C363" t="s">
        <v>37</v>
      </c>
      <c r="D363">
        <v>5.3049749999999998</v>
      </c>
      <c r="E363">
        <v>0.67439159999999998</v>
      </c>
      <c r="F363" t="s">
        <v>39</v>
      </c>
      <c r="G363">
        <v>-193.1919</v>
      </c>
      <c r="H363" s="1">
        <v>-4.7744240000000002E-6</v>
      </c>
      <c r="I363">
        <v>329.35289999999998</v>
      </c>
      <c r="J363">
        <v>-192.1146</v>
      </c>
      <c r="K363">
        <v>1.0918840000000001</v>
      </c>
      <c r="L363">
        <v>351.72460000000001</v>
      </c>
      <c r="M363">
        <v>0.46850199999999997</v>
      </c>
      <c r="N363">
        <v>0</v>
      </c>
      <c r="O363">
        <v>-0.88332739999999998</v>
      </c>
      <c r="P363">
        <v>0.36435830000000002</v>
      </c>
      <c r="Q363">
        <v>0.1091903</v>
      </c>
      <c r="R363">
        <v>-0.92483539999999997</v>
      </c>
      <c r="S363">
        <v>-0.14106749999999901</v>
      </c>
      <c r="T363">
        <v>-0.16129379999999999</v>
      </c>
      <c r="U363">
        <v>-3.342651</v>
      </c>
      <c r="V363">
        <v>0.114921</v>
      </c>
      <c r="W363">
        <v>0.12124</v>
      </c>
      <c r="X363">
        <v>0.9859483</v>
      </c>
      <c r="Y363">
        <v>0.50532010000000005</v>
      </c>
      <c r="Z363">
        <v>3.6423759999999999E-2</v>
      </c>
      <c r="AA363">
        <v>0.86216289999999995</v>
      </c>
      <c r="AB363">
        <v>27</v>
      </c>
      <c r="AC363">
        <v>-1.0772999999999999</v>
      </c>
      <c r="AD363">
        <v>-1.091888774424</v>
      </c>
      <c r="AE363">
        <v>-22.371700000000001</v>
      </c>
      <c r="AF363">
        <v>11.407049070882</v>
      </c>
      <c r="AG363">
        <v>-1.091888774424</v>
      </c>
      <c r="AH363">
        <v>19.213453590217799</v>
      </c>
      <c r="AI363">
        <v>92.797593956117197</v>
      </c>
      <c r="AJ363">
        <v>59.302347788398201</v>
      </c>
      <c r="AK363">
        <v>22.371182098062601</v>
      </c>
    </row>
    <row r="364" spans="1:37" x14ac:dyDescent="0.2">
      <c r="A364" t="str">
        <f>"20200111150512965"</f>
        <v>20200111150512965</v>
      </c>
      <c r="B364" t="str">
        <f>"1578726312954835"</f>
        <v>1578726312954835</v>
      </c>
      <c r="C364" t="s">
        <v>37</v>
      </c>
      <c r="D364">
        <v>5.3420649999999998</v>
      </c>
      <c r="E364">
        <v>0.67283549999999903</v>
      </c>
      <c r="F364" t="s">
        <v>39</v>
      </c>
      <c r="G364">
        <v>-193.3383</v>
      </c>
      <c r="H364" s="1">
        <v>-9.3600859999999998E-7</v>
      </c>
      <c r="I364">
        <v>329.70049999999998</v>
      </c>
      <c r="J364">
        <v>-191.99529999999999</v>
      </c>
      <c r="K364">
        <v>1.091853</v>
      </c>
      <c r="L364">
        <v>351.46249999999998</v>
      </c>
      <c r="M364">
        <v>0.45389200000000002</v>
      </c>
      <c r="N364">
        <v>0</v>
      </c>
      <c r="O364">
        <v>-0.8909224</v>
      </c>
      <c r="P364">
        <v>0.34929650000000001</v>
      </c>
      <c r="Q364">
        <v>0.10910009999999901</v>
      </c>
      <c r="R364">
        <v>-0.93063929999999995</v>
      </c>
      <c r="S364">
        <v>-0.18537899999999999</v>
      </c>
      <c r="T364">
        <v>-0.1654091</v>
      </c>
      <c r="U364">
        <v>-3.3364259999999999</v>
      </c>
      <c r="V364">
        <v>0.11470080000000001</v>
      </c>
      <c r="W364">
        <v>0.12117559999999999</v>
      </c>
      <c r="X364">
        <v>0.98598180000000002</v>
      </c>
      <c r="Y364">
        <v>0.5025944</v>
      </c>
      <c r="Z364">
        <v>3.800547E-2</v>
      </c>
      <c r="AA364">
        <v>0.86368659999999997</v>
      </c>
      <c r="AB364">
        <v>27</v>
      </c>
      <c r="AC364">
        <v>-1.34300000000001</v>
      </c>
      <c r="AD364">
        <v>-1.0918539360085999</v>
      </c>
      <c r="AE364">
        <v>-21.762</v>
      </c>
      <c r="AF364">
        <v>11.0477271992866</v>
      </c>
      <c r="AG364">
        <v>-1.0918539360085999</v>
      </c>
      <c r="AH364">
        <v>18.733944206452598</v>
      </c>
      <c r="AI364">
        <v>92.873996325931301</v>
      </c>
      <c r="AJ364">
        <v>59.471420322749502</v>
      </c>
      <c r="AK364">
        <v>21.7762505224824</v>
      </c>
    </row>
    <row r="365" spans="1:37" x14ac:dyDescent="0.2">
      <c r="A365" t="str">
        <f>"20200111150512988"</f>
        <v>20200111150512988</v>
      </c>
      <c r="B365" t="str">
        <f>"1578726312985080"</f>
        <v>1578726312985080</v>
      </c>
      <c r="C365" t="s">
        <v>37</v>
      </c>
      <c r="D365">
        <v>5.3055149999999998</v>
      </c>
      <c r="E365">
        <v>0.67031980000000002</v>
      </c>
      <c r="F365" t="s">
        <v>39</v>
      </c>
      <c r="G365">
        <v>-193.47380000000001</v>
      </c>
      <c r="H365" s="1">
        <v>-1.0382719999999999E-6</v>
      </c>
      <c r="I365">
        <v>329.85480000000001</v>
      </c>
      <c r="J365">
        <v>-191.88509999999999</v>
      </c>
      <c r="K365">
        <v>1.091828</v>
      </c>
      <c r="L365">
        <v>351.20949999999999</v>
      </c>
      <c r="M365">
        <v>0.43974659999999899</v>
      </c>
      <c r="N365">
        <v>0</v>
      </c>
      <c r="O365">
        <v>-0.89798829999999996</v>
      </c>
      <c r="P365">
        <v>0.3355052</v>
      </c>
      <c r="Q365">
        <v>0.1087487</v>
      </c>
      <c r="R365">
        <v>-0.93574040000000003</v>
      </c>
      <c r="S365">
        <v>-0.22778319999999999</v>
      </c>
      <c r="T365">
        <v>-0.16821</v>
      </c>
      <c r="U365">
        <v>-3.3288570000000002</v>
      </c>
      <c r="V365">
        <v>0.11369029999999999</v>
      </c>
      <c r="W365">
        <v>0.1208731</v>
      </c>
      <c r="X365">
        <v>0.98613600000000001</v>
      </c>
      <c r="Y365">
        <v>0.4999866</v>
      </c>
      <c r="Z365">
        <v>3.9287830000000003E-2</v>
      </c>
      <c r="AA365">
        <v>0.86514159999999996</v>
      </c>
      <c r="AB365">
        <v>27</v>
      </c>
      <c r="AC365">
        <v>-1.58870000000001</v>
      </c>
      <c r="AD365">
        <v>-1.091829038272</v>
      </c>
      <c r="AE365">
        <v>-21.354699999999902</v>
      </c>
      <c r="AF365">
        <v>10.7905364317305</v>
      </c>
      <c r="AG365">
        <v>-1.091829038272</v>
      </c>
      <c r="AH365">
        <v>18.4319447468981</v>
      </c>
      <c r="AI365">
        <v>92.926408548194104</v>
      </c>
      <c r="AJ365">
        <v>59.654192057554397</v>
      </c>
      <c r="AK365">
        <v>21.386078515848101</v>
      </c>
    </row>
    <row r="366" spans="1:37" x14ac:dyDescent="0.2">
      <c r="A366" t="str">
        <f>"20200111150513010"</f>
        <v>20200111150513010</v>
      </c>
      <c r="B366" t="str">
        <f>"1578726313004601"</f>
        <v>1578726313004601</v>
      </c>
      <c r="C366" t="s">
        <v>37</v>
      </c>
      <c r="D366">
        <v>5.2735560000000001</v>
      </c>
      <c r="E366">
        <v>0.66873260000000001</v>
      </c>
      <c r="F366" t="s">
        <v>39</v>
      </c>
      <c r="G366">
        <v>-193.52780000000001</v>
      </c>
      <c r="H366" s="1">
        <v>-1.159221E-6</v>
      </c>
      <c r="I366">
        <v>330.10329999999999</v>
      </c>
      <c r="J366">
        <v>-191.77879999999999</v>
      </c>
      <c r="K366">
        <v>1.0918299999999901</v>
      </c>
      <c r="L366">
        <v>350.9547</v>
      </c>
      <c r="M366">
        <v>0.425456</v>
      </c>
      <c r="N366">
        <v>0</v>
      </c>
      <c r="O366">
        <v>-0.90484629999999999</v>
      </c>
      <c r="P366">
        <v>0.32271470000000002</v>
      </c>
      <c r="Q366">
        <v>0.10822319999999901</v>
      </c>
      <c r="R366">
        <v>-0.94028909999999999</v>
      </c>
      <c r="S366">
        <v>-0.2582855</v>
      </c>
      <c r="T366">
        <v>-0.17167209999999999</v>
      </c>
      <c r="U366">
        <v>-3.3186040000000001</v>
      </c>
      <c r="V366">
        <v>0.1115124</v>
      </c>
      <c r="W366">
        <v>0.1204301</v>
      </c>
      <c r="X366">
        <v>0.98643879999999995</v>
      </c>
      <c r="Y366">
        <v>0.49433480000000002</v>
      </c>
      <c r="Z366">
        <v>4.0817300000000001E-2</v>
      </c>
      <c r="AA366">
        <v>0.8683128</v>
      </c>
      <c r="AB366">
        <v>27</v>
      </c>
      <c r="AC366">
        <v>-1.7490000000000201</v>
      </c>
      <c r="AD366">
        <v>-1.0918311592209999</v>
      </c>
      <c r="AE366">
        <v>-20.851400000000002</v>
      </c>
      <c r="AF366">
        <v>10.4267972551709</v>
      </c>
      <c r="AG366">
        <v>-1.0918311592209999</v>
      </c>
      <c r="AH366">
        <v>18.076152611432001</v>
      </c>
      <c r="AI366">
        <v>92.995059574739201</v>
      </c>
      <c r="AJ366">
        <v>60.022528098902299</v>
      </c>
      <c r="AK366">
        <v>20.896351105216102</v>
      </c>
    </row>
    <row r="367" spans="1:37" x14ac:dyDescent="0.2">
      <c r="A367" t="str">
        <f>"20200111150513031"</f>
        <v>20200111150513031</v>
      </c>
      <c r="B367" t="str">
        <f>"1578726313025096"</f>
        <v>1578726313025096</v>
      </c>
      <c r="C367" t="s">
        <v>37</v>
      </c>
      <c r="D367">
        <v>5.2705070000000003</v>
      </c>
      <c r="E367">
        <v>0.66713089999999997</v>
      </c>
      <c r="F367" t="s">
        <v>39</v>
      </c>
      <c r="G367">
        <v>-193.60380000000001</v>
      </c>
      <c r="H367" s="1">
        <v>-1.2474539999999999E-6</v>
      </c>
      <c r="I367">
        <v>330.26179999999999</v>
      </c>
      <c r="J367">
        <v>-191.67760000000001</v>
      </c>
      <c r="K367">
        <v>1.0918369999999999</v>
      </c>
      <c r="L367">
        <v>350.70089999999999</v>
      </c>
      <c r="M367">
        <v>0.41119149999999999</v>
      </c>
      <c r="N367">
        <v>0</v>
      </c>
      <c r="O367">
        <v>-0.91141700000000003</v>
      </c>
      <c r="P367">
        <v>0.31071880000000002</v>
      </c>
      <c r="Q367">
        <v>0.10768900000000001</v>
      </c>
      <c r="R367">
        <v>-0.94438239999999996</v>
      </c>
      <c r="S367">
        <v>-0.29200739999999997</v>
      </c>
      <c r="T367">
        <v>-0.1746935</v>
      </c>
      <c r="U367">
        <v>-3.310883</v>
      </c>
      <c r="V367">
        <v>0.1085798</v>
      </c>
      <c r="W367">
        <v>0.1199997</v>
      </c>
      <c r="X367">
        <v>0.98681839999999998</v>
      </c>
      <c r="Y367">
        <v>0.4896102</v>
      </c>
      <c r="Z367">
        <v>4.2200250000000002E-2</v>
      </c>
      <c r="AA367">
        <v>0.87091960000000002</v>
      </c>
      <c r="AB367">
        <v>27</v>
      </c>
      <c r="AC367">
        <v>-1.9261999999999899</v>
      </c>
      <c r="AD367">
        <v>-1.091838247454</v>
      </c>
      <c r="AE367">
        <v>-20.4391</v>
      </c>
      <c r="AF367">
        <v>10.132518471937299</v>
      </c>
      <c r="AG367">
        <v>-1.091838247454</v>
      </c>
      <c r="AH367">
        <v>17.788338334853702</v>
      </c>
      <c r="AI367">
        <v>93.052913514341597</v>
      </c>
      <c r="AJ367">
        <v>60.333477676647</v>
      </c>
      <c r="AK367">
        <v>20.5008541787405</v>
      </c>
    </row>
    <row r="368" spans="1:37" x14ac:dyDescent="0.2">
      <c r="A368" t="str">
        <f>"20200111150513055"</f>
        <v>20200111150513055</v>
      </c>
      <c r="B368" t="str">
        <f>"1578726313044615"</f>
        <v>1578726313044615</v>
      </c>
      <c r="C368" t="s">
        <v>37</v>
      </c>
      <c r="D368">
        <v>5.2857580000000004</v>
      </c>
      <c r="E368">
        <v>0.66532809999999998</v>
      </c>
      <c r="F368" t="s">
        <v>39</v>
      </c>
      <c r="G368">
        <v>-193.6962</v>
      </c>
      <c r="H368" s="1">
        <v>-1.1919429999999899E-6</v>
      </c>
      <c r="I368">
        <v>330.07510000000002</v>
      </c>
      <c r="J368">
        <v>-191.5746</v>
      </c>
      <c r="K368">
        <v>1.0918459999999901</v>
      </c>
      <c r="L368">
        <v>350.42910000000001</v>
      </c>
      <c r="M368">
        <v>0.39589999999999997</v>
      </c>
      <c r="N368">
        <v>0</v>
      </c>
      <c r="O368">
        <v>-0.91816229999999999</v>
      </c>
      <c r="P368">
        <v>0.29731479999999999</v>
      </c>
      <c r="Q368">
        <v>0.1067516</v>
      </c>
      <c r="R368">
        <v>-0.948793199999999</v>
      </c>
      <c r="S368">
        <v>-0.32327270000000002</v>
      </c>
      <c r="T368">
        <v>-0.1748478</v>
      </c>
      <c r="U368">
        <v>-3.3030400000000002</v>
      </c>
      <c r="V368">
        <v>0.10606739999999901</v>
      </c>
      <c r="W368">
        <v>0.11915239999999901</v>
      </c>
      <c r="X368">
        <v>0.98719419999999902</v>
      </c>
      <c r="Y368">
        <v>0.48337749999999902</v>
      </c>
      <c r="Z368">
        <v>4.2944209999999997E-2</v>
      </c>
      <c r="AA368">
        <v>0.87435810000000003</v>
      </c>
      <c r="AB368">
        <v>27</v>
      </c>
      <c r="AC368">
        <v>-2.1215999999999999</v>
      </c>
      <c r="AD368">
        <v>-1.091847191943</v>
      </c>
      <c r="AE368">
        <v>-20.3539999999999</v>
      </c>
      <c r="AF368">
        <v>9.9789222952923105</v>
      </c>
      <c r="AG368">
        <v>-1.091847191943</v>
      </c>
      <c r="AH368">
        <v>17.7998172451797</v>
      </c>
      <c r="AI368">
        <v>93.062730244733302</v>
      </c>
      <c r="AJ368">
        <v>60.724165590511198</v>
      </c>
      <c r="AK368">
        <v>20.435374095617401</v>
      </c>
    </row>
    <row r="369" spans="1:37" x14ac:dyDescent="0.2">
      <c r="A369" t="str">
        <f>"20200111150513077"</f>
        <v>20200111150513077</v>
      </c>
      <c r="B369" t="str">
        <f>"1578726313074872"</f>
        <v>1578726313074872</v>
      </c>
      <c r="C369" t="s">
        <v>37</v>
      </c>
      <c r="D369">
        <v>5.241479</v>
      </c>
      <c r="E369">
        <v>0.66286250000000002</v>
      </c>
      <c r="F369" t="s">
        <v>39</v>
      </c>
      <c r="G369">
        <v>-193.74780000000001</v>
      </c>
      <c r="H369" s="1">
        <v>-1.3257380000000001E-6</v>
      </c>
      <c r="I369">
        <v>330.35500000000002</v>
      </c>
      <c r="J369">
        <v>-191.48230000000001</v>
      </c>
      <c r="K369">
        <v>1.0918559999999999</v>
      </c>
      <c r="L369">
        <v>350.17309999999998</v>
      </c>
      <c r="M369">
        <v>0.38147629999999999</v>
      </c>
      <c r="N369">
        <v>0</v>
      </c>
      <c r="O369">
        <v>-0.92424789999999901</v>
      </c>
      <c r="P369">
        <v>0.28459669999999998</v>
      </c>
      <c r="Q369">
        <v>0.1058597</v>
      </c>
      <c r="R369">
        <v>-0.95278469999999904</v>
      </c>
      <c r="S369">
        <v>-0.35658259999999897</v>
      </c>
      <c r="T369">
        <v>-0.17915320000000001</v>
      </c>
      <c r="U369">
        <v>-3.2938230000000002</v>
      </c>
      <c r="V369">
        <v>0.10382189999999999</v>
      </c>
      <c r="W369">
        <v>0.1183394</v>
      </c>
      <c r="X369">
        <v>0.98753060000000004</v>
      </c>
      <c r="Y369">
        <v>0.47864370000000001</v>
      </c>
      <c r="Z369">
        <v>4.4663340000000003E-2</v>
      </c>
      <c r="AA369">
        <v>0.87687250000000005</v>
      </c>
      <c r="AB369">
        <v>27</v>
      </c>
      <c r="AC369">
        <v>-2.2654999999999998</v>
      </c>
      <c r="AD369">
        <v>-1.091857325738</v>
      </c>
      <c r="AE369">
        <v>-19.818099999999902</v>
      </c>
      <c r="AF369">
        <v>9.6263434006221207</v>
      </c>
      <c r="AG369">
        <v>-1.091857325738</v>
      </c>
      <c r="AH369">
        <v>17.402570466666202</v>
      </c>
      <c r="AI369">
        <v>93.142467167587</v>
      </c>
      <c r="AJ369">
        <v>61.050543773148902</v>
      </c>
      <c r="AK369">
        <v>19.917532440886099</v>
      </c>
    </row>
    <row r="370" spans="1:37" x14ac:dyDescent="0.2">
      <c r="A370" t="str">
        <f>"20200111150513099"</f>
        <v>20200111150513099</v>
      </c>
      <c r="B370" t="str">
        <f>"1578726313095368"</f>
        <v>1578726313095368</v>
      </c>
      <c r="C370" t="s">
        <v>37</v>
      </c>
      <c r="D370">
        <v>5.3794409999999999</v>
      </c>
      <c r="E370">
        <v>0.66241479999999997</v>
      </c>
      <c r="F370" t="s">
        <v>39</v>
      </c>
      <c r="G370">
        <v>-193.75319999999999</v>
      </c>
      <c r="H370" s="1">
        <v>-1.4506079999999999E-6</v>
      </c>
      <c r="I370">
        <v>330.64269999999999</v>
      </c>
      <c r="J370">
        <v>-191.39570000000001</v>
      </c>
      <c r="K370">
        <v>1.0918699999999999</v>
      </c>
      <c r="L370">
        <v>349.92070000000001</v>
      </c>
      <c r="M370">
        <v>0.36724580000000001</v>
      </c>
      <c r="N370">
        <v>0</v>
      </c>
      <c r="O370">
        <v>-0.92999390000000004</v>
      </c>
      <c r="P370">
        <v>0.27393249999999902</v>
      </c>
      <c r="Q370">
        <v>0.1047916</v>
      </c>
      <c r="R370">
        <v>-0.956022699999999</v>
      </c>
      <c r="S370">
        <v>-0.38172909999999999</v>
      </c>
      <c r="T370">
        <v>-0.1835406</v>
      </c>
      <c r="U370">
        <v>-3.2830509999999999</v>
      </c>
      <c r="V370">
        <v>9.9701079999999997E-2</v>
      </c>
      <c r="W370">
        <v>0.1174047</v>
      </c>
      <c r="X370">
        <v>0.98806669999999996</v>
      </c>
      <c r="Y370">
        <v>0.47208670000000003</v>
      </c>
      <c r="Z370">
        <v>4.6463190000000001E-2</v>
      </c>
      <c r="AA370">
        <v>0.88032679999999996</v>
      </c>
      <c r="AB370">
        <v>27</v>
      </c>
      <c r="AC370">
        <v>-2.3574999999999799</v>
      </c>
      <c r="AD370">
        <v>-1.0918714506080001</v>
      </c>
      <c r="AE370">
        <v>-19.277999999999999</v>
      </c>
      <c r="AF370">
        <v>9.2441294966437599</v>
      </c>
      <c r="AG370">
        <v>-1.0918714506080001</v>
      </c>
      <c r="AH370">
        <v>17.010939134495899</v>
      </c>
      <c r="AI370">
        <v>93.227895675265003</v>
      </c>
      <c r="AJ370">
        <v>61.479341519369598</v>
      </c>
      <c r="AK370">
        <v>19.391187783446799</v>
      </c>
    </row>
    <row r="371" spans="1:37" x14ac:dyDescent="0.2">
      <c r="A371" t="str">
        <f>"20200111150513123"</f>
        <v>20200111150513123</v>
      </c>
      <c r="B371" t="str">
        <f>"1578726313114499"</f>
        <v>1578726313114499</v>
      </c>
      <c r="C371" t="s">
        <v>37</v>
      </c>
      <c r="D371">
        <v>5.3716339999999896</v>
      </c>
      <c r="E371">
        <v>0.66183380000000003</v>
      </c>
      <c r="F371" t="s">
        <v>39</v>
      </c>
      <c r="G371">
        <v>-193.8373</v>
      </c>
      <c r="H371" s="1">
        <v>-1.480521E-6</v>
      </c>
      <c r="I371">
        <v>330.66019999999997</v>
      </c>
      <c r="J371">
        <v>-191.30449999999999</v>
      </c>
      <c r="K371">
        <v>1.091893</v>
      </c>
      <c r="L371">
        <v>349.64019999999999</v>
      </c>
      <c r="M371">
        <v>0.35142040000000002</v>
      </c>
      <c r="N371">
        <v>0</v>
      </c>
      <c r="O371">
        <v>-0.936088699999999</v>
      </c>
      <c r="P371">
        <v>0.2614976</v>
      </c>
      <c r="Q371">
        <v>0.10399949999999999</v>
      </c>
      <c r="R371">
        <v>-0.95958480000000002</v>
      </c>
      <c r="S371">
        <v>-0.41546629999999901</v>
      </c>
      <c r="T371">
        <v>-0.18579489999999901</v>
      </c>
      <c r="U371">
        <v>-3.2774049999999999</v>
      </c>
      <c r="V371">
        <v>9.5765719999999999E-2</v>
      </c>
      <c r="W371">
        <v>0.1167393</v>
      </c>
      <c r="X371">
        <v>0.98853469999999999</v>
      </c>
      <c r="Y371">
        <v>0.46622469999999999</v>
      </c>
      <c r="Z371">
        <v>4.7688429999999997E-2</v>
      </c>
      <c r="AA371">
        <v>0.8833801</v>
      </c>
      <c r="AB371">
        <v>27</v>
      </c>
      <c r="AC371">
        <v>-2.5327999999999999</v>
      </c>
      <c r="AD371">
        <v>-1.091894480521</v>
      </c>
      <c r="AE371">
        <v>-18.98</v>
      </c>
      <c r="AF371">
        <v>9.0126711961272097</v>
      </c>
      <c r="AG371">
        <v>-1.091894480521</v>
      </c>
      <c r="AH371">
        <v>16.824219048161499</v>
      </c>
      <c r="AI371">
        <v>93.274243518680706</v>
      </c>
      <c r="AJ371">
        <v>61.822212453965399</v>
      </c>
      <c r="AK371">
        <v>19.1173958013798</v>
      </c>
    </row>
    <row r="372" spans="1:37" x14ac:dyDescent="0.2">
      <c r="A372" t="str">
        <f>"20200111150513144"</f>
        <v>20200111150513144</v>
      </c>
      <c r="B372" t="str">
        <f>"1578726313134995"</f>
        <v>1578726313134995</v>
      </c>
      <c r="C372" t="s">
        <v>37</v>
      </c>
      <c r="D372">
        <v>5.3531170000000001</v>
      </c>
      <c r="E372">
        <v>0.66111690000000001</v>
      </c>
      <c r="F372" t="s">
        <v>39</v>
      </c>
      <c r="G372">
        <v>-193.9333</v>
      </c>
      <c r="H372" s="1">
        <v>-1.5158299999999999E-6</v>
      </c>
      <c r="I372">
        <v>330.68299999999999</v>
      </c>
      <c r="J372">
        <v>-191.22579999999999</v>
      </c>
      <c r="K372">
        <v>1.0919159999999899</v>
      </c>
      <c r="L372">
        <v>349.38420000000002</v>
      </c>
      <c r="M372">
        <v>0.33699009999999902</v>
      </c>
      <c r="N372">
        <v>0</v>
      </c>
      <c r="O372">
        <v>-0.94137979999999999</v>
      </c>
      <c r="P372">
        <v>0.25114209999999998</v>
      </c>
      <c r="Q372">
        <v>0.1029757</v>
      </c>
      <c r="R372">
        <v>-0.96245740000000002</v>
      </c>
      <c r="S372">
        <v>-0.45349119999999998</v>
      </c>
      <c r="T372">
        <v>-0.18836449999999999</v>
      </c>
      <c r="U372">
        <v>-3.2703250000000001</v>
      </c>
      <c r="V372">
        <v>9.1214260000000005E-2</v>
      </c>
      <c r="W372">
        <v>0.115858399999999</v>
      </c>
      <c r="X372">
        <v>0.98906859999999996</v>
      </c>
      <c r="Y372">
        <v>0.4629489</v>
      </c>
      <c r="Z372">
        <v>4.8917479999999999E-2</v>
      </c>
      <c r="AA372">
        <v>0.88503410000000005</v>
      </c>
      <c r="AB372">
        <v>27</v>
      </c>
      <c r="AC372">
        <v>-2.7075000000000098</v>
      </c>
      <c r="AD372">
        <v>-1.0919175158299901</v>
      </c>
      <c r="AE372">
        <v>-18.701199999999901</v>
      </c>
      <c r="AF372">
        <v>8.8225156635492699</v>
      </c>
      <c r="AG372">
        <v>-1.0919175158299901</v>
      </c>
      <c r="AH372">
        <v>16.6389896902445</v>
      </c>
      <c r="AI372">
        <v>93.318183426491203</v>
      </c>
      <c r="AJ372">
        <v>62.066058224833696</v>
      </c>
      <c r="AK372">
        <v>18.864915701031101</v>
      </c>
    </row>
    <row r="373" spans="1:37" x14ac:dyDescent="0.2">
      <c r="A373" t="str">
        <f>"20200111150513167"</f>
        <v>20200111150513167</v>
      </c>
      <c r="B373" t="str">
        <f>"1578726313165251"</f>
        <v>1578726313165251</v>
      </c>
      <c r="C373" t="s">
        <v>37</v>
      </c>
      <c r="D373">
        <v>5.2871990000000002</v>
      </c>
      <c r="E373">
        <v>0.6599488</v>
      </c>
      <c r="F373" t="s">
        <v>39</v>
      </c>
      <c r="G373">
        <v>-193.95259999999999</v>
      </c>
      <c r="H373" s="1">
        <v>-1.639901E-6</v>
      </c>
      <c r="I373">
        <v>330.96030000000002</v>
      </c>
      <c r="J373">
        <v>-191.14789999999999</v>
      </c>
      <c r="K373">
        <v>1.091955</v>
      </c>
      <c r="L373">
        <v>349.11649999999997</v>
      </c>
      <c r="M373">
        <v>0.32194739999999999</v>
      </c>
      <c r="N373">
        <v>0</v>
      </c>
      <c r="O373">
        <v>-0.94662999999999997</v>
      </c>
      <c r="P373">
        <v>0.23960719999999999</v>
      </c>
      <c r="Q373">
        <v>0.1020551</v>
      </c>
      <c r="R373">
        <v>-0.96549130000000005</v>
      </c>
      <c r="S373">
        <v>-0.48304750000000002</v>
      </c>
      <c r="T373">
        <v>-0.19342979999999901</v>
      </c>
      <c r="U373">
        <v>-3.2637330000000002</v>
      </c>
      <c r="V373">
        <v>8.7273279999999995E-2</v>
      </c>
      <c r="W373">
        <v>0.11506179999999901</v>
      </c>
      <c r="X373">
        <v>0.98951719999999899</v>
      </c>
      <c r="Y373">
        <v>0.45689859999999999</v>
      </c>
      <c r="Z373">
        <v>5.0855070000000002E-2</v>
      </c>
      <c r="AA373">
        <v>0.88806379999999996</v>
      </c>
      <c r="AB373">
        <v>27</v>
      </c>
      <c r="AC373">
        <v>-2.8046999999999902</v>
      </c>
      <c r="AD373">
        <v>-1.0919566399009999</v>
      </c>
      <c r="AE373">
        <v>-18.156199999999899</v>
      </c>
      <c r="AF373">
        <v>8.4714532598404393</v>
      </c>
      <c r="AG373">
        <v>-1.0919566399009999</v>
      </c>
      <c r="AH373">
        <v>16.228871172461201</v>
      </c>
      <c r="AI373">
        <v>93.413496699004597</v>
      </c>
      <c r="AJ373">
        <v>62.435489597481499</v>
      </c>
      <c r="AK373">
        <v>18.339415180682</v>
      </c>
    </row>
    <row r="374" spans="1:37" x14ac:dyDescent="0.2">
      <c r="A374" t="str">
        <f>"20200111150513189"</f>
        <v>20200111150513189</v>
      </c>
      <c r="B374" t="str">
        <f>"1578726313184771"</f>
        <v>1578726313184771</v>
      </c>
      <c r="C374" t="s">
        <v>37</v>
      </c>
      <c r="D374">
        <v>5.2113199999999997</v>
      </c>
      <c r="E374">
        <v>0.659215</v>
      </c>
      <c r="F374" t="s">
        <v>39</v>
      </c>
      <c r="G374">
        <v>-193.916</v>
      </c>
      <c r="H374" s="1">
        <v>-1.863813E-6</v>
      </c>
      <c r="I374">
        <v>331.50490000000002</v>
      </c>
      <c r="J374">
        <v>-191.0771</v>
      </c>
      <c r="K374">
        <v>1.0920270000000001</v>
      </c>
      <c r="L374">
        <v>348.85809999999998</v>
      </c>
      <c r="M374">
        <v>0.30749729999999997</v>
      </c>
      <c r="N374">
        <v>0</v>
      </c>
      <c r="O374">
        <v>-0.9514224</v>
      </c>
      <c r="P374">
        <v>0.22779389999999999</v>
      </c>
      <c r="Q374">
        <v>0.10010239999999999</v>
      </c>
      <c r="R374">
        <v>-0.96855049999999898</v>
      </c>
      <c r="S374">
        <v>-0.51167299999999905</v>
      </c>
      <c r="T374">
        <v>-0.201849</v>
      </c>
      <c r="U374">
        <v>-3.2555239999999999</v>
      </c>
      <c r="V374">
        <v>8.4277229999999995E-2</v>
      </c>
      <c r="W374">
        <v>0.1132029</v>
      </c>
      <c r="X374">
        <v>0.98999110000000001</v>
      </c>
      <c r="Y374">
        <v>0.45127879999999998</v>
      </c>
      <c r="Z374">
        <v>5.3690639999999998E-2</v>
      </c>
      <c r="AA374">
        <v>0.89076639999999996</v>
      </c>
      <c r="AB374">
        <v>27</v>
      </c>
      <c r="AC374">
        <v>-2.83889999999999</v>
      </c>
      <c r="AD374">
        <v>-1.092028863813</v>
      </c>
      <c r="AE374">
        <v>-17.353199999999902</v>
      </c>
      <c r="AF374">
        <v>8.0071403797721192</v>
      </c>
      <c r="AG374">
        <v>-1.092028863813</v>
      </c>
      <c r="AH374">
        <v>15.579065442927501</v>
      </c>
      <c r="AI374">
        <v>93.567402293396597</v>
      </c>
      <c r="AJ374">
        <v>62.7982884934071</v>
      </c>
      <c r="AK374">
        <v>17.550330600185202</v>
      </c>
    </row>
    <row r="375" spans="1:37" x14ac:dyDescent="0.2">
      <c r="A375" t="str">
        <f>"20200111150513213"</f>
        <v>20200111150513213</v>
      </c>
      <c r="B375" t="str">
        <f>"1578726313205267"</f>
        <v>1578726313205267</v>
      </c>
      <c r="C375" t="s">
        <v>37</v>
      </c>
      <c r="D375">
        <v>5.2089780000000001</v>
      </c>
      <c r="E375">
        <v>0.65838960000000002</v>
      </c>
      <c r="F375" t="s">
        <v>39</v>
      </c>
      <c r="G375">
        <v>-193.88820000000001</v>
      </c>
      <c r="H375" s="1">
        <v>-2.1076610000000001E-6</v>
      </c>
      <c r="I375">
        <v>332.09059999999999</v>
      </c>
      <c r="J375">
        <v>-191.00649999999999</v>
      </c>
      <c r="K375">
        <v>1.092131</v>
      </c>
      <c r="L375">
        <v>348.5847</v>
      </c>
      <c r="M375">
        <v>0.29233109999999901</v>
      </c>
      <c r="N375">
        <v>0</v>
      </c>
      <c r="O375">
        <v>-0.95619149999999997</v>
      </c>
      <c r="P375">
        <v>0.21407599999999999</v>
      </c>
      <c r="Q375">
        <v>9.7659990000000002E-2</v>
      </c>
      <c r="R375">
        <v>-0.97192299999999998</v>
      </c>
      <c r="S375">
        <v>-0.54441830000000002</v>
      </c>
      <c r="T375">
        <v>-0.21149179999999901</v>
      </c>
      <c r="U375">
        <v>-3.2473450000000001</v>
      </c>
      <c r="V375">
        <v>8.2503720000000003E-2</v>
      </c>
      <c r="W375">
        <v>0.1108171</v>
      </c>
      <c r="X375">
        <v>0.99041039999999902</v>
      </c>
      <c r="Y375">
        <v>0.44614929999999903</v>
      </c>
      <c r="Z375">
        <v>5.6887500000000001E-2</v>
      </c>
      <c r="AA375">
        <v>0.89314869999999902</v>
      </c>
      <c r="AB375">
        <v>27</v>
      </c>
      <c r="AC375">
        <v>-2.8817000000000199</v>
      </c>
      <c r="AD375">
        <v>-1.0921331076609999</v>
      </c>
      <c r="AE375">
        <v>-16.4941</v>
      </c>
      <c r="AF375">
        <v>7.5460026412669601</v>
      </c>
      <c r="AG375">
        <v>-1.0921331076609999</v>
      </c>
      <c r="AH375">
        <v>14.8676495038958</v>
      </c>
      <c r="AI375">
        <v>93.747695461518603</v>
      </c>
      <c r="AJ375">
        <v>63.0901517401539</v>
      </c>
      <c r="AK375">
        <v>16.708737605143899</v>
      </c>
    </row>
    <row r="376" spans="1:37" x14ac:dyDescent="0.2">
      <c r="A376" t="str">
        <f>"20200111150513235"</f>
        <v>20200111150513235</v>
      </c>
      <c r="B376" t="str">
        <f>"1578726313224787"</f>
        <v>1578726313224787</v>
      </c>
      <c r="C376" t="s">
        <v>37</v>
      </c>
      <c r="D376">
        <v>5.1689020000000001</v>
      </c>
      <c r="E376">
        <v>0.6575995</v>
      </c>
      <c r="F376" t="s">
        <v>39</v>
      </c>
      <c r="G376">
        <v>-193.9299</v>
      </c>
      <c r="H376" s="1">
        <v>-2.240647E-6</v>
      </c>
      <c r="I376">
        <v>332.37470000000002</v>
      </c>
      <c r="J376">
        <v>-190.94149999999999</v>
      </c>
      <c r="K376">
        <v>1.092279</v>
      </c>
      <c r="L376">
        <v>348.31479999999999</v>
      </c>
      <c r="M376">
        <v>0.27756759999999903</v>
      </c>
      <c r="N376">
        <v>0</v>
      </c>
      <c r="O376">
        <v>-0.96058149999999998</v>
      </c>
      <c r="P376">
        <v>0.19853209999999999</v>
      </c>
      <c r="Q376">
        <v>9.5408309999999996E-2</v>
      </c>
      <c r="R376">
        <v>-0.97543959999999996</v>
      </c>
      <c r="S376">
        <v>-0.58381649999999996</v>
      </c>
      <c r="T376">
        <v>-0.218101499999999</v>
      </c>
      <c r="U376">
        <v>-3.2371829999999999</v>
      </c>
      <c r="V376">
        <v>8.3015950000000005E-2</v>
      </c>
      <c r="W376">
        <v>0.1085535</v>
      </c>
      <c r="X376">
        <v>0.99061819999999901</v>
      </c>
      <c r="Y376">
        <v>0.44334579999999901</v>
      </c>
      <c r="Z376">
        <v>5.9266079999999999E-2</v>
      </c>
      <c r="AA376">
        <v>0.8943892</v>
      </c>
      <c r="AB376">
        <v>27</v>
      </c>
      <c r="AC376">
        <v>-2.9884000000000102</v>
      </c>
      <c r="AD376">
        <v>-1.0922812406469999</v>
      </c>
      <c r="AE376">
        <v>-15.9400999999999</v>
      </c>
      <c r="AF376">
        <v>7.2629846895541403</v>
      </c>
      <c r="AG376">
        <v>-1.0922812406469999</v>
      </c>
      <c r="AH376">
        <v>14.4186114986923</v>
      </c>
      <c r="AI376">
        <v>93.870518589251901</v>
      </c>
      <c r="AJ376">
        <v>63.264558243312202</v>
      </c>
      <c r="AK376">
        <v>16.181482702755901</v>
      </c>
    </row>
    <row r="377" spans="1:37" x14ac:dyDescent="0.2">
      <c r="A377" t="str">
        <f>"20200111150513258"</f>
        <v>20200111150513258</v>
      </c>
      <c r="B377" t="str">
        <f>"1578726313255043"</f>
        <v>1578726313255043</v>
      </c>
      <c r="C377" t="s">
        <v>37</v>
      </c>
      <c r="D377">
        <v>5.124269</v>
      </c>
      <c r="E377">
        <v>0.65663000000000005</v>
      </c>
      <c r="F377" t="s">
        <v>39</v>
      </c>
      <c r="G377">
        <v>-193.9588</v>
      </c>
      <c r="H377" s="1">
        <v>-2.4443149999999998E-6</v>
      </c>
      <c r="I377">
        <v>332.83150000000001</v>
      </c>
      <c r="J377">
        <v>-190.8784</v>
      </c>
      <c r="K377">
        <v>1.0924799999999999</v>
      </c>
      <c r="L377">
        <v>348.03480000000002</v>
      </c>
      <c r="M377">
        <v>0.26248509999999903</v>
      </c>
      <c r="N377">
        <v>0</v>
      </c>
      <c r="O377">
        <v>-0.96481269999999997</v>
      </c>
      <c r="P377">
        <v>0.18080389999999999</v>
      </c>
      <c r="Q377">
        <v>9.3364569999999994E-2</v>
      </c>
      <c r="R377">
        <v>-0.9790778</v>
      </c>
      <c r="S377">
        <v>-0.62860109999999902</v>
      </c>
      <c r="T377">
        <v>-0.22755990000000001</v>
      </c>
      <c r="U377">
        <v>-3.225708</v>
      </c>
      <c r="V377">
        <v>8.5411769999999998E-2</v>
      </c>
      <c r="W377">
        <v>0.10644339999999999</v>
      </c>
      <c r="X377">
        <v>0.99064359999999996</v>
      </c>
      <c r="Y377">
        <v>0.44181679999999901</v>
      </c>
      <c r="Z377">
        <v>6.2432729999999999E-2</v>
      </c>
      <c r="AA377">
        <v>0.89493020000000001</v>
      </c>
      <c r="AB377">
        <v>27</v>
      </c>
      <c r="AC377">
        <v>-3.0803999999999898</v>
      </c>
      <c r="AD377">
        <v>-1.0924824443150001</v>
      </c>
      <c r="AE377">
        <v>-15.2033</v>
      </c>
      <c r="AF377">
        <v>6.9291092583270997</v>
      </c>
      <c r="AG377">
        <v>-1.0924824443150001</v>
      </c>
      <c r="AH377">
        <v>13.7930144251127</v>
      </c>
      <c r="AI377">
        <v>94.048443735317903</v>
      </c>
      <c r="AJ377">
        <v>63.326708931305802</v>
      </c>
      <c r="AK377">
        <v>15.4742793026473</v>
      </c>
    </row>
    <row r="378" spans="1:37" x14ac:dyDescent="0.2">
      <c r="A378" t="str">
        <f>"20200111150513282"</f>
        <v>20200111150513282</v>
      </c>
      <c r="B378" t="str">
        <f>"1578726313274563"</f>
        <v>1578726313274563</v>
      </c>
      <c r="C378" t="s">
        <v>37</v>
      </c>
      <c r="D378">
        <v>5.2019149999999996</v>
      </c>
      <c r="E378">
        <v>0.62427739999999998</v>
      </c>
      <c r="F378" t="s">
        <v>39</v>
      </c>
      <c r="G378">
        <v>-193.97319999999999</v>
      </c>
      <c r="H378" s="1">
        <v>-2.6703589999999998E-6</v>
      </c>
      <c r="I378">
        <v>333.34949999999998</v>
      </c>
      <c r="J378">
        <v>-190.8203</v>
      </c>
      <c r="K378">
        <v>1.0926910000000001</v>
      </c>
      <c r="L378">
        <v>347.75839999999999</v>
      </c>
      <c r="M378">
        <v>0.2478292</v>
      </c>
      <c r="N378">
        <v>0</v>
      </c>
      <c r="O378">
        <v>-0.96868180000000004</v>
      </c>
      <c r="P378">
        <v>0.1646888</v>
      </c>
      <c r="Q378">
        <v>9.2139780000000004E-2</v>
      </c>
      <c r="R378">
        <v>-0.98203259999999903</v>
      </c>
      <c r="S378">
        <v>-0.67686459999999904</v>
      </c>
      <c r="T378">
        <v>-0.2389395</v>
      </c>
      <c r="U378">
        <v>-3.2118530000000001</v>
      </c>
      <c r="V378">
        <v>8.6615789999999998E-2</v>
      </c>
      <c r="W378">
        <v>0.1051821</v>
      </c>
      <c r="X378">
        <v>0.99067369999999899</v>
      </c>
      <c r="Y378">
        <v>0.44180809999999998</v>
      </c>
      <c r="Z378">
        <v>6.6146419999999997E-2</v>
      </c>
      <c r="AA378">
        <v>0.89466769999999995</v>
      </c>
      <c r="AB378">
        <v>27</v>
      </c>
      <c r="AC378">
        <v>-3.1528999999999798</v>
      </c>
      <c r="AD378">
        <v>-1.092693670359</v>
      </c>
      <c r="AE378">
        <v>-14.408899999999999</v>
      </c>
      <c r="AF378">
        <v>6.5897205984446199</v>
      </c>
      <c r="AG378">
        <v>-1.092693670359</v>
      </c>
      <c r="AH378">
        <v>13.1058886143867</v>
      </c>
      <c r="AI378">
        <v>94.260003818851402</v>
      </c>
      <c r="AJ378">
        <v>63.306471595796502</v>
      </c>
      <c r="AK378">
        <v>14.7099528685689</v>
      </c>
    </row>
    <row r="379" spans="1:37" x14ac:dyDescent="0.2">
      <c r="A379" t="str">
        <f>"20200111150513304"</f>
        <v>20200111150513304</v>
      </c>
      <c r="B379" t="str">
        <f>"1578726313295059"</f>
        <v>1578726313295059</v>
      </c>
      <c r="C379" t="s">
        <v>37</v>
      </c>
      <c r="D379">
        <v>5.1507550000000002</v>
      </c>
      <c r="E379">
        <v>0.62062539999999999</v>
      </c>
      <c r="F379" t="s">
        <v>39</v>
      </c>
      <c r="G379">
        <v>-193.1558</v>
      </c>
      <c r="H379" s="1">
        <v>-1.9709270000000002E-6</v>
      </c>
      <c r="I379">
        <v>332.22609999999997</v>
      </c>
      <c r="J379">
        <v>-190.76609999999999</v>
      </c>
      <c r="K379">
        <v>1.092916</v>
      </c>
      <c r="L379">
        <v>347.48180000000002</v>
      </c>
      <c r="M379">
        <v>0.23343229999999901</v>
      </c>
      <c r="N379">
        <v>0</v>
      </c>
      <c r="O379">
        <v>-0.97225229999999996</v>
      </c>
      <c r="P379">
        <v>0.15047430000000001</v>
      </c>
      <c r="Q379">
        <v>9.1105710000000006E-2</v>
      </c>
      <c r="R379">
        <v>-0.98440749999999999</v>
      </c>
      <c r="S379">
        <v>-0.47445680000000001</v>
      </c>
      <c r="T379">
        <v>-0.22197399999999901</v>
      </c>
      <c r="U379">
        <v>-3.1553040000000001</v>
      </c>
      <c r="V379">
        <v>8.6178050000000006E-2</v>
      </c>
      <c r="W379">
        <v>0.1041559</v>
      </c>
      <c r="X379">
        <v>0.99082029999999999</v>
      </c>
      <c r="Y379">
        <v>0.37511459999999902</v>
      </c>
      <c r="Z379">
        <v>6.4328860000000002E-2</v>
      </c>
      <c r="AA379">
        <v>0.92474369999999995</v>
      </c>
      <c r="AB379">
        <v>27</v>
      </c>
      <c r="AC379">
        <v>-2.3896999999999999</v>
      </c>
      <c r="AD379">
        <v>-1.092917970927</v>
      </c>
      <c r="AE379">
        <v>-15.255699999999999</v>
      </c>
      <c r="AF379">
        <v>5.8559210278372502</v>
      </c>
      <c r="AG379">
        <v>-1.092917970927</v>
      </c>
      <c r="AH379">
        <v>14.2050740789845</v>
      </c>
      <c r="AI379">
        <v>94.068679416397202</v>
      </c>
      <c r="AJ379">
        <v>67.596510985319696</v>
      </c>
      <c r="AK379">
        <v>15.4035843349812</v>
      </c>
    </row>
    <row r="380" spans="1:37" x14ac:dyDescent="0.2">
      <c r="A380" t="str">
        <f>"20200111150513325"</f>
        <v>20200111150513325</v>
      </c>
      <c r="B380" t="str">
        <f>"1578726313315088"</f>
        <v>1578726313315088</v>
      </c>
      <c r="C380" t="s">
        <v>37</v>
      </c>
      <c r="D380">
        <v>5.2526789999999997</v>
      </c>
      <c r="E380">
        <v>0.61647019999999997</v>
      </c>
      <c r="F380" t="s">
        <v>39</v>
      </c>
      <c r="G380">
        <v>-193.20750000000001</v>
      </c>
      <c r="H380" s="1">
        <v>-1.842433E-6</v>
      </c>
      <c r="I380">
        <v>331.89449999999999</v>
      </c>
      <c r="J380">
        <v>-190.71979999999999</v>
      </c>
      <c r="K380">
        <v>1.0931360000000001</v>
      </c>
      <c r="L380">
        <v>347.22800000000001</v>
      </c>
      <c r="M380">
        <v>0.22050520000000001</v>
      </c>
      <c r="N380">
        <v>0</v>
      </c>
      <c r="O380">
        <v>-0.97526619999999997</v>
      </c>
      <c r="P380">
        <v>0.1379446</v>
      </c>
      <c r="Q380">
        <v>9.1137010000000004E-2</v>
      </c>
      <c r="R380">
        <v>-0.98623799999999995</v>
      </c>
      <c r="S380">
        <v>-0.49230959999999901</v>
      </c>
      <c r="T380">
        <v>-0.22038489999999999</v>
      </c>
      <c r="U380">
        <v>-3.1431580000000001</v>
      </c>
      <c r="V380">
        <v>8.5565020000000006E-2</v>
      </c>
      <c r="W380">
        <v>0.104196699999999</v>
      </c>
      <c r="X380">
        <v>0.99086919999999901</v>
      </c>
      <c r="Y380">
        <v>0.36845840000000002</v>
      </c>
      <c r="Z380">
        <v>6.4494860000000001E-2</v>
      </c>
      <c r="AA380">
        <v>0.92740429999999996</v>
      </c>
      <c r="AB380">
        <v>27</v>
      </c>
      <c r="AC380">
        <v>-2.48770000000001</v>
      </c>
      <c r="AD380">
        <v>-1.0931378424330001</v>
      </c>
      <c r="AE380">
        <v>-15.333500000000001</v>
      </c>
      <c r="AF380">
        <v>5.7793442178021097</v>
      </c>
      <c r="AG380">
        <v>-1.0931378424330001</v>
      </c>
      <c r="AH380">
        <v>14.336379915622301</v>
      </c>
      <c r="AI380">
        <v>94.045175936690896</v>
      </c>
      <c r="AJ380">
        <v>68.044434900535904</v>
      </c>
      <c r="AK380">
        <v>15.4960497874607</v>
      </c>
    </row>
    <row r="381" spans="1:37" x14ac:dyDescent="0.2">
      <c r="A381" t="str">
        <f>"20200111150513347"</f>
        <v>20200111150513347</v>
      </c>
      <c r="B381" t="str">
        <f>"1578726313344367"</f>
        <v>1578726313344367</v>
      </c>
      <c r="C381" t="s">
        <v>37</v>
      </c>
      <c r="D381">
        <v>6.0085220000000001</v>
      </c>
      <c r="E381">
        <v>0.61326590000000003</v>
      </c>
      <c r="F381" t="s">
        <v>39</v>
      </c>
      <c r="G381">
        <v>-193.26050000000001</v>
      </c>
      <c r="H381" s="1">
        <v>-1.599772E-6</v>
      </c>
      <c r="I381">
        <v>331.29599999999999</v>
      </c>
      <c r="J381">
        <v>-190.67609999999999</v>
      </c>
      <c r="K381">
        <v>1.0933809999999999</v>
      </c>
      <c r="L381">
        <v>346.97140000000002</v>
      </c>
      <c r="M381">
        <v>0.2077369</v>
      </c>
      <c r="N381">
        <v>0</v>
      </c>
      <c r="O381">
        <v>-0.97806659999999901</v>
      </c>
      <c r="P381">
        <v>0.12511269999999999</v>
      </c>
      <c r="Q381">
        <v>9.1498460000000004E-2</v>
      </c>
      <c r="R381">
        <v>-0.98791469999999904</v>
      </c>
      <c r="S381">
        <v>-0.49942019999999998</v>
      </c>
      <c r="T381">
        <v>-0.21486810000000001</v>
      </c>
      <c r="U381">
        <v>-3.1316220000000001</v>
      </c>
      <c r="V381">
        <v>8.543096E-2</v>
      </c>
      <c r="W381">
        <v>0.104551399999999</v>
      </c>
      <c r="X381">
        <v>0.99084340000000004</v>
      </c>
      <c r="Y381">
        <v>0.35887750000000002</v>
      </c>
      <c r="Z381">
        <v>6.3519510000000001E-2</v>
      </c>
      <c r="AA381">
        <v>0.93122079999999996</v>
      </c>
      <c r="AB381">
        <v>27</v>
      </c>
      <c r="AC381">
        <v>-2.5844000000000098</v>
      </c>
      <c r="AD381">
        <v>-1.0933825997719999</v>
      </c>
      <c r="AE381">
        <v>-15.6754</v>
      </c>
      <c r="AF381">
        <v>5.7574724080225099</v>
      </c>
      <c r="AG381">
        <v>-1.0933825997719999</v>
      </c>
      <c r="AH381">
        <v>14.7266666172415</v>
      </c>
      <c r="AI381">
        <v>93.955613721699095</v>
      </c>
      <c r="AJ381">
        <v>68.646709508161507</v>
      </c>
      <c r="AK381">
        <v>15.849879611340899</v>
      </c>
    </row>
    <row r="382" spans="1:37" x14ac:dyDescent="0.2">
      <c r="A382" t="str">
        <f>"20200111150513370"</f>
        <v>20200111150513370</v>
      </c>
      <c r="B382" t="str">
        <f>"1578726313364864"</f>
        <v>1578726313364864</v>
      </c>
      <c r="C382" t="s">
        <v>37</v>
      </c>
      <c r="D382">
        <v>5.0618439999999998</v>
      </c>
      <c r="E382">
        <v>0.59004040000000002</v>
      </c>
      <c r="F382" t="s">
        <v>39</v>
      </c>
      <c r="G382">
        <v>-193.33179999999999</v>
      </c>
      <c r="H382" s="1">
        <v>-1.4239400000000001E-6</v>
      </c>
      <c r="I382">
        <v>330.84190000000001</v>
      </c>
      <c r="J382">
        <v>-190.6328</v>
      </c>
      <c r="K382">
        <v>1.093653</v>
      </c>
      <c r="L382">
        <v>346.69659999999999</v>
      </c>
      <c r="M382">
        <v>0.19439020000000001</v>
      </c>
      <c r="N382">
        <v>0</v>
      </c>
      <c r="O382">
        <v>-0.9808074</v>
      </c>
      <c r="P382">
        <v>0.11294709999999999</v>
      </c>
      <c r="Q382">
        <v>9.1532509999999997E-2</v>
      </c>
      <c r="R382">
        <v>-0.98937609999999998</v>
      </c>
      <c r="S382">
        <v>-0.51391600000000004</v>
      </c>
      <c r="T382">
        <v>-0.21159239999999899</v>
      </c>
      <c r="U382">
        <v>-3.1213989999999998</v>
      </c>
      <c r="V382">
        <v>8.4049490000000004E-2</v>
      </c>
      <c r="W382">
        <v>0.10460599999999901</v>
      </c>
      <c r="X382">
        <v>0.990955699999999</v>
      </c>
      <c r="Y382">
        <v>0.35084199999999999</v>
      </c>
      <c r="Z382">
        <v>6.3114180000000006E-2</v>
      </c>
      <c r="AA382">
        <v>0.93430539999999995</v>
      </c>
      <c r="AB382">
        <v>27</v>
      </c>
      <c r="AC382">
        <v>-2.6989999999999799</v>
      </c>
      <c r="AD382">
        <v>-1.0936544239399999</v>
      </c>
      <c r="AE382">
        <v>-15.8546999999999</v>
      </c>
      <c r="AF382">
        <v>5.7034803388124704</v>
      </c>
      <c r="AG382">
        <v>-1.0936544239399999</v>
      </c>
      <c r="AH382">
        <v>14.9583005777043</v>
      </c>
      <c r="AI382">
        <v>93.908145703331698</v>
      </c>
      <c r="AJ382">
        <v>69.128551217322894</v>
      </c>
      <c r="AK382">
        <v>16.046075038687</v>
      </c>
    </row>
    <row r="383" spans="1:37" x14ac:dyDescent="0.2">
      <c r="A383" t="str">
        <f>"20200111150513393"</f>
        <v>20200111150513393</v>
      </c>
      <c r="B383" t="str">
        <f>"1578726313384383"</f>
        <v>1578726313384383</v>
      </c>
      <c r="C383" t="s">
        <v>37</v>
      </c>
      <c r="D383">
        <v>5.0320749999999999</v>
      </c>
      <c r="E383">
        <v>0.59470330000000005</v>
      </c>
      <c r="F383" t="s">
        <v>57</v>
      </c>
      <c r="G383">
        <v>-218.67910000000001</v>
      </c>
      <c r="H383">
        <v>4.0070100000000002</v>
      </c>
      <c r="I383">
        <v>114.8531</v>
      </c>
      <c r="J383">
        <v>-190.59379999999999</v>
      </c>
      <c r="K383">
        <v>1.093923</v>
      </c>
      <c r="L383">
        <v>346.4271</v>
      </c>
      <c r="M383">
        <v>0.18163189999999901</v>
      </c>
      <c r="N383">
        <v>0</v>
      </c>
      <c r="O383">
        <v>-0.98325090000000004</v>
      </c>
      <c r="P383">
        <v>0.10238899999999999</v>
      </c>
      <c r="Q383">
        <v>9.0833919999999999E-2</v>
      </c>
      <c r="R383">
        <v>-0.99058860000000004</v>
      </c>
      <c r="S383">
        <v>-0.37150569999999999</v>
      </c>
      <c r="T383">
        <v>3.8590909999999999E-2</v>
      </c>
      <c r="U383">
        <v>-3.0710449999999998</v>
      </c>
      <c r="V383">
        <v>8.1667489999999995E-2</v>
      </c>
      <c r="W383">
        <v>0.1039501</v>
      </c>
      <c r="X383">
        <v>0.99122389999999905</v>
      </c>
      <c r="Y383">
        <v>0.29842570000000002</v>
      </c>
      <c r="Z383">
        <v>-1.192061E-2</v>
      </c>
      <c r="AA383">
        <v>0.95435840000000005</v>
      </c>
      <c r="AB383">
        <v>27</v>
      </c>
      <c r="AC383">
        <v>-28.0853</v>
      </c>
      <c r="AD383">
        <v>2.913087</v>
      </c>
      <c r="AE383">
        <v>-231.57400000000001</v>
      </c>
      <c r="AF383">
        <v>69.673184294680794</v>
      </c>
      <c r="AG383">
        <v>2.913087</v>
      </c>
      <c r="AH383">
        <v>222.58477207567401</v>
      </c>
      <c r="AI383">
        <v>89.284415856053002</v>
      </c>
      <c r="AJ383">
        <v>72.618906853301894</v>
      </c>
      <c r="AK383">
        <v>233.25269440160801</v>
      </c>
    </row>
    <row r="384" spans="1:37" x14ac:dyDescent="0.2">
      <c r="A384" t="str">
        <f>"20200111150513414"</f>
        <v>20200111150513414</v>
      </c>
      <c r="B384" t="str">
        <f>"1578726313404880"</f>
        <v>1578726313404880</v>
      </c>
      <c r="C384" t="s">
        <v>37</v>
      </c>
      <c r="D384">
        <v>5.0924420000000001</v>
      </c>
      <c r="E384">
        <v>0.59168290000000001</v>
      </c>
      <c r="F384" t="s">
        <v>39</v>
      </c>
      <c r="G384">
        <v>-192.72799999999901</v>
      </c>
      <c r="H384" s="1">
        <v>-1.4989959999999899E-6</v>
      </c>
      <c r="I384">
        <v>331.39139999999998</v>
      </c>
      <c r="J384">
        <v>-190.55930000000001</v>
      </c>
      <c r="K384">
        <v>1.094166</v>
      </c>
      <c r="L384">
        <v>346.1669</v>
      </c>
      <c r="M384">
        <v>0.1696328</v>
      </c>
      <c r="N384">
        <v>0</v>
      </c>
      <c r="O384">
        <v>-0.98539299999999996</v>
      </c>
      <c r="P384">
        <v>9.1961689999999999E-2</v>
      </c>
      <c r="Q384">
        <v>9.1734629999999998E-2</v>
      </c>
      <c r="R384">
        <v>-0.99152830000000003</v>
      </c>
      <c r="S384">
        <v>-0.4392395</v>
      </c>
      <c r="T384">
        <v>-0.22514299999999901</v>
      </c>
      <c r="U384">
        <v>-3.0945429999999998</v>
      </c>
      <c r="V384">
        <v>7.9952430000000005E-2</v>
      </c>
      <c r="W384">
        <v>0.10487239999999901</v>
      </c>
      <c r="X384">
        <v>0.99126650000000005</v>
      </c>
      <c r="Y384">
        <v>0.30611319999999997</v>
      </c>
      <c r="Z384">
        <v>6.8893979999999994E-2</v>
      </c>
      <c r="AA384">
        <v>0.94949899999999998</v>
      </c>
      <c r="AB384">
        <v>27</v>
      </c>
      <c r="AC384">
        <v>-2.1686999999999701</v>
      </c>
      <c r="AD384">
        <v>-1.094167498996</v>
      </c>
      <c r="AE384">
        <v>-14.775499999999999</v>
      </c>
      <c r="AF384">
        <v>4.61915808468554</v>
      </c>
      <c r="AG384">
        <v>-1.094167498996</v>
      </c>
      <c r="AH384">
        <v>14.1176052070997</v>
      </c>
      <c r="AI384">
        <v>94.212862904104298</v>
      </c>
      <c r="AJ384">
        <v>71.882352158638696</v>
      </c>
      <c r="AK384">
        <v>14.8943143753146</v>
      </c>
    </row>
    <row r="385" spans="1:37" x14ac:dyDescent="0.2">
      <c r="A385" t="str">
        <f>"20200111150513436"</f>
        <v>20200111150513436</v>
      </c>
      <c r="B385" t="str">
        <f>"1578726313424906"</f>
        <v>1578726313424906</v>
      </c>
      <c r="C385" t="s">
        <v>37</v>
      </c>
      <c r="D385">
        <v>5.052937</v>
      </c>
      <c r="E385">
        <v>0.58962360000000003</v>
      </c>
      <c r="F385" t="s">
        <v>39</v>
      </c>
      <c r="G385">
        <v>-192.70179999999999</v>
      </c>
      <c r="H385" s="1">
        <v>-1.495794E-6</v>
      </c>
      <c r="I385">
        <v>331.40010000000001</v>
      </c>
      <c r="J385">
        <v>-190.52690000000001</v>
      </c>
      <c r="K385">
        <v>1.0943909999999999</v>
      </c>
      <c r="L385">
        <v>345.89940000000001</v>
      </c>
      <c r="M385">
        <v>0.15755189999999999</v>
      </c>
      <c r="N385">
        <v>0</v>
      </c>
      <c r="O385">
        <v>-0.98739759999999999</v>
      </c>
      <c r="P385">
        <v>7.9879560000000002E-2</v>
      </c>
      <c r="Q385">
        <v>9.2348139999999995E-2</v>
      </c>
      <c r="R385">
        <v>-0.99251780000000001</v>
      </c>
      <c r="S385">
        <v>-0.44807429999999898</v>
      </c>
      <c r="T385">
        <v>-0.22883149999999999</v>
      </c>
      <c r="U385">
        <v>-3.0882869999999998</v>
      </c>
      <c r="V385">
        <v>7.9829910000000004E-2</v>
      </c>
      <c r="W385">
        <v>0.10546609999999999</v>
      </c>
      <c r="X385">
        <v>0.99121340000000002</v>
      </c>
      <c r="Y385">
        <v>0.29735709999999999</v>
      </c>
      <c r="Z385">
        <v>7.0466029999999999E-2</v>
      </c>
      <c r="AA385">
        <v>0.95216239999999996</v>
      </c>
      <c r="AB385">
        <v>27</v>
      </c>
      <c r="AC385">
        <v>-2.1748999999999801</v>
      </c>
      <c r="AD385">
        <v>-1.0943924957940001</v>
      </c>
      <c r="AE385">
        <v>-14.4993</v>
      </c>
      <c r="AF385">
        <v>4.4078192737995296</v>
      </c>
      <c r="AG385">
        <v>-1.0943924957940001</v>
      </c>
      <c r="AH385">
        <v>13.898039495667099</v>
      </c>
      <c r="AI385">
        <v>94.292560788039793</v>
      </c>
      <c r="AJ385">
        <v>72.403365717513296</v>
      </c>
      <c r="AK385">
        <v>14.621288161733601</v>
      </c>
    </row>
    <row r="386" spans="1:37" x14ac:dyDescent="0.2">
      <c r="A386" t="str">
        <f>"20200111150513461"</f>
        <v>20200111150513461</v>
      </c>
      <c r="B386" t="str">
        <f>"1578726313455163"</f>
        <v>1578726313455163</v>
      </c>
      <c r="C386" t="s">
        <v>37</v>
      </c>
      <c r="D386">
        <v>5.0906750000000001</v>
      </c>
      <c r="E386">
        <v>0.58570269999999902</v>
      </c>
      <c r="F386" t="s">
        <v>39</v>
      </c>
      <c r="G386">
        <v>-192.7841</v>
      </c>
      <c r="H386" s="1">
        <v>-1.3671870000000001E-6</v>
      </c>
      <c r="I386">
        <v>331.04930000000002</v>
      </c>
      <c r="J386">
        <v>-190.4957</v>
      </c>
      <c r="K386">
        <v>1.094617</v>
      </c>
      <c r="L386">
        <v>345.613</v>
      </c>
      <c r="M386">
        <v>0.1448951</v>
      </c>
      <c r="N386">
        <v>0</v>
      </c>
      <c r="O386">
        <v>-0.98933490000000002</v>
      </c>
      <c r="P386">
        <v>6.8024280000000006E-2</v>
      </c>
      <c r="Q386">
        <v>9.2707830000000005E-2</v>
      </c>
      <c r="R386">
        <v>-0.993367</v>
      </c>
      <c r="S386">
        <v>-0.46838379999999902</v>
      </c>
      <c r="T386">
        <v>-0.22709299999999999</v>
      </c>
      <c r="U386">
        <v>-3.0814819999999998</v>
      </c>
      <c r="V386">
        <v>7.8916440000000004E-2</v>
      </c>
      <c r="W386">
        <v>0.10582179999999999</v>
      </c>
      <c r="X386">
        <v>0.99124869999999898</v>
      </c>
      <c r="Y386">
        <v>0.29156870000000001</v>
      </c>
      <c r="Z386">
        <v>7.0330279999999995E-2</v>
      </c>
      <c r="AA386">
        <v>0.9539609</v>
      </c>
      <c r="AB386">
        <v>26</v>
      </c>
      <c r="AC386">
        <v>-2.28839999999999</v>
      </c>
      <c r="AD386">
        <v>-1.094618367187</v>
      </c>
      <c r="AE386">
        <v>-14.563700000000001</v>
      </c>
      <c r="AF386">
        <v>4.3507025681621201</v>
      </c>
      <c r="AG386">
        <v>-1.094618367187</v>
      </c>
      <c r="AH386">
        <v>14.001171841212599</v>
      </c>
      <c r="AI386">
        <v>94.269727155391607</v>
      </c>
      <c r="AJ386">
        <v>72.737970826914506</v>
      </c>
      <c r="AK386">
        <v>14.70236767101</v>
      </c>
    </row>
    <row r="387" spans="1:37" x14ac:dyDescent="0.2">
      <c r="A387" t="str">
        <f>"20200111150513482"</f>
        <v>20200111150513482</v>
      </c>
      <c r="B387" t="str">
        <f>"1578726313474683"</f>
        <v>1578726313474683</v>
      </c>
      <c r="C387" t="s">
        <v>37</v>
      </c>
      <c r="D387">
        <v>5.194763</v>
      </c>
      <c r="E387">
        <v>0.58383809999999903</v>
      </c>
      <c r="F387" t="s">
        <v>39</v>
      </c>
      <c r="G387">
        <v>-192.767</v>
      </c>
      <c r="H387" s="1">
        <v>-1.288805E-6</v>
      </c>
      <c r="I387">
        <v>330.87720000000002</v>
      </c>
      <c r="J387">
        <v>-190.47030000000001</v>
      </c>
      <c r="K387">
        <v>1.0947979999999999</v>
      </c>
      <c r="L387">
        <v>345.3535</v>
      </c>
      <c r="M387">
        <v>0.13366549999999999</v>
      </c>
      <c r="N387">
        <v>0</v>
      </c>
      <c r="O387">
        <v>-0.99091569999999995</v>
      </c>
      <c r="P387">
        <v>5.892617E-2</v>
      </c>
      <c r="Q387">
        <v>9.1518569999999994E-2</v>
      </c>
      <c r="R387">
        <v>-0.99405840000000001</v>
      </c>
      <c r="S387">
        <v>-0.47377010000000003</v>
      </c>
      <c r="T387">
        <v>-0.228328</v>
      </c>
      <c r="U387">
        <v>-3.0737610000000002</v>
      </c>
      <c r="V387">
        <v>7.668846E-2</v>
      </c>
      <c r="W387">
        <v>0.104660999999999</v>
      </c>
      <c r="X387">
        <v>0.99154679999999995</v>
      </c>
      <c r="Y387">
        <v>0.28269070000000002</v>
      </c>
      <c r="Z387">
        <v>7.1149359999999995E-2</v>
      </c>
      <c r="AA387">
        <v>0.95656869999999905</v>
      </c>
      <c r="AB387">
        <v>26</v>
      </c>
      <c r="AC387">
        <v>-2.29669999999998</v>
      </c>
      <c r="AD387">
        <v>-1.094799288805</v>
      </c>
      <c r="AE387">
        <v>-14.476299999999901</v>
      </c>
      <c r="AF387">
        <v>4.1879159535576598</v>
      </c>
      <c r="AG387">
        <v>-1.094799288805</v>
      </c>
      <c r="AH387">
        <v>13.961453870438699</v>
      </c>
      <c r="AI387">
        <v>94.295393989154704</v>
      </c>
      <c r="AJ387">
        <v>73.302714369899206</v>
      </c>
      <c r="AK387">
        <v>14.617093407829699</v>
      </c>
    </row>
    <row r="388" spans="1:37" x14ac:dyDescent="0.2">
      <c r="A388" t="str">
        <f>"20200111150513503"</f>
        <v>20200111150513503</v>
      </c>
      <c r="B388" t="str">
        <f>"1578726313495178"</f>
        <v>1578726313495178</v>
      </c>
      <c r="C388" t="s">
        <v>37</v>
      </c>
      <c r="D388">
        <v>5.1191699999999898</v>
      </c>
      <c r="E388">
        <v>0.58277519999999905</v>
      </c>
      <c r="F388" t="s">
        <v>39</v>
      </c>
      <c r="G388">
        <v>-192.75960000000001</v>
      </c>
      <c r="H388" s="1">
        <v>-1.3206769999999999E-6</v>
      </c>
      <c r="I388">
        <v>330.95609999999999</v>
      </c>
      <c r="J388">
        <v>-190.4478</v>
      </c>
      <c r="K388">
        <v>1.0949819999999999</v>
      </c>
      <c r="L388">
        <v>345.09519999999998</v>
      </c>
      <c r="M388">
        <v>0.12271069999999901</v>
      </c>
      <c r="N388">
        <v>0</v>
      </c>
      <c r="O388">
        <v>-0.9923324</v>
      </c>
      <c r="P388">
        <v>4.9392989999999998E-2</v>
      </c>
      <c r="Q388">
        <v>9.0948589999999996E-2</v>
      </c>
      <c r="R388">
        <v>-0.99462969999999895</v>
      </c>
      <c r="S388">
        <v>-0.4878845</v>
      </c>
      <c r="T388">
        <v>-0.233319999999999</v>
      </c>
      <c r="U388">
        <v>-3.0683289999999999</v>
      </c>
      <c r="V388">
        <v>7.5185210000000002E-2</v>
      </c>
      <c r="W388">
        <v>0.104101399999999</v>
      </c>
      <c r="X388">
        <v>0.99172079999999996</v>
      </c>
      <c r="Y388">
        <v>0.27661910000000001</v>
      </c>
      <c r="Z388">
        <v>7.3024329999999998E-2</v>
      </c>
      <c r="AA388">
        <v>0.95820110000000003</v>
      </c>
      <c r="AB388">
        <v>26</v>
      </c>
      <c r="AC388">
        <v>-2.3117999999999999</v>
      </c>
      <c r="AD388">
        <v>-1.0949833206769899</v>
      </c>
      <c r="AE388">
        <v>-14.1390999999999</v>
      </c>
      <c r="AF388">
        <v>4.0061318905510204</v>
      </c>
      <c r="AG388">
        <v>-1.0949833206769899</v>
      </c>
      <c r="AH388">
        <v>13.6686629587326</v>
      </c>
      <c r="AI388">
        <v>94.395979202975894</v>
      </c>
      <c r="AJ388">
        <v>73.664730515195501</v>
      </c>
      <c r="AK388">
        <v>14.285672132471699</v>
      </c>
    </row>
    <row r="389" spans="1:37" x14ac:dyDescent="0.2">
      <c r="A389" t="str">
        <f>"20200111150513527"</f>
        <v>20200111150513527</v>
      </c>
      <c r="B389" t="str">
        <f>"1578726313524966"</f>
        <v>1578726313524966</v>
      </c>
      <c r="C389" t="s">
        <v>37</v>
      </c>
      <c r="D389">
        <v>5.1906379999999999</v>
      </c>
      <c r="E389">
        <v>0.56348529999999997</v>
      </c>
      <c r="F389" t="s">
        <v>39</v>
      </c>
      <c r="G389">
        <v>-192.80529999999999</v>
      </c>
      <c r="H389" s="1">
        <v>-1.306556E-6</v>
      </c>
      <c r="I389">
        <v>330.89479999999998</v>
      </c>
      <c r="J389">
        <v>-190.42609999999999</v>
      </c>
      <c r="K389">
        <v>1.095199</v>
      </c>
      <c r="L389">
        <v>344.81299999999999</v>
      </c>
      <c r="M389">
        <v>0.11100160000000001</v>
      </c>
      <c r="N389">
        <v>0</v>
      </c>
      <c r="O389">
        <v>-0.99371139999999902</v>
      </c>
      <c r="P389">
        <v>3.9276980000000003E-2</v>
      </c>
      <c r="Q389">
        <v>9.0817659999999995E-2</v>
      </c>
      <c r="R389">
        <v>-0.99509269999999905</v>
      </c>
      <c r="S389">
        <v>-0.50852969999999997</v>
      </c>
      <c r="T389">
        <v>-0.236187799999999</v>
      </c>
      <c r="U389">
        <v>-3.0630189999999899</v>
      </c>
      <c r="V389">
        <v>7.3516059999999994E-2</v>
      </c>
      <c r="W389">
        <v>0.1039819</v>
      </c>
      <c r="X389">
        <v>0.99185840000000003</v>
      </c>
      <c r="Y389">
        <v>0.27182230000000002</v>
      </c>
      <c r="Z389">
        <v>7.4213589999999996E-2</v>
      </c>
      <c r="AA389">
        <v>0.95948159999999905</v>
      </c>
      <c r="AB389">
        <v>26</v>
      </c>
      <c r="AC389">
        <v>-2.3791999999999902</v>
      </c>
      <c r="AD389">
        <v>-1.0952003065560001</v>
      </c>
      <c r="AE389">
        <v>-13.918200000000001</v>
      </c>
      <c r="AF389">
        <v>3.8862237120506902</v>
      </c>
      <c r="AG389">
        <v>-1.0952003065560001</v>
      </c>
      <c r="AH389">
        <v>13.486908374758</v>
      </c>
      <c r="AI389">
        <v>94.461743443287304</v>
      </c>
      <c r="AJ389">
        <v>73.925777171313896</v>
      </c>
      <c r="AK389">
        <v>14.078312965718</v>
      </c>
    </row>
    <row r="390" spans="1:37" x14ac:dyDescent="0.2">
      <c r="A390" t="str">
        <f>"20200111150513549"</f>
        <v>20200111150513549</v>
      </c>
      <c r="B390" t="str">
        <f>"1578726313544486"</f>
        <v>1578726313544486</v>
      </c>
      <c r="C390" t="s">
        <v>37</v>
      </c>
      <c r="D390">
        <v>5.0965720000000001</v>
      </c>
      <c r="E390">
        <v>0.56225530000000001</v>
      </c>
      <c r="F390" t="s">
        <v>39</v>
      </c>
      <c r="G390">
        <v>-192.1651</v>
      </c>
      <c r="H390" s="1">
        <v>-1.1931709999999999E-6</v>
      </c>
      <c r="I390">
        <v>331.02760000000001</v>
      </c>
      <c r="J390">
        <v>-190.4092</v>
      </c>
      <c r="K390">
        <v>1.095405</v>
      </c>
      <c r="L390">
        <v>344.55900000000003</v>
      </c>
      <c r="M390">
        <v>0.10068919999999899</v>
      </c>
      <c r="N390">
        <v>0</v>
      </c>
      <c r="O390">
        <v>-0.99480990000000002</v>
      </c>
      <c r="P390">
        <v>3.2775980000000003E-2</v>
      </c>
      <c r="Q390">
        <v>9.017348E-2</v>
      </c>
      <c r="R390">
        <v>-0.99538629999999995</v>
      </c>
      <c r="S390">
        <v>-0.38500980000000001</v>
      </c>
      <c r="T390">
        <v>-0.2424799</v>
      </c>
      <c r="U390">
        <v>-3.0521240000000001</v>
      </c>
      <c r="V390">
        <v>6.9643099999999999E-2</v>
      </c>
      <c r="W390">
        <v>0.10339760000000001</v>
      </c>
      <c r="X390">
        <v>0.99219889999999999</v>
      </c>
      <c r="Y390">
        <v>0.22404499999999999</v>
      </c>
      <c r="Z390">
        <v>7.7280520000000005E-2</v>
      </c>
      <c r="AA390">
        <v>0.97150990000000004</v>
      </c>
      <c r="AB390">
        <v>26</v>
      </c>
      <c r="AC390">
        <v>-1.75589999999999</v>
      </c>
      <c r="AD390">
        <v>-1.095406193171</v>
      </c>
      <c r="AE390">
        <v>-13.5314</v>
      </c>
      <c r="AF390">
        <v>3.0896742769328802</v>
      </c>
      <c r="AG390">
        <v>-1.095406193171</v>
      </c>
      <c r="AH390">
        <v>13.200721806763401</v>
      </c>
      <c r="AI390">
        <v>94.619304644819593</v>
      </c>
      <c r="AJ390">
        <v>76.826855501049295</v>
      </c>
      <c r="AK390">
        <v>13.6016564463721</v>
      </c>
    </row>
    <row r="391" spans="1:37" x14ac:dyDescent="0.2">
      <c r="A391" t="str">
        <f>"20200111150513570"</f>
        <v>20200111150513570</v>
      </c>
      <c r="B391" t="str">
        <f>"1578726313564982"</f>
        <v>1578726313564982</v>
      </c>
      <c r="C391" t="s">
        <v>37</v>
      </c>
      <c r="D391">
        <v>5.1546919999999998</v>
      </c>
      <c r="E391">
        <v>0.56031129999999996</v>
      </c>
      <c r="F391" t="s">
        <v>39</v>
      </c>
      <c r="G391">
        <v>-192.12020000000001</v>
      </c>
      <c r="H391" s="1">
        <v>-1.3230439999999901E-6</v>
      </c>
      <c r="I391">
        <v>331.35820000000001</v>
      </c>
      <c r="J391">
        <v>-190.39400000000001</v>
      </c>
      <c r="K391">
        <v>1.095623</v>
      </c>
      <c r="L391">
        <v>344.29129999999998</v>
      </c>
      <c r="M391">
        <v>9.0046539999999994E-2</v>
      </c>
      <c r="N391">
        <v>0</v>
      </c>
      <c r="O391">
        <v>-0.99583069999999896</v>
      </c>
      <c r="P391">
        <v>2.7148559999999999E-2</v>
      </c>
      <c r="Q391">
        <v>8.8934399999999997E-2</v>
      </c>
      <c r="R391">
        <v>-0.99566779999999999</v>
      </c>
      <c r="S391">
        <v>-0.39529419999999998</v>
      </c>
      <c r="T391">
        <v>-0.25307360000000001</v>
      </c>
      <c r="U391">
        <v>-3.0498050000000001</v>
      </c>
      <c r="V391">
        <v>6.4566599999999905E-2</v>
      </c>
      <c r="W391">
        <v>0.10223930000000001</v>
      </c>
      <c r="X391">
        <v>0.99266219999999905</v>
      </c>
      <c r="Y391">
        <v>0.21689819999999899</v>
      </c>
      <c r="Z391">
        <v>8.0870549999999999E-2</v>
      </c>
      <c r="AA391">
        <v>0.97283869999999895</v>
      </c>
      <c r="AB391">
        <v>26</v>
      </c>
      <c r="AC391">
        <v>-1.7262</v>
      </c>
      <c r="AD391">
        <v>-1.0956243230439999</v>
      </c>
      <c r="AE391">
        <v>-12.9330999999999</v>
      </c>
      <c r="AF391">
        <v>2.8636988990060801</v>
      </c>
      <c r="AG391">
        <v>-1.0956243230439999</v>
      </c>
      <c r="AH391">
        <v>12.6359978058116</v>
      </c>
      <c r="AI391">
        <v>94.833556357344904</v>
      </c>
      <c r="AJ391">
        <v>77.230743919137794</v>
      </c>
      <c r="AK391">
        <v>13.0026768240193</v>
      </c>
    </row>
    <row r="392" spans="1:37" x14ac:dyDescent="0.2">
      <c r="A392" t="str">
        <f>"20200111150513594"</f>
        <v>20200111150513594</v>
      </c>
      <c r="B392" t="str">
        <f>"1578726313584503"</f>
        <v>1578726313584503</v>
      </c>
      <c r="C392" t="s">
        <v>37</v>
      </c>
      <c r="D392">
        <v>5.085547</v>
      </c>
      <c r="E392">
        <v>0.55828880000000003</v>
      </c>
      <c r="F392" t="s">
        <v>39</v>
      </c>
      <c r="G392">
        <v>-192.05799999999999</v>
      </c>
      <c r="H392" s="1">
        <v>-1.384252E-6</v>
      </c>
      <c r="I392">
        <v>331.5394</v>
      </c>
      <c r="J392">
        <v>-190.38130000000001</v>
      </c>
      <c r="K392">
        <v>1.0958319999999999</v>
      </c>
      <c r="L392">
        <v>344.0206</v>
      </c>
      <c r="M392">
        <v>7.9527349999999997E-2</v>
      </c>
      <c r="N392">
        <v>0</v>
      </c>
      <c r="O392">
        <v>-0.99672680000000002</v>
      </c>
      <c r="P392">
        <v>2.152975E-2</v>
      </c>
      <c r="Q392">
        <v>8.7886370000000005E-2</v>
      </c>
      <c r="R392">
        <v>-0.99589819999999996</v>
      </c>
      <c r="S392">
        <v>-0.397644</v>
      </c>
      <c r="T392">
        <v>-0.26181789999999999</v>
      </c>
      <c r="U392">
        <v>-3.047272</v>
      </c>
      <c r="V392">
        <v>5.9615269999999998E-2</v>
      </c>
      <c r="W392">
        <v>0.10126499999999999</v>
      </c>
      <c r="X392">
        <v>0.993071699999999</v>
      </c>
      <c r="Y392">
        <v>0.20739109999999999</v>
      </c>
      <c r="Z392">
        <v>8.3911929999999996E-2</v>
      </c>
      <c r="AA392">
        <v>0.97465259999999998</v>
      </c>
      <c r="AB392">
        <v>26</v>
      </c>
      <c r="AC392">
        <v>-1.6766999999999801</v>
      </c>
      <c r="AD392">
        <v>-1.0958333842519901</v>
      </c>
      <c r="AE392">
        <v>-12.481199999999999</v>
      </c>
      <c r="AF392">
        <v>2.6440689774490398</v>
      </c>
      <c r="AG392">
        <v>-1.0958333842519901</v>
      </c>
      <c r="AH392">
        <v>12.215804498560001</v>
      </c>
      <c r="AI392">
        <v>95.010648205452895</v>
      </c>
      <c r="AJ392">
        <v>77.786923056775194</v>
      </c>
      <c r="AK392">
        <v>12.546626284009101</v>
      </c>
    </row>
    <row r="393" spans="1:37" x14ac:dyDescent="0.2">
      <c r="A393" t="str">
        <f>"20200111150513616"</f>
        <v>20200111150513616</v>
      </c>
      <c r="B393" t="str">
        <f>"1578726313604998"</f>
        <v>1578726313604998</v>
      </c>
      <c r="C393" t="s">
        <v>37</v>
      </c>
      <c r="D393">
        <v>5.0856690000000002</v>
      </c>
      <c r="E393">
        <v>0.55615380000000003</v>
      </c>
      <c r="F393" t="s">
        <v>39</v>
      </c>
      <c r="G393">
        <v>-192.01150000000001</v>
      </c>
      <c r="H393" s="1">
        <v>-1.3942279999999899E-6</v>
      </c>
      <c r="I393">
        <v>331.5915</v>
      </c>
      <c r="J393">
        <v>-190.37139999999999</v>
      </c>
      <c r="K393">
        <v>1.09602</v>
      </c>
      <c r="L393">
        <v>343.75349999999997</v>
      </c>
      <c r="M393">
        <v>6.9376880000000002E-2</v>
      </c>
      <c r="N393">
        <v>0</v>
      </c>
      <c r="O393">
        <v>-0.99748519999999896</v>
      </c>
      <c r="P393">
        <v>1.5030150000000001E-2</v>
      </c>
      <c r="Q393">
        <v>8.7149560000000001E-2</v>
      </c>
      <c r="R393">
        <v>-0.99608189999999996</v>
      </c>
      <c r="S393">
        <v>-0.39935300000000001</v>
      </c>
      <c r="T393">
        <v>-0.26844009999999902</v>
      </c>
      <c r="U393">
        <v>-3.04467799999999</v>
      </c>
      <c r="V393">
        <v>5.5926080000000003E-2</v>
      </c>
      <c r="W393">
        <v>0.1005723</v>
      </c>
      <c r="X393">
        <v>0.99335659999999903</v>
      </c>
      <c r="Y393">
        <v>0.1980432</v>
      </c>
      <c r="Z393">
        <v>8.627158E-2</v>
      </c>
      <c r="AA393">
        <v>0.97638930000000002</v>
      </c>
      <c r="AB393">
        <v>26</v>
      </c>
      <c r="AC393">
        <v>-1.6401000000000101</v>
      </c>
      <c r="AD393">
        <v>-1.0960213942279999</v>
      </c>
      <c r="AE393">
        <v>-12.1619999999999</v>
      </c>
      <c r="AF393">
        <v>2.4603730044227898</v>
      </c>
      <c r="AG393">
        <v>-1.0960213942279999</v>
      </c>
      <c r="AH393">
        <v>11.923785182717101</v>
      </c>
      <c r="AI393">
        <v>95.144040740410603</v>
      </c>
      <c r="AJ393">
        <v>78.341124936896406</v>
      </c>
      <c r="AK393">
        <v>12.224211684238901</v>
      </c>
    </row>
    <row r="394" spans="1:37" x14ac:dyDescent="0.2">
      <c r="A394" t="str">
        <f>"20200111150513638"</f>
        <v>20200111150513638</v>
      </c>
      <c r="B394" t="str">
        <f>"1578726313634785"</f>
        <v>1578726313634785</v>
      </c>
      <c r="C394" t="s">
        <v>37</v>
      </c>
      <c r="D394">
        <v>5.1622069999999898</v>
      </c>
      <c r="E394">
        <v>0.55415109999999901</v>
      </c>
      <c r="F394" t="s">
        <v>38</v>
      </c>
      <c r="G394">
        <v>-190.4931</v>
      </c>
      <c r="H394">
        <v>1.0111059999999901</v>
      </c>
      <c r="I394">
        <v>342.83569999999997</v>
      </c>
      <c r="J394">
        <v>-190.364</v>
      </c>
      <c r="K394">
        <v>1.0961700000000001</v>
      </c>
      <c r="L394">
        <v>343.48349999999999</v>
      </c>
      <c r="M394">
        <v>5.9288720000000003E-2</v>
      </c>
      <c r="N394">
        <v>0</v>
      </c>
      <c r="O394">
        <v>-0.99813649999999998</v>
      </c>
      <c r="P394">
        <v>8.8356670000000002E-3</v>
      </c>
      <c r="Q394">
        <v>8.6502350000000006E-2</v>
      </c>
      <c r="R394">
        <v>-0.99621280000000001</v>
      </c>
      <c r="S394">
        <v>-0.40261839999999999</v>
      </c>
      <c r="T394">
        <v>-0.2812636</v>
      </c>
      <c r="U394">
        <v>-3.0424799999999999</v>
      </c>
      <c r="V394">
        <v>5.200805E-2</v>
      </c>
      <c r="W394">
        <v>9.9969799999999998E-2</v>
      </c>
      <c r="X394">
        <v>0.99363029999999997</v>
      </c>
      <c r="Y394">
        <v>0.1891977</v>
      </c>
      <c r="Z394">
        <v>9.0586470000000002E-2</v>
      </c>
      <c r="AA394">
        <v>0.9777517</v>
      </c>
      <c r="AB394">
        <v>26</v>
      </c>
      <c r="AC394">
        <v>-0.129099999999994</v>
      </c>
      <c r="AD394">
        <v>-8.5064000000000195E-2</v>
      </c>
      <c r="AE394">
        <v>-0.64780000000001703</v>
      </c>
      <c r="AF394">
        <v>0.164555068943494</v>
      </c>
      <c r="AG394">
        <v>-8.5064000000000195E-2</v>
      </c>
      <c r="AH394">
        <v>0.62858071609544097</v>
      </c>
      <c r="AI394">
        <v>97.458483310017698</v>
      </c>
      <c r="AJ394">
        <v>75.329852178405503</v>
      </c>
      <c r="AK394">
        <v>0.65530753960110599</v>
      </c>
    </row>
    <row r="395" spans="1:37" x14ac:dyDescent="0.2">
      <c r="A395" t="str">
        <f>"20200111150513674"</f>
        <v>20200111150513674</v>
      </c>
      <c r="B395" t="str">
        <f>"1578726313665041"</f>
        <v>1578726313665041</v>
      </c>
      <c r="C395" t="s">
        <v>37</v>
      </c>
      <c r="D395">
        <v>5.1221209999999999</v>
      </c>
      <c r="E395">
        <v>0.55181459999999904</v>
      </c>
      <c r="F395" t="s">
        <v>38</v>
      </c>
      <c r="G395">
        <v>-190.48230000000001</v>
      </c>
      <c r="H395">
        <v>1.015077</v>
      </c>
      <c r="I395">
        <v>342.59840000000003</v>
      </c>
      <c r="J395">
        <v>-190.35720000000001</v>
      </c>
      <c r="K395">
        <v>1.096373</v>
      </c>
      <c r="L395">
        <v>343.05959999999999</v>
      </c>
      <c r="M395">
        <v>4.3757270000000001E-2</v>
      </c>
      <c r="N395">
        <v>0</v>
      </c>
      <c r="O395">
        <v>-0.99893880000000002</v>
      </c>
      <c r="P395">
        <v>-4.5480190000000004E-3</v>
      </c>
      <c r="Q395">
        <v>8.6839710000000001E-2</v>
      </c>
      <c r="R395">
        <v>-0.99621199999999999</v>
      </c>
      <c r="S395">
        <v>-0.40605159999999901</v>
      </c>
      <c r="T395">
        <v>-0.27835129999999902</v>
      </c>
      <c r="U395">
        <v>-3.0391539999999999</v>
      </c>
      <c r="V395">
        <v>4.9854139999999998E-2</v>
      </c>
      <c r="W395">
        <v>0.100301399999999</v>
      </c>
      <c r="X395">
        <v>0.99370729999999996</v>
      </c>
      <c r="Y395">
        <v>0.1751405</v>
      </c>
      <c r="Z395">
        <v>8.9973810000000001E-2</v>
      </c>
      <c r="AA395">
        <v>0.98042359999999995</v>
      </c>
      <c r="AB395">
        <v>26</v>
      </c>
      <c r="AC395">
        <v>-0.12510000000000299</v>
      </c>
      <c r="AD395">
        <v>-8.1295999999999993E-2</v>
      </c>
      <c r="AE395">
        <v>-0.46119999999996197</v>
      </c>
      <c r="AF395">
        <v>0.14107996936553099</v>
      </c>
      <c r="AG395">
        <v>-8.1295999999999993E-2</v>
      </c>
      <c r="AH395">
        <v>0.44247743196867301</v>
      </c>
      <c r="AI395">
        <v>99.928850879051396</v>
      </c>
      <c r="AJ395">
        <v>72.315583472553598</v>
      </c>
      <c r="AK395">
        <v>0.47148581651389199</v>
      </c>
    </row>
    <row r="396" spans="1:37" x14ac:dyDescent="0.2">
      <c r="A396" t="str">
        <f>"20200111150513694"</f>
        <v>20200111150513694</v>
      </c>
      <c r="B396" t="str">
        <f>"1578726313684561"</f>
        <v>1578726313684561</v>
      </c>
      <c r="C396" t="s">
        <v>37</v>
      </c>
      <c r="D396">
        <v>5.2548149999999998</v>
      </c>
      <c r="E396">
        <v>0.55127979999999999</v>
      </c>
      <c r="F396" t="s">
        <v>38</v>
      </c>
      <c r="G396">
        <v>-190.48929999999999</v>
      </c>
      <c r="H396">
        <v>1.011612</v>
      </c>
      <c r="I396">
        <v>342.12639999999999</v>
      </c>
      <c r="J396">
        <v>-190.3563</v>
      </c>
      <c r="K396">
        <v>1.0964689999999999</v>
      </c>
      <c r="L396">
        <v>342.81880000000001</v>
      </c>
      <c r="M396">
        <v>3.5098079999999997E-2</v>
      </c>
      <c r="N396">
        <v>0</v>
      </c>
      <c r="O396">
        <v>-0.99928099999999997</v>
      </c>
      <c r="P396">
        <v>-1.223631E-2</v>
      </c>
      <c r="Q396">
        <v>8.6704950000000003E-2</v>
      </c>
      <c r="R396">
        <v>-0.99615909999999996</v>
      </c>
      <c r="S396">
        <v>-0.42922969999999999</v>
      </c>
      <c r="T396">
        <v>-0.27552929999999998</v>
      </c>
      <c r="U396">
        <v>-3.0334779999999899</v>
      </c>
      <c r="V396">
        <v>4.8882849999999999E-2</v>
      </c>
      <c r="W396">
        <v>0.1001596</v>
      </c>
      <c r="X396">
        <v>0.99376989999999998</v>
      </c>
      <c r="Y396">
        <v>0.1742107</v>
      </c>
      <c r="Z396">
        <v>8.9240639999999996E-2</v>
      </c>
      <c r="AA396">
        <v>0.98065630000000004</v>
      </c>
      <c r="AB396">
        <v>26</v>
      </c>
      <c r="AC396">
        <v>-0.13299999999998099</v>
      </c>
      <c r="AD396">
        <v>-8.4856999999999905E-2</v>
      </c>
      <c r="AE396">
        <v>-0.69240000000002</v>
      </c>
      <c r="AF396">
        <v>0.15497756043347999</v>
      </c>
      <c r="AG396">
        <v>-8.4856999999999905E-2</v>
      </c>
      <c r="AH396">
        <v>0.677491159345049</v>
      </c>
      <c r="AI396">
        <v>96.961244328875296</v>
      </c>
      <c r="AJ396">
        <v>77.115158274945799</v>
      </c>
      <c r="AK396">
        <v>0.70015214466400899</v>
      </c>
    </row>
    <row r="397" spans="1:37" x14ac:dyDescent="0.2">
      <c r="A397" t="str">
        <f>"20200111150513717"</f>
        <v>20200111150513717</v>
      </c>
      <c r="B397" t="str">
        <f>"1578726313705057"</f>
        <v>1578726313705057</v>
      </c>
      <c r="C397" t="s">
        <v>37</v>
      </c>
      <c r="D397">
        <v>5.2051920000000003</v>
      </c>
      <c r="E397">
        <v>0.54957630000000002</v>
      </c>
      <c r="F397" t="s">
        <v>38</v>
      </c>
      <c r="G397">
        <v>-190.49379999999999</v>
      </c>
      <c r="H397">
        <v>1.0120100000000001</v>
      </c>
      <c r="I397">
        <v>341.88990000000001</v>
      </c>
      <c r="J397">
        <v>-190.35759999999999</v>
      </c>
      <c r="K397">
        <v>1.096562</v>
      </c>
      <c r="L397">
        <v>342.55869999999999</v>
      </c>
      <c r="M397">
        <v>2.5850959999999999E-2</v>
      </c>
      <c r="N397">
        <v>0</v>
      </c>
      <c r="O397">
        <v>-0.99956369999999894</v>
      </c>
      <c r="P397">
        <v>-2.0864520000000001E-2</v>
      </c>
      <c r="Q397">
        <v>8.6252770000000006E-2</v>
      </c>
      <c r="R397">
        <v>-0.99605509999999997</v>
      </c>
      <c r="S397">
        <v>-0.44810489999999997</v>
      </c>
      <c r="T397">
        <v>-0.27535340000000003</v>
      </c>
      <c r="U397">
        <v>-3.0299990000000001</v>
      </c>
      <c r="V397">
        <v>4.8263939999999998E-2</v>
      </c>
      <c r="W397">
        <v>9.9693180000000006E-2</v>
      </c>
      <c r="X397">
        <v>0.99384699999999904</v>
      </c>
      <c r="Y397">
        <v>0.17123920000000001</v>
      </c>
      <c r="Z397">
        <v>8.9307029999999996E-2</v>
      </c>
      <c r="AA397">
        <v>0.98117350000000003</v>
      </c>
      <c r="AB397">
        <v>26</v>
      </c>
      <c r="AC397">
        <v>-0.13620000000000199</v>
      </c>
      <c r="AD397">
        <v>-8.4551999999999905E-2</v>
      </c>
      <c r="AE397">
        <v>-0.66879999999997597</v>
      </c>
      <c r="AF397">
        <v>0.151126114361361</v>
      </c>
      <c r="AG397">
        <v>-8.4551999999999905E-2</v>
      </c>
      <c r="AH397">
        <v>0.65500322518880305</v>
      </c>
      <c r="AI397">
        <v>97.169118903043795</v>
      </c>
      <c r="AJ397">
        <v>77.007748202045406</v>
      </c>
      <c r="AK397">
        <v>0.67750820522979405</v>
      </c>
    </row>
    <row r="398" spans="1:37" x14ac:dyDescent="0.2">
      <c r="A398" t="str">
        <f>"20200111150513740"</f>
        <v>20200111150513740</v>
      </c>
      <c r="B398" t="str">
        <f>"1578726313734844"</f>
        <v>1578726313734844</v>
      </c>
      <c r="C398" t="s">
        <v>37</v>
      </c>
      <c r="D398">
        <v>5.2436470000000002</v>
      </c>
      <c r="E398">
        <v>0.54742309999999905</v>
      </c>
      <c r="F398" t="s">
        <v>38</v>
      </c>
      <c r="G398">
        <v>-190.49529999999999</v>
      </c>
      <c r="H398">
        <v>1.0135459999999901</v>
      </c>
      <c r="I398">
        <v>341.65320000000003</v>
      </c>
      <c r="J398">
        <v>-190.36150000000001</v>
      </c>
      <c r="K398">
        <v>1.09667</v>
      </c>
      <c r="L398">
        <v>342.27530000000002</v>
      </c>
      <c r="M398">
        <v>1.59072E-2</v>
      </c>
      <c r="N398">
        <v>0</v>
      </c>
      <c r="O398">
        <v>-0.99977169999999904</v>
      </c>
      <c r="P398">
        <v>-2.9695309999999999E-2</v>
      </c>
      <c r="Q398">
        <v>8.5507609999999998E-2</v>
      </c>
      <c r="R398">
        <v>-0.99589499999999997</v>
      </c>
      <c r="S398">
        <v>-0.45989989999999997</v>
      </c>
      <c r="T398">
        <v>-0.27734740000000002</v>
      </c>
      <c r="U398">
        <v>-3.0262449999999999</v>
      </c>
      <c r="V398">
        <v>4.7149139999999999E-2</v>
      </c>
      <c r="W398">
        <v>9.8943039999999996E-2</v>
      </c>
      <c r="X398">
        <v>0.99397549999999901</v>
      </c>
      <c r="Y398">
        <v>0.16534299999999999</v>
      </c>
      <c r="Z398">
        <v>9.0106309999999995E-2</v>
      </c>
      <c r="AA398">
        <v>0.98211130000000002</v>
      </c>
      <c r="AB398">
        <v>26</v>
      </c>
      <c r="AC398">
        <v>-0.13379999999997899</v>
      </c>
      <c r="AD398">
        <v>-8.3124000000000198E-2</v>
      </c>
      <c r="AE398">
        <v>-0.622099999999989</v>
      </c>
      <c r="AF398">
        <v>0.14126925483237501</v>
      </c>
      <c r="AG398">
        <v>-8.3124000000000198E-2</v>
      </c>
      <c r="AH398">
        <v>0.60949199779608698</v>
      </c>
      <c r="AI398">
        <v>97.5680121747111</v>
      </c>
      <c r="AJ398">
        <v>76.950303745561996</v>
      </c>
      <c r="AK398">
        <v>0.63114744482914598</v>
      </c>
    </row>
    <row r="399" spans="1:37" x14ac:dyDescent="0.2">
      <c r="A399" t="str">
        <f>"20200111150513763"</f>
        <v>20200111150513763</v>
      </c>
      <c r="B399" t="str">
        <f>"1578726313754364"</f>
        <v>1578726313754364</v>
      </c>
      <c r="C399" t="s">
        <v>37</v>
      </c>
      <c r="D399">
        <v>5.1661950000000001</v>
      </c>
      <c r="E399">
        <v>0.52640120000000001</v>
      </c>
      <c r="F399" t="s">
        <v>38</v>
      </c>
      <c r="G399">
        <v>-190.495</v>
      </c>
      <c r="H399">
        <v>1.016613</v>
      </c>
      <c r="I399">
        <v>341.41609999999997</v>
      </c>
      <c r="J399">
        <v>-190.36779999999999</v>
      </c>
      <c r="K399">
        <v>1.0968</v>
      </c>
      <c r="L399">
        <v>342.00420000000003</v>
      </c>
      <c r="M399">
        <v>6.5393090000000001E-3</v>
      </c>
      <c r="N399">
        <v>0</v>
      </c>
      <c r="O399">
        <v>-0.99987729999999997</v>
      </c>
      <c r="P399">
        <v>-3.6368459999999998E-2</v>
      </c>
      <c r="Q399">
        <v>8.4857109999999999E-2</v>
      </c>
      <c r="R399">
        <v>-0.99572909999999903</v>
      </c>
      <c r="S399">
        <v>-0.46913149999999998</v>
      </c>
      <c r="T399">
        <v>-0.28163059999999901</v>
      </c>
      <c r="U399">
        <v>-3.0225219999999999</v>
      </c>
      <c r="V399">
        <v>4.4453199999999998E-2</v>
      </c>
      <c r="W399">
        <v>9.8316210000000001E-2</v>
      </c>
      <c r="X399">
        <v>0.99416190000000004</v>
      </c>
      <c r="Y399">
        <v>0.15918929999999901</v>
      </c>
      <c r="Z399">
        <v>9.1636960000000003E-2</v>
      </c>
      <c r="AA399">
        <v>0.98298600000000003</v>
      </c>
      <c r="AB399">
        <v>26</v>
      </c>
      <c r="AC399">
        <v>-0.12720000000001599</v>
      </c>
      <c r="AD399">
        <v>-8.0186999999999994E-2</v>
      </c>
      <c r="AE399">
        <v>-0.58810000000005302</v>
      </c>
      <c r="AF399">
        <v>0.128756683185484</v>
      </c>
      <c r="AG399">
        <v>-8.0186999999999994E-2</v>
      </c>
      <c r="AH399">
        <v>0.57700772392980704</v>
      </c>
      <c r="AI399">
        <v>97.724150730882499</v>
      </c>
      <c r="AJ399">
        <v>77.420791066699195</v>
      </c>
      <c r="AK399">
        <v>0.59661222909741296</v>
      </c>
    </row>
    <row r="400" spans="1:37" x14ac:dyDescent="0.2">
      <c r="A400" t="str">
        <f>"20200111150513785"</f>
        <v>20200111150513785</v>
      </c>
      <c r="B400" t="str">
        <f>"1578726313774861"</f>
        <v>1578726313774861</v>
      </c>
      <c r="C400" t="s">
        <v>37</v>
      </c>
      <c r="D400">
        <v>5.1039329999999996</v>
      </c>
      <c r="E400">
        <v>0.52792759999999905</v>
      </c>
      <c r="F400" t="s">
        <v>38</v>
      </c>
      <c r="G400">
        <v>-190.45769999999999</v>
      </c>
      <c r="H400">
        <v>1.0483089999999999</v>
      </c>
      <c r="I400">
        <v>341.16250000000002</v>
      </c>
      <c r="J400">
        <v>-190.37610000000001</v>
      </c>
      <c r="K400">
        <v>1.096935</v>
      </c>
      <c r="L400">
        <v>341.74079999999998</v>
      </c>
      <c r="M400">
        <v>-2.3993E-3</v>
      </c>
      <c r="N400">
        <v>0</v>
      </c>
      <c r="O400">
        <v>-0.99989649999999997</v>
      </c>
      <c r="P400">
        <v>-4.2293900000000002E-2</v>
      </c>
      <c r="Q400">
        <v>8.4159849999999994E-2</v>
      </c>
      <c r="R400">
        <v>-0.9955543</v>
      </c>
      <c r="S400">
        <v>-0.32173160000000001</v>
      </c>
      <c r="T400">
        <v>-0.17366719999999999</v>
      </c>
      <c r="U400">
        <v>-3.0158999999999998</v>
      </c>
      <c r="V400">
        <v>4.1434199999999997E-2</v>
      </c>
      <c r="W400">
        <v>9.7647559999999994E-2</v>
      </c>
      <c r="X400">
        <v>0.99435819999999997</v>
      </c>
      <c r="Y400">
        <v>0.10351680000000001</v>
      </c>
      <c r="Z400">
        <v>5.7172319999999999E-2</v>
      </c>
      <c r="AA400">
        <v>0.99298319999999995</v>
      </c>
      <c r="AB400">
        <v>26</v>
      </c>
      <c r="AC400">
        <v>-8.1599999999980299E-2</v>
      </c>
      <c r="AD400">
        <v>-4.8626000000000003E-2</v>
      </c>
      <c r="AE400">
        <v>-0.57829999999995596</v>
      </c>
      <c r="AF400">
        <v>7.9659894838817705E-2</v>
      </c>
      <c r="AG400">
        <v>-4.8626000000000003E-2</v>
      </c>
      <c r="AH400">
        <v>0.57451152978657305</v>
      </c>
      <c r="AI400">
        <v>94.792287217935296</v>
      </c>
      <c r="AJ400">
        <v>82.105887231406101</v>
      </c>
      <c r="AK400">
        <v>0.58204268278145999</v>
      </c>
    </row>
    <row r="401" spans="1:37" x14ac:dyDescent="0.2">
      <c r="A401" t="str">
        <f>"20200111150513807"</f>
        <v>20200111150513807</v>
      </c>
      <c r="B401" t="str">
        <f>"1578726313805116"</f>
        <v>1578726313805116</v>
      </c>
      <c r="C401" t="s">
        <v>37</v>
      </c>
      <c r="D401">
        <v>5.1906210000000002</v>
      </c>
      <c r="E401">
        <v>0.5268562</v>
      </c>
      <c r="F401" t="s">
        <v>38</v>
      </c>
      <c r="G401">
        <v>-190.46889999999999</v>
      </c>
      <c r="H401">
        <v>1.016267</v>
      </c>
      <c r="I401">
        <v>340.94560000000001</v>
      </c>
      <c r="J401">
        <v>-190.3862</v>
      </c>
      <c r="K401">
        <v>1.097075</v>
      </c>
      <c r="L401">
        <v>341.48450000000003</v>
      </c>
      <c r="M401">
        <v>-1.091137E-2</v>
      </c>
      <c r="N401">
        <v>0</v>
      </c>
      <c r="O401">
        <v>-0.99984019999999996</v>
      </c>
      <c r="P401">
        <v>-4.8244460000000003E-2</v>
      </c>
      <c r="Q401">
        <v>8.4322610000000006E-2</v>
      </c>
      <c r="R401">
        <v>-0.99527009999999905</v>
      </c>
      <c r="S401">
        <v>-0.35255429999999999</v>
      </c>
      <c r="T401">
        <v>-0.30672890000000003</v>
      </c>
      <c r="U401">
        <v>-3.0243229999999999</v>
      </c>
      <c r="V401">
        <v>3.8875670000000001E-2</v>
      </c>
      <c r="W401">
        <v>9.7830749999999994E-2</v>
      </c>
      <c r="X401">
        <v>0.99444349999999904</v>
      </c>
      <c r="Y401">
        <v>0.1043594</v>
      </c>
      <c r="Z401">
        <v>0.1002827</v>
      </c>
      <c r="AA401">
        <v>0.98947079999999998</v>
      </c>
      <c r="AB401">
        <v>26</v>
      </c>
      <c r="AC401">
        <v>-8.2699999999988394E-2</v>
      </c>
      <c r="AD401">
        <v>-8.0807999999999894E-2</v>
      </c>
      <c r="AE401">
        <v>-0.53890000000001204</v>
      </c>
      <c r="AF401">
        <v>7.51631917367378E-2</v>
      </c>
      <c r="AG401">
        <v>-8.0807999999999894E-2</v>
      </c>
      <c r="AH401">
        <v>0.52816777899865097</v>
      </c>
      <c r="AI401">
        <v>98.613160543720696</v>
      </c>
      <c r="AJ401">
        <v>81.900660791263405</v>
      </c>
      <c r="AK401">
        <v>0.53957449997977203</v>
      </c>
    </row>
    <row r="402" spans="1:37" x14ac:dyDescent="0.2">
      <c r="A402" t="str">
        <f>"20200111150513829"</f>
        <v>20200111150513829</v>
      </c>
      <c r="B402" t="str">
        <f>"1578726313825144"</f>
        <v>1578726313825144</v>
      </c>
      <c r="C402" t="s">
        <v>37</v>
      </c>
      <c r="D402">
        <v>5.193079</v>
      </c>
      <c r="E402">
        <v>0.52536660000000002</v>
      </c>
      <c r="F402" t="s">
        <v>38</v>
      </c>
      <c r="G402">
        <v>-190.47909999999999</v>
      </c>
      <c r="H402">
        <v>1.0179940000000001</v>
      </c>
      <c r="I402">
        <v>340.70929999999998</v>
      </c>
      <c r="J402">
        <v>-190.39830000000001</v>
      </c>
      <c r="K402">
        <v>1.0972500000000001</v>
      </c>
      <c r="L402">
        <v>341.22609999999997</v>
      </c>
      <c r="M402">
        <v>-1.9277590000000001E-2</v>
      </c>
      <c r="N402">
        <v>0</v>
      </c>
      <c r="O402">
        <v>-0.99971449999999995</v>
      </c>
      <c r="P402">
        <v>-5.3040169999999998E-2</v>
      </c>
      <c r="Q402">
        <v>8.3730869999999999E-2</v>
      </c>
      <c r="R402">
        <v>-0.99507610000000002</v>
      </c>
      <c r="S402">
        <v>-0.36201479999999903</v>
      </c>
      <c r="T402">
        <v>-0.30828270000000002</v>
      </c>
      <c r="U402">
        <v>-3.022888</v>
      </c>
      <c r="V402">
        <v>3.5290179999999997E-2</v>
      </c>
      <c r="W402">
        <v>9.7274100000000002E-2</v>
      </c>
      <c r="X402">
        <v>0.99463179999999995</v>
      </c>
      <c r="Y402">
        <v>9.9137660000000002E-2</v>
      </c>
      <c r="Z402">
        <v>0.1008223</v>
      </c>
      <c r="AA402">
        <v>0.98995279999999997</v>
      </c>
      <c r="AB402">
        <v>26</v>
      </c>
      <c r="AC402">
        <v>-8.0799999999982206E-2</v>
      </c>
      <c r="AD402">
        <v>-7.9255999999999993E-2</v>
      </c>
      <c r="AE402">
        <v>-0.51679999999998905</v>
      </c>
      <c r="AF402">
        <v>6.9231915617352702E-2</v>
      </c>
      <c r="AG402">
        <v>-7.9255999999999993E-2</v>
      </c>
      <c r="AH402">
        <v>0.50663058681517903</v>
      </c>
      <c r="AI402">
        <v>98.810563320607002</v>
      </c>
      <c r="AJ402">
        <v>82.2186327848422</v>
      </c>
      <c r="AK402">
        <v>0.51744480205403698</v>
      </c>
    </row>
    <row r="403" spans="1:37" x14ac:dyDescent="0.2">
      <c r="A403" t="str">
        <f>"20200111150513850"</f>
        <v>20200111150513850</v>
      </c>
      <c r="B403" t="str">
        <f>"1578726313844664"</f>
        <v>1578726313844664</v>
      </c>
      <c r="C403" t="s">
        <v>37</v>
      </c>
      <c r="D403">
        <v>5.2375819999999997</v>
      </c>
      <c r="E403">
        <v>0.52374430000000005</v>
      </c>
      <c r="F403" t="s">
        <v>38</v>
      </c>
      <c r="G403">
        <v>-190.48949999999999</v>
      </c>
      <c r="H403">
        <v>1.0208549999999901</v>
      </c>
      <c r="I403">
        <v>340.47269999999997</v>
      </c>
      <c r="J403">
        <v>-190.4118</v>
      </c>
      <c r="K403">
        <v>1.097442</v>
      </c>
      <c r="L403">
        <v>340.9778</v>
      </c>
      <c r="M403">
        <v>-2.708472E-2</v>
      </c>
      <c r="N403">
        <v>0</v>
      </c>
      <c r="O403">
        <v>-0.99953400000000003</v>
      </c>
      <c r="P403">
        <v>-5.7987770000000001E-2</v>
      </c>
      <c r="Q403">
        <v>8.2950120000000002E-2</v>
      </c>
      <c r="R403">
        <v>-0.99486549999999996</v>
      </c>
      <c r="S403">
        <v>-0.3648071</v>
      </c>
      <c r="T403">
        <v>-0.3061295</v>
      </c>
      <c r="U403">
        <v>-3.0211790000000001</v>
      </c>
      <c r="V403">
        <v>3.2406890000000001E-2</v>
      </c>
      <c r="W403">
        <v>9.6515210000000004E-2</v>
      </c>
      <c r="X403">
        <v>0.99480380000000002</v>
      </c>
      <c r="Y403">
        <v>9.2340060000000002E-2</v>
      </c>
      <c r="Z403">
        <v>0.1001812</v>
      </c>
      <c r="AA403">
        <v>0.99067499999999997</v>
      </c>
      <c r="AB403">
        <v>26</v>
      </c>
      <c r="AC403">
        <v>-7.7699999999992997E-2</v>
      </c>
      <c r="AD403">
        <v>-7.6587000000000099E-2</v>
      </c>
      <c r="AE403">
        <v>-0.50510000000002697</v>
      </c>
      <c r="AF403">
        <v>6.2584041995432105E-2</v>
      </c>
      <c r="AG403">
        <v>-7.6587000000000099E-2</v>
      </c>
      <c r="AH403">
        <v>0.49588214368730898</v>
      </c>
      <c r="AI403">
        <v>98.7116970151217</v>
      </c>
      <c r="AJ403">
        <v>82.806873946497205</v>
      </c>
      <c r="AK403">
        <v>0.50564951429760896</v>
      </c>
    </row>
    <row r="404" spans="1:37" x14ac:dyDescent="0.2">
      <c r="A404" t="str">
        <f>"20200111150513872"</f>
        <v>20200111150513872</v>
      </c>
      <c r="B404" t="str">
        <f>"1578726313865161"</f>
        <v>1578726313865161</v>
      </c>
      <c r="C404" t="s">
        <v>37</v>
      </c>
      <c r="D404">
        <v>5.2736539999999996</v>
      </c>
      <c r="E404">
        <v>0.52299430000000002</v>
      </c>
      <c r="F404" t="s">
        <v>38</v>
      </c>
      <c r="G404">
        <v>-190.50139999999999</v>
      </c>
      <c r="H404">
        <v>1.0198639999999899</v>
      </c>
      <c r="I404">
        <v>340.23809999999997</v>
      </c>
      <c r="J404">
        <v>-190.42830000000001</v>
      </c>
      <c r="K404">
        <v>1.097677</v>
      </c>
      <c r="L404">
        <v>340.70929999999998</v>
      </c>
      <c r="M404">
        <v>-3.5231749999999999E-2</v>
      </c>
      <c r="N404">
        <v>0</v>
      </c>
      <c r="O404">
        <v>-0.99928050000000002</v>
      </c>
      <c r="P404">
        <v>-6.3901050000000001E-2</v>
      </c>
      <c r="Q404">
        <v>8.2819539999999997E-2</v>
      </c>
      <c r="R404">
        <v>-0.9945138</v>
      </c>
      <c r="S404">
        <v>-0.36567690000000003</v>
      </c>
      <c r="T404">
        <v>-0.31672280000000003</v>
      </c>
      <c r="U404">
        <v>-3.0205989999999998</v>
      </c>
      <c r="V404">
        <v>3.0153699999999999E-2</v>
      </c>
      <c r="W404">
        <v>9.639325E-2</v>
      </c>
      <c r="X404">
        <v>0.99488650000000001</v>
      </c>
      <c r="Y404">
        <v>8.4482000000000002E-2</v>
      </c>
      <c r="Z404">
        <v>0.1036257</v>
      </c>
      <c r="AA404">
        <v>0.99102190000000001</v>
      </c>
      <c r="AB404">
        <v>26</v>
      </c>
      <c r="AC404">
        <v>-7.3099999999982401E-2</v>
      </c>
      <c r="AD404">
        <v>-7.7813000000000104E-2</v>
      </c>
      <c r="AE404">
        <v>-0.47120000000001</v>
      </c>
      <c r="AF404">
        <v>5.4987473788664802E-2</v>
      </c>
      <c r="AG404">
        <v>-7.7813000000000104E-2</v>
      </c>
      <c r="AH404">
        <v>0.46120147153538998</v>
      </c>
      <c r="AI404">
        <v>99.510527260660695</v>
      </c>
      <c r="AJ404">
        <v>83.200915262331407</v>
      </c>
      <c r="AK404">
        <v>0.47094084829102301</v>
      </c>
    </row>
    <row r="405" spans="1:37" x14ac:dyDescent="0.2">
      <c r="A405" t="str">
        <f>"20200111150513897"</f>
        <v>20200111150513897</v>
      </c>
      <c r="B405" t="str">
        <f>"1578726313894440"</f>
        <v>1578726313894440</v>
      </c>
      <c r="C405" t="s">
        <v>37</v>
      </c>
      <c r="D405">
        <v>5.283741</v>
      </c>
      <c r="E405">
        <v>0.52122349999999995</v>
      </c>
      <c r="F405" t="s">
        <v>38</v>
      </c>
      <c r="G405">
        <v>-190.5445</v>
      </c>
      <c r="H405">
        <v>1.002537</v>
      </c>
      <c r="I405">
        <v>339.77839999999998</v>
      </c>
      <c r="J405">
        <v>-190.44749999999999</v>
      </c>
      <c r="K405">
        <v>1.0979459999999901</v>
      </c>
      <c r="L405">
        <v>340.42989999999998</v>
      </c>
      <c r="M405">
        <v>-4.3331809999999998E-2</v>
      </c>
      <c r="N405">
        <v>0</v>
      </c>
      <c r="O405">
        <v>-0.99896269999999998</v>
      </c>
      <c r="P405">
        <v>-6.9505799999999895E-2</v>
      </c>
      <c r="Q405">
        <v>8.4143040000000002E-2</v>
      </c>
      <c r="R405">
        <v>-0.99402669999999904</v>
      </c>
      <c r="S405">
        <v>-0.37655640000000001</v>
      </c>
      <c r="T405">
        <v>-0.30842399999999998</v>
      </c>
      <c r="U405">
        <v>-3.018005</v>
      </c>
      <c r="V405">
        <v>2.7655929999999999E-2</v>
      </c>
      <c r="W405">
        <v>9.7722550000000005E-2</v>
      </c>
      <c r="X405">
        <v>0.99482939999999997</v>
      </c>
      <c r="Y405">
        <v>8.0058050000000006E-2</v>
      </c>
      <c r="Z405">
        <v>0.100972399999999</v>
      </c>
      <c r="AA405">
        <v>0.99166290000000001</v>
      </c>
      <c r="AB405">
        <v>26</v>
      </c>
      <c r="AC405">
        <v>-9.7000000000008399E-2</v>
      </c>
      <c r="AD405">
        <v>-9.54089999999998E-2</v>
      </c>
      <c r="AE405">
        <v>-0.65149999999999797</v>
      </c>
      <c r="AF405">
        <v>6.7264159366264994E-2</v>
      </c>
      <c r="AG405">
        <v>-9.54089999999998E-2</v>
      </c>
      <c r="AH405">
        <v>0.64162946811894594</v>
      </c>
      <c r="AI405">
        <v>98.412357812977106</v>
      </c>
      <c r="AJ405">
        <v>84.015352072478706</v>
      </c>
      <c r="AK405">
        <v>0.65216234081312296</v>
      </c>
    </row>
    <row r="406" spans="1:37" x14ac:dyDescent="0.2">
      <c r="A406" t="str">
        <f>"20200111150513917"</f>
        <v>20200111150513917</v>
      </c>
      <c r="B406" t="str">
        <f>"1578726313905177"</f>
        <v>1578726313905177</v>
      </c>
      <c r="C406" t="s">
        <v>37</v>
      </c>
      <c r="D406">
        <v>5.2615239999999996</v>
      </c>
      <c r="E406">
        <v>0.52082280000000003</v>
      </c>
      <c r="F406" t="s">
        <v>38</v>
      </c>
      <c r="G406">
        <v>-190.55969999999999</v>
      </c>
      <c r="H406">
        <v>1.0104229999999901</v>
      </c>
      <c r="I406">
        <v>339.54059999999998</v>
      </c>
      <c r="J406">
        <v>-190.46530000000001</v>
      </c>
      <c r="K406">
        <v>1.098155</v>
      </c>
      <c r="L406">
        <v>340.19279999999998</v>
      </c>
      <c r="M406">
        <v>-4.9971499999999898E-2</v>
      </c>
      <c r="N406">
        <v>0</v>
      </c>
      <c r="O406">
        <v>-0.99865309999999896</v>
      </c>
      <c r="P406">
        <v>-7.3909370000000002E-2</v>
      </c>
      <c r="Q406">
        <v>8.6052820000000002E-2</v>
      </c>
      <c r="R406">
        <v>-0.99354560000000003</v>
      </c>
      <c r="S406">
        <v>-0.3799438</v>
      </c>
      <c r="T406">
        <v>-0.29681180000000001</v>
      </c>
      <c r="U406">
        <v>-3.0166019999999998</v>
      </c>
      <c r="V406">
        <v>2.5432130000000001E-2</v>
      </c>
      <c r="W406">
        <v>9.9635299999999996E-2</v>
      </c>
      <c r="X406">
        <v>0.99469889999999905</v>
      </c>
      <c r="Y406">
        <v>7.4630509999999997E-2</v>
      </c>
      <c r="Z406">
        <v>9.7220689999999998E-2</v>
      </c>
      <c r="AA406">
        <v>0.99246080000000003</v>
      </c>
      <c r="AB406">
        <v>26</v>
      </c>
      <c r="AC406">
        <v>-9.4399999999978904E-2</v>
      </c>
      <c r="AD406">
        <v>-8.7732000000000102E-2</v>
      </c>
      <c r="AE406">
        <v>-0.65219999999999301</v>
      </c>
      <c r="AF406">
        <v>6.0613171192772798E-2</v>
      </c>
      <c r="AG406">
        <v>-8.7732000000000102E-2</v>
      </c>
      <c r="AH406">
        <v>0.64467683629281303</v>
      </c>
      <c r="AI406">
        <v>97.715976009899805</v>
      </c>
      <c r="AJ406">
        <v>84.628782555704802</v>
      </c>
      <c r="AK406">
        <v>0.65343636537811001</v>
      </c>
    </row>
    <row r="407" spans="1:37" x14ac:dyDescent="0.2">
      <c r="A407" t="str">
        <f>"20200111150513941"</f>
        <v>20200111150513941</v>
      </c>
      <c r="B407" t="str">
        <f>"1578726313934964"</f>
        <v>1578726313934964</v>
      </c>
      <c r="C407" t="s">
        <v>37</v>
      </c>
      <c r="D407">
        <v>5.2781830000000003</v>
      </c>
      <c r="E407">
        <v>0.51897510000000002</v>
      </c>
      <c r="F407" t="s">
        <v>38</v>
      </c>
      <c r="G407">
        <v>-190.58</v>
      </c>
      <c r="H407">
        <v>1.0128520000000001</v>
      </c>
      <c r="I407">
        <v>339.30599999999998</v>
      </c>
      <c r="J407">
        <v>-190.4889</v>
      </c>
      <c r="K407">
        <v>1.098401</v>
      </c>
      <c r="L407">
        <v>339.90159999999997</v>
      </c>
      <c r="M407">
        <v>-5.7784889999999998E-2</v>
      </c>
      <c r="N407">
        <v>0</v>
      </c>
      <c r="O407">
        <v>-0.99823220000000001</v>
      </c>
      <c r="P407">
        <v>-7.9842540000000004E-2</v>
      </c>
      <c r="Q407">
        <v>8.7414499999999895E-2</v>
      </c>
      <c r="R407">
        <v>-0.992967499999999</v>
      </c>
      <c r="S407">
        <v>-0.38987729999999998</v>
      </c>
      <c r="T407">
        <v>-0.2900623</v>
      </c>
      <c r="U407">
        <v>-3.0156559999999999</v>
      </c>
      <c r="V407">
        <v>2.3552239999999999E-2</v>
      </c>
      <c r="W407">
        <v>0.1009898</v>
      </c>
      <c r="X407">
        <v>0.99460859999999995</v>
      </c>
      <c r="Y407">
        <v>7.0109099999999994E-2</v>
      </c>
      <c r="Z407">
        <v>9.4995570000000001E-2</v>
      </c>
      <c r="AA407">
        <v>0.99300580000000005</v>
      </c>
      <c r="AB407">
        <v>26</v>
      </c>
      <c r="AC407">
        <v>-9.1100000000011505E-2</v>
      </c>
      <c r="AD407">
        <v>-8.5548999999999806E-2</v>
      </c>
      <c r="AE407">
        <v>-0.59559999999999003</v>
      </c>
      <c r="AF407">
        <v>5.5410693838740699E-2</v>
      </c>
      <c r="AG407">
        <v>-8.5548999999999806E-2</v>
      </c>
      <c r="AH407">
        <v>0.58801528456978802</v>
      </c>
      <c r="AI407">
        <v>98.241746547726905</v>
      </c>
      <c r="AJ407">
        <v>84.616719337421003</v>
      </c>
      <c r="AK407">
        <v>0.596783839660878</v>
      </c>
    </row>
    <row r="408" spans="1:37" x14ac:dyDescent="0.2">
      <c r="A408" t="str">
        <f>"20200111150513963"</f>
        <v>20200111150513963</v>
      </c>
      <c r="B408" t="str">
        <f>"1578726313954485"</f>
        <v>1578726313954485</v>
      </c>
      <c r="C408" t="s">
        <v>37</v>
      </c>
      <c r="D408">
        <v>5.4377089999999999</v>
      </c>
      <c r="E408">
        <v>0.51864909999999997</v>
      </c>
      <c r="F408" t="s">
        <v>38</v>
      </c>
      <c r="G408">
        <v>-190.5976</v>
      </c>
      <c r="H408">
        <v>1.0220910000000001</v>
      </c>
      <c r="I408">
        <v>339.06819999999999</v>
      </c>
      <c r="J408">
        <v>-190.51089999999999</v>
      </c>
      <c r="K408">
        <v>1.0986260000000001</v>
      </c>
      <c r="L408">
        <v>339.64870000000002</v>
      </c>
      <c r="M408">
        <v>-6.4233219999999994E-2</v>
      </c>
      <c r="N408">
        <v>0</v>
      </c>
      <c r="O408">
        <v>-0.99783860000000002</v>
      </c>
      <c r="P408">
        <v>-8.3177219999999996E-2</v>
      </c>
      <c r="Q408">
        <v>8.9016209999999998E-2</v>
      </c>
      <c r="R408">
        <v>-0.99255139999999997</v>
      </c>
      <c r="S408">
        <v>-0.39250180000000001</v>
      </c>
      <c r="T408">
        <v>-0.27589629999999998</v>
      </c>
      <c r="U408">
        <v>-3.0139469999999999</v>
      </c>
      <c r="V408">
        <v>2.0436119999999999E-2</v>
      </c>
      <c r="W408">
        <v>0.102601199999999</v>
      </c>
      <c r="X408">
        <v>0.99451259999999997</v>
      </c>
      <c r="Y408">
        <v>6.4640240000000002E-2</v>
      </c>
      <c r="Z408">
        <v>9.0404029999999996E-2</v>
      </c>
      <c r="AA408">
        <v>0.99380519999999894</v>
      </c>
      <c r="AB408">
        <v>26</v>
      </c>
      <c r="AC408">
        <v>-8.6700000000007493E-2</v>
      </c>
      <c r="AD408">
        <v>-7.6535000000000006E-2</v>
      </c>
      <c r="AE408">
        <v>-0.58050000000002899</v>
      </c>
      <c r="AF408">
        <v>4.8406875024576898E-2</v>
      </c>
      <c r="AG408">
        <v>-7.6535000000000006E-2</v>
      </c>
      <c r="AH408">
        <v>0.57509204990129503</v>
      </c>
      <c r="AI408">
        <v>97.554149617991598</v>
      </c>
      <c r="AJ408">
        <v>85.188618508640801</v>
      </c>
      <c r="AK408">
        <v>0.582178407049178</v>
      </c>
    </row>
    <row r="409" spans="1:37" x14ac:dyDescent="0.2">
      <c r="A409" t="str">
        <f>"20200111150513984"</f>
        <v>20200111150513984</v>
      </c>
      <c r="B409" t="str">
        <f>"1578726313974981"</f>
        <v>1578726313974981</v>
      </c>
      <c r="C409" t="s">
        <v>37</v>
      </c>
      <c r="D409">
        <v>5.232469</v>
      </c>
      <c r="E409">
        <v>0.50517089999999998</v>
      </c>
      <c r="F409" t="s">
        <v>38</v>
      </c>
      <c r="G409">
        <v>-190.61930000000001</v>
      </c>
      <c r="H409">
        <v>1.0238940000000001</v>
      </c>
      <c r="I409">
        <v>338.83449999999999</v>
      </c>
      <c r="J409">
        <v>-190.53360000000001</v>
      </c>
      <c r="K409">
        <v>1.0988709999999999</v>
      </c>
      <c r="L409">
        <v>339.40289999999999</v>
      </c>
      <c r="M409">
        <v>-7.0157590000000006E-2</v>
      </c>
      <c r="N409">
        <v>0</v>
      </c>
      <c r="O409">
        <v>-0.99743999999999999</v>
      </c>
      <c r="P409">
        <v>-8.6140720000000004E-2</v>
      </c>
      <c r="Q409">
        <v>9.0315499999999896E-2</v>
      </c>
      <c r="R409">
        <v>-0.99218090000000003</v>
      </c>
      <c r="S409">
        <v>-0.40109250000000002</v>
      </c>
      <c r="T409">
        <v>-0.27662989999999998</v>
      </c>
      <c r="U409">
        <v>-3.0137019999999999</v>
      </c>
      <c r="V409">
        <v>1.7457730000000001E-2</v>
      </c>
      <c r="W409">
        <v>0.103905</v>
      </c>
      <c r="X409">
        <v>0.99443400000000004</v>
      </c>
      <c r="Y409">
        <v>6.1506699999999997E-2</v>
      </c>
      <c r="Z409">
        <v>9.0587829999999994E-2</v>
      </c>
      <c r="AA409">
        <v>0.99398729999999902</v>
      </c>
      <c r="AB409">
        <v>26</v>
      </c>
      <c r="AC409">
        <v>-8.5700000000002705E-2</v>
      </c>
      <c r="AD409">
        <v>-7.4976999999999794E-2</v>
      </c>
      <c r="AE409">
        <v>-0.56839999999999602</v>
      </c>
      <c r="AF409">
        <v>4.4844450533484799E-2</v>
      </c>
      <c r="AG409">
        <v>-7.4976999999999794E-2</v>
      </c>
      <c r="AH409">
        <v>0.56342654604064801</v>
      </c>
      <c r="AI409">
        <v>97.556381907149202</v>
      </c>
      <c r="AJ409">
        <v>85.4492868073784</v>
      </c>
      <c r="AK409">
        <v>0.57015966891384395</v>
      </c>
    </row>
    <row r="410" spans="1:37" x14ac:dyDescent="0.2">
      <c r="A410" t="str">
        <f>"20200111150514006"</f>
        <v>20200111150514006</v>
      </c>
      <c r="B410" t="str">
        <f>"1578726313994500"</f>
        <v>1578726313994500</v>
      </c>
      <c r="C410" t="s">
        <v>37</v>
      </c>
      <c r="D410">
        <v>5.2928509999999998</v>
      </c>
      <c r="E410">
        <v>0.50573919999999895</v>
      </c>
      <c r="F410" t="s">
        <v>58</v>
      </c>
      <c r="G410">
        <v>-214.79320000000001</v>
      </c>
      <c r="H410">
        <v>11.11618</v>
      </c>
      <c r="I410">
        <v>98.375469999999893</v>
      </c>
      <c r="J410">
        <v>-190.55779999999999</v>
      </c>
      <c r="K410">
        <v>1.099156</v>
      </c>
      <c r="L410">
        <v>339.15230000000003</v>
      </c>
      <c r="M410">
        <v>-7.5813980000000003E-2</v>
      </c>
      <c r="N410">
        <v>0</v>
      </c>
      <c r="O410">
        <v>-0.99702649999999904</v>
      </c>
      <c r="P410">
        <v>-8.9219569999999998E-2</v>
      </c>
      <c r="Q410">
        <v>9.0086669999999994E-2</v>
      </c>
      <c r="R410">
        <v>-0.99192979999999997</v>
      </c>
      <c r="S410">
        <v>-0.30056759999999999</v>
      </c>
      <c r="T410">
        <v>0.1241109</v>
      </c>
      <c r="U410">
        <v>-2.986237</v>
      </c>
      <c r="V410">
        <v>1.482227E-2</v>
      </c>
      <c r="W410">
        <v>0.103674499999999</v>
      </c>
      <c r="X410">
        <v>0.99450079999999996</v>
      </c>
      <c r="Y410">
        <v>2.4331269999999999E-2</v>
      </c>
      <c r="Z410">
        <v>-4.1236050000000003E-2</v>
      </c>
      <c r="AA410">
        <v>0.99885309999999905</v>
      </c>
      <c r="AB410">
        <v>26</v>
      </c>
      <c r="AC410">
        <v>-24.235399999999998</v>
      </c>
      <c r="AD410">
        <v>10.017023999999999</v>
      </c>
      <c r="AE410">
        <v>-240.77682999999999</v>
      </c>
      <c r="AF410">
        <v>5.8995403479871902</v>
      </c>
      <c r="AG410">
        <v>10.017023999999999</v>
      </c>
      <c r="AH410">
        <v>241.50748429681201</v>
      </c>
      <c r="AI410">
        <v>87.625607554757096</v>
      </c>
      <c r="AJ410">
        <v>88.600658057615604</v>
      </c>
      <c r="AK410">
        <v>241.78711776583299</v>
      </c>
    </row>
    <row r="411" spans="1:37" x14ac:dyDescent="0.2">
      <c r="A411" t="str">
        <f>"20200111150514031"</f>
        <v>20200111150514031</v>
      </c>
      <c r="B411" t="str">
        <f>"1578726314025264"</f>
        <v>1578726314025264</v>
      </c>
      <c r="C411" t="s">
        <v>37</v>
      </c>
      <c r="D411">
        <v>5.2286919999999997</v>
      </c>
      <c r="E411">
        <v>0.50622860000000003</v>
      </c>
      <c r="F411" t="s">
        <v>38</v>
      </c>
      <c r="G411">
        <v>-190.6412</v>
      </c>
      <c r="H411">
        <v>1.0396860000000001</v>
      </c>
      <c r="I411">
        <v>338.35849999999999</v>
      </c>
      <c r="J411">
        <v>-190.58690000000001</v>
      </c>
      <c r="K411">
        <v>1.09954</v>
      </c>
      <c r="L411">
        <v>338.86360000000002</v>
      </c>
      <c r="M411">
        <v>-8.1830139999999996E-2</v>
      </c>
      <c r="N411">
        <v>0</v>
      </c>
      <c r="O411">
        <v>-0.99655149999999904</v>
      </c>
      <c r="P411">
        <v>-9.2333410000000005E-2</v>
      </c>
      <c r="Q411">
        <v>9.0719270000000005E-2</v>
      </c>
      <c r="R411">
        <v>-0.99158709999999906</v>
      </c>
      <c r="S411">
        <v>-0.31681819999999999</v>
      </c>
      <c r="T411">
        <v>-0.22602620000000001</v>
      </c>
      <c r="U411">
        <v>-3.0164490000000002</v>
      </c>
      <c r="V411">
        <v>1.185197E-2</v>
      </c>
      <c r="W411">
        <v>0.10429960000000001</v>
      </c>
      <c r="X411">
        <v>0.99447529999999995</v>
      </c>
      <c r="Y411">
        <v>2.2426689999999999E-2</v>
      </c>
      <c r="Z411">
        <v>7.4134950000000005E-2</v>
      </c>
      <c r="AA411">
        <v>0.99699599999999899</v>
      </c>
      <c r="AB411">
        <v>26</v>
      </c>
      <c r="AC411">
        <v>-5.42999999999835E-2</v>
      </c>
      <c r="AD411">
        <v>-5.9853999999999803E-2</v>
      </c>
      <c r="AE411">
        <v>-0.50510000000002697</v>
      </c>
      <c r="AF411">
        <v>1.2606550449679999E-2</v>
      </c>
      <c r="AG411">
        <v>-5.9853999999999803E-2</v>
      </c>
      <c r="AH411">
        <v>0.50089624787470299</v>
      </c>
      <c r="AI411">
        <v>96.812043892700999</v>
      </c>
      <c r="AJ411">
        <v>88.558284899746795</v>
      </c>
      <c r="AK411">
        <v>0.50461715940423202</v>
      </c>
    </row>
    <row r="412" spans="1:37" x14ac:dyDescent="0.2">
      <c r="A412" t="str">
        <f>"20200111150514074"</f>
        <v>20200111150514074</v>
      </c>
      <c r="B412" t="str">
        <f>"1578726314065280"</f>
        <v>1578726314065280</v>
      </c>
      <c r="C412" t="s">
        <v>37</v>
      </c>
      <c r="D412">
        <v>5.2965790000000004</v>
      </c>
      <c r="E412">
        <v>0.50466659999999997</v>
      </c>
      <c r="F412" t="s">
        <v>38</v>
      </c>
      <c r="G412">
        <v>-190.66810000000001</v>
      </c>
      <c r="H412">
        <v>1.042394</v>
      </c>
      <c r="I412">
        <v>338.12490000000003</v>
      </c>
      <c r="J412">
        <v>-190.63849999999999</v>
      </c>
      <c r="K412">
        <v>1.100292</v>
      </c>
      <c r="L412">
        <v>338.37430000000001</v>
      </c>
      <c r="M412">
        <v>-9.0537439999999997E-2</v>
      </c>
      <c r="N412">
        <v>0</v>
      </c>
      <c r="O412">
        <v>-0.99579910000000005</v>
      </c>
      <c r="P412">
        <v>-9.1776739999999996E-2</v>
      </c>
      <c r="Q412">
        <v>9.2458419999999999E-2</v>
      </c>
      <c r="R412">
        <v>-0.99147799999999997</v>
      </c>
      <c r="S412">
        <v>-0.3306732</v>
      </c>
      <c r="T412">
        <v>-0.2334396</v>
      </c>
      <c r="U412">
        <v>-3.0159910000000001</v>
      </c>
      <c r="V412">
        <v>2.4307980000000001E-3</v>
      </c>
      <c r="W412">
        <v>0.106050299999999</v>
      </c>
      <c r="X412">
        <v>0.99435779999999996</v>
      </c>
      <c r="Y412">
        <v>1.8212300000000001E-2</v>
      </c>
      <c r="Z412">
        <v>7.6462000000000002E-2</v>
      </c>
      <c r="AA412">
        <v>0.99690619999999996</v>
      </c>
      <c r="AB412">
        <v>26</v>
      </c>
      <c r="AC412">
        <v>-2.96000000000162E-2</v>
      </c>
      <c r="AD412">
        <v>-5.7897999999999998E-2</v>
      </c>
      <c r="AE412">
        <v>-0.24939999999998</v>
      </c>
      <c r="AF412">
        <v>6.5482564104537696E-3</v>
      </c>
      <c r="AG412">
        <v>-5.7897999999999998E-2</v>
      </c>
      <c r="AH412">
        <v>0.23838671983468901</v>
      </c>
      <c r="AI412">
        <v>103.646390775973</v>
      </c>
      <c r="AJ412">
        <v>88.426535116049095</v>
      </c>
      <c r="AK412">
        <v>0.245404332193952</v>
      </c>
    </row>
    <row r="413" spans="1:37" x14ac:dyDescent="0.2">
      <c r="A413" t="str">
        <f>"20200111150514096"</f>
        <v>20200111150514096</v>
      </c>
      <c r="B413" t="str">
        <f>"1578726314084800"</f>
        <v>1578726314084800</v>
      </c>
      <c r="C413" t="s">
        <v>37</v>
      </c>
      <c r="D413">
        <v>5.3128869999999999</v>
      </c>
      <c r="E413">
        <v>0.50432029999999906</v>
      </c>
      <c r="F413" t="s">
        <v>38</v>
      </c>
      <c r="G413">
        <v>-190.73699999999999</v>
      </c>
      <c r="H413">
        <v>1.0258039999999999</v>
      </c>
      <c r="I413">
        <v>337.44220000000001</v>
      </c>
      <c r="J413">
        <v>-190.6679</v>
      </c>
      <c r="K413">
        <v>1.1006469999999999</v>
      </c>
      <c r="L413">
        <v>338.1046</v>
      </c>
      <c r="M413">
        <v>-9.4590900000000006E-2</v>
      </c>
      <c r="N413">
        <v>0</v>
      </c>
      <c r="O413">
        <v>-0.99542280000000005</v>
      </c>
      <c r="P413">
        <v>-8.9869649999999995E-2</v>
      </c>
      <c r="Q413">
        <v>9.1710249999999993E-2</v>
      </c>
      <c r="R413">
        <v>-0.99172229999999995</v>
      </c>
      <c r="S413">
        <v>-0.31910709999999998</v>
      </c>
      <c r="T413">
        <v>-0.24124119999999999</v>
      </c>
      <c r="U413">
        <v>-3.0187379999999999</v>
      </c>
      <c r="V413">
        <v>-3.6429879999999898E-3</v>
      </c>
      <c r="W413">
        <v>0.10530489999999899</v>
      </c>
      <c r="X413">
        <v>0.99443329999999996</v>
      </c>
      <c r="Y413">
        <v>1.024684E-2</v>
      </c>
      <c r="Z413">
        <v>7.8906299999999999E-2</v>
      </c>
      <c r="AA413">
        <v>0.99682939999999998</v>
      </c>
      <c r="AB413">
        <v>26</v>
      </c>
      <c r="AC413">
        <v>-6.9099999999991696E-2</v>
      </c>
      <c r="AD413">
        <v>-7.4842999999999701E-2</v>
      </c>
      <c r="AE413">
        <v>-0.662399999999991</v>
      </c>
      <c r="AF413">
        <v>6.0508582943178601E-3</v>
      </c>
      <c r="AG413">
        <v>-7.4842999999999701E-2</v>
      </c>
      <c r="AH413">
        <v>0.65766078583873699</v>
      </c>
      <c r="AI413">
        <v>96.492160667643304</v>
      </c>
      <c r="AJ413">
        <v>89.472860678042395</v>
      </c>
      <c r="AK413">
        <v>0.66193337789019502</v>
      </c>
    </row>
    <row r="414" spans="1:37" x14ac:dyDescent="0.2">
      <c r="A414" t="str">
        <f>"20200111150514121"</f>
        <v>20200111150514121</v>
      </c>
      <c r="B414" t="str">
        <f>"1578726314115056"</f>
        <v>1578726314115056</v>
      </c>
      <c r="C414" t="s">
        <v>37</v>
      </c>
      <c r="D414">
        <v>5.3205140000000002</v>
      </c>
      <c r="E414">
        <v>0.5034419</v>
      </c>
      <c r="F414" t="s">
        <v>38</v>
      </c>
      <c r="G414">
        <v>-190.7603</v>
      </c>
      <c r="H414">
        <v>1.0283519999999999</v>
      </c>
      <c r="I414">
        <v>337.21039999999999</v>
      </c>
      <c r="J414">
        <v>-190.6996</v>
      </c>
      <c r="K414">
        <v>1.10094</v>
      </c>
      <c r="L414">
        <v>337.81990000000002</v>
      </c>
      <c r="M414">
        <v>-9.8432530000000004E-2</v>
      </c>
      <c r="N414">
        <v>0</v>
      </c>
      <c r="O414">
        <v>-0.99505100000000002</v>
      </c>
      <c r="P414">
        <v>-8.8111759999999997E-2</v>
      </c>
      <c r="Q414">
        <v>9.1422199999999995E-2</v>
      </c>
      <c r="R414">
        <v>-0.99190679999999998</v>
      </c>
      <c r="S414">
        <v>-0.31141659999999999</v>
      </c>
      <c r="T414">
        <v>-0.24423719999999999</v>
      </c>
      <c r="U414">
        <v>-3.019409</v>
      </c>
      <c r="V414">
        <v>-9.332435E-3</v>
      </c>
      <c r="W414">
        <v>0.10500950000000001</v>
      </c>
      <c r="X414">
        <v>0.99442739999999996</v>
      </c>
      <c r="Y414">
        <v>3.8445129999999999E-3</v>
      </c>
      <c r="Z414">
        <v>7.9829919999999999E-2</v>
      </c>
      <c r="AA414">
        <v>0.9968011</v>
      </c>
      <c r="AB414">
        <v>26</v>
      </c>
      <c r="AC414">
        <v>-6.0699999999996999E-2</v>
      </c>
      <c r="AD414">
        <v>-7.2588000000000097E-2</v>
      </c>
      <c r="AE414">
        <v>-0.60950000000002502</v>
      </c>
      <c r="AF414">
        <v>3.9939684048886898E-4</v>
      </c>
      <c r="AG414">
        <v>-7.2588000000000097E-2</v>
      </c>
      <c r="AH414">
        <v>0.60403183416418904</v>
      </c>
      <c r="AI414">
        <v>96.852513491726498</v>
      </c>
      <c r="AJ414">
        <v>89.962114993479503</v>
      </c>
      <c r="AK414">
        <v>0.608377871018983</v>
      </c>
    </row>
    <row r="415" spans="1:37" x14ac:dyDescent="0.2">
      <c r="A415" t="str">
        <f>"20200111150514143"</f>
        <v>20200111150514143</v>
      </c>
      <c r="B415" t="str">
        <f>"1578726314134576"</f>
        <v>1578726314134576</v>
      </c>
      <c r="C415" t="s">
        <v>37</v>
      </c>
      <c r="D415">
        <v>5.3208729999999997</v>
      </c>
      <c r="E415">
        <v>0.50242849999999994</v>
      </c>
      <c r="F415" t="s">
        <v>38</v>
      </c>
      <c r="G415">
        <v>-190.78309999999999</v>
      </c>
      <c r="H415">
        <v>1.0334729999999901</v>
      </c>
      <c r="I415">
        <v>336.97550000000001</v>
      </c>
      <c r="J415">
        <v>-190.7276</v>
      </c>
      <c r="K415">
        <v>1.101208</v>
      </c>
      <c r="L415">
        <v>337.57339999999999</v>
      </c>
      <c r="M415">
        <v>-0.1012786</v>
      </c>
      <c r="N415">
        <v>0</v>
      </c>
      <c r="O415">
        <v>-0.99476559999999903</v>
      </c>
      <c r="P415">
        <v>-8.6017339999999998E-2</v>
      </c>
      <c r="Q415">
        <v>9.0904760000000001E-2</v>
      </c>
      <c r="R415">
        <v>-0.99213779999999996</v>
      </c>
      <c r="S415">
        <v>-0.29850769999999999</v>
      </c>
      <c r="T415">
        <v>-0.2413768</v>
      </c>
      <c r="U415">
        <v>-3.0202330000000002</v>
      </c>
      <c r="V415">
        <v>-1.4360360000000001E-2</v>
      </c>
      <c r="W415">
        <v>0.1044803</v>
      </c>
      <c r="X415">
        <v>0.99442330000000001</v>
      </c>
      <c r="Y415">
        <v>-3.253794E-3</v>
      </c>
      <c r="Z415">
        <v>7.8862500000000002E-2</v>
      </c>
      <c r="AA415">
        <v>0.99688019999999999</v>
      </c>
      <c r="AB415">
        <v>26</v>
      </c>
      <c r="AC415">
        <v>-5.5499999999994998E-2</v>
      </c>
      <c r="AD415">
        <v>-6.7735000000000101E-2</v>
      </c>
      <c r="AE415">
        <v>-0.597899999999981</v>
      </c>
      <c r="AF415">
        <v>-5.27831182220678E-3</v>
      </c>
      <c r="AG415">
        <v>-6.7735000000000101E-2</v>
      </c>
      <c r="AH415">
        <v>0.59290214722411005</v>
      </c>
      <c r="AI415">
        <v>96.517137546443195</v>
      </c>
      <c r="AJ415">
        <v>90.510062246605798</v>
      </c>
      <c r="AK415">
        <v>0.59678207662735105</v>
      </c>
    </row>
    <row r="416" spans="1:37" x14ac:dyDescent="0.2">
      <c r="A416" t="str">
        <f>"20200111150514163"</f>
        <v>20200111150514163</v>
      </c>
      <c r="B416" t="str">
        <f>"1578726314155072"</f>
        <v>1578726314155072</v>
      </c>
      <c r="C416" t="s">
        <v>37</v>
      </c>
      <c r="D416">
        <v>5.2244699999999904</v>
      </c>
      <c r="E416">
        <v>0.50299709999999997</v>
      </c>
      <c r="F416" t="s">
        <v>38</v>
      </c>
      <c r="G416">
        <v>-190.80599999999899</v>
      </c>
      <c r="H416">
        <v>1.034697</v>
      </c>
      <c r="I416">
        <v>336.74349999999998</v>
      </c>
      <c r="J416">
        <v>-190.7551</v>
      </c>
      <c r="K416">
        <v>1.10151</v>
      </c>
      <c r="L416">
        <v>337.33240000000001</v>
      </c>
      <c r="M416">
        <v>-0.1035884</v>
      </c>
      <c r="N416">
        <v>0</v>
      </c>
      <c r="O416">
        <v>-0.99452839999999998</v>
      </c>
      <c r="P416">
        <v>-8.3210690000000004E-2</v>
      </c>
      <c r="Q416">
        <v>9.0185689999999999E-2</v>
      </c>
      <c r="R416">
        <v>-0.99244290000000002</v>
      </c>
      <c r="S416">
        <v>-0.28515629999999997</v>
      </c>
      <c r="T416">
        <v>-0.24233689999999999</v>
      </c>
      <c r="U416">
        <v>-3.0212400000000001</v>
      </c>
      <c r="V416">
        <v>-1.9578559999999998E-2</v>
      </c>
      <c r="W416">
        <v>0.1037424</v>
      </c>
      <c r="X416">
        <v>0.9944115</v>
      </c>
      <c r="Y416">
        <v>-9.9751259999999904E-3</v>
      </c>
      <c r="Z416">
        <v>7.9134599999999999E-2</v>
      </c>
      <c r="AA416">
        <v>0.99681399999999998</v>
      </c>
      <c r="AB416">
        <v>26</v>
      </c>
      <c r="AC416">
        <v>-5.0899999999984402E-2</v>
      </c>
      <c r="AD416">
        <v>-6.6812999999999997E-2</v>
      </c>
      <c r="AE416">
        <v>-0.58890000000002296</v>
      </c>
      <c r="AF416">
        <v>-1.02516827359838E-2</v>
      </c>
      <c r="AG416">
        <v>-6.6812999999999997E-2</v>
      </c>
      <c r="AH416">
        <v>0.58354879836339402</v>
      </c>
      <c r="AI416">
        <v>96.530598408282202</v>
      </c>
      <c r="AJ416">
        <v>91.006458653176097</v>
      </c>
      <c r="AK416">
        <v>0.58745065668469598</v>
      </c>
    </row>
    <row r="417" spans="1:37" x14ac:dyDescent="0.2">
      <c r="A417" t="str">
        <f>"20200111150514186"</f>
        <v>20200111150514186</v>
      </c>
      <c r="B417" t="str">
        <f>"1578726314174592"</f>
        <v>1578726314174592</v>
      </c>
      <c r="C417" t="s">
        <v>37</v>
      </c>
      <c r="D417">
        <v>5.1634409999999997</v>
      </c>
      <c r="E417">
        <v>0.50335829999999904</v>
      </c>
      <c r="F417" t="s">
        <v>38</v>
      </c>
      <c r="G417">
        <v>-190.8322</v>
      </c>
      <c r="H417">
        <v>1.0350699999999999</v>
      </c>
      <c r="I417">
        <v>336.50760000000002</v>
      </c>
      <c r="J417">
        <v>-190.7843</v>
      </c>
      <c r="K417">
        <v>1.1018840000000001</v>
      </c>
      <c r="L417">
        <v>337.0779</v>
      </c>
      <c r="M417">
        <v>-0.10554810000000001</v>
      </c>
      <c r="N417">
        <v>0</v>
      </c>
      <c r="O417">
        <v>-0.9943225</v>
      </c>
      <c r="P417">
        <v>-8.0901630000000002E-2</v>
      </c>
      <c r="Q417">
        <v>8.9598220000000006E-2</v>
      </c>
      <c r="R417">
        <v>-0.99268690000000004</v>
      </c>
      <c r="S417">
        <v>-0.28245540000000002</v>
      </c>
      <c r="T417">
        <v>-0.24335860000000001</v>
      </c>
      <c r="U417">
        <v>-3.0212400000000001</v>
      </c>
      <c r="V417">
        <v>-2.3962210000000001E-2</v>
      </c>
      <c r="W417">
        <v>0.10312149999999901</v>
      </c>
      <c r="X417">
        <v>0.99438009999999999</v>
      </c>
      <c r="Y417">
        <v>-1.283132E-2</v>
      </c>
      <c r="Z417">
        <v>7.9443390000000003E-2</v>
      </c>
      <c r="AA417">
        <v>0.9967568</v>
      </c>
      <c r="AB417">
        <v>26</v>
      </c>
      <c r="AC417">
        <v>-4.7899999999998499E-2</v>
      </c>
      <c r="AD417">
        <v>-6.6813999999999901E-2</v>
      </c>
      <c r="AE417">
        <v>-0.57029999999997405</v>
      </c>
      <c r="AF417">
        <v>-1.23982001888788E-2</v>
      </c>
      <c r="AG417">
        <v>-6.6813999999999901E-2</v>
      </c>
      <c r="AH417">
        <v>0.56447659903621905</v>
      </c>
      <c r="AI417">
        <v>96.748766903144201</v>
      </c>
      <c r="AJ417">
        <v>91.258245863984698</v>
      </c>
      <c r="AK417">
        <v>0.56855224634453805</v>
      </c>
    </row>
    <row r="418" spans="1:37" x14ac:dyDescent="0.2">
      <c r="A418" t="str">
        <f>"20200111150514208"</f>
        <v>20200111150514208</v>
      </c>
      <c r="B418" t="str">
        <f>"1578726314204848"</f>
        <v>1578726314204848</v>
      </c>
      <c r="C418" t="s">
        <v>37</v>
      </c>
      <c r="D418">
        <v>5.2263459999999897</v>
      </c>
      <c r="E418">
        <v>0.50368000000000002</v>
      </c>
      <c r="F418" t="s">
        <v>39</v>
      </c>
      <c r="G418">
        <v>-192.05449999999999</v>
      </c>
      <c r="H418" s="1">
        <v>-2.1627690000000001E-6</v>
      </c>
      <c r="I418">
        <v>323.35629999999998</v>
      </c>
      <c r="J418">
        <v>-190.81290000000001</v>
      </c>
      <c r="K418">
        <v>1.102279</v>
      </c>
      <c r="L418">
        <v>336.82749999999999</v>
      </c>
      <c r="M418">
        <v>-0.107029</v>
      </c>
      <c r="N418">
        <v>0</v>
      </c>
      <c r="O418">
        <v>-0.99416459999999995</v>
      </c>
      <c r="P418">
        <v>-7.8141820000000001E-2</v>
      </c>
      <c r="Q418">
        <v>9.0452669999999999E-2</v>
      </c>
      <c r="R418">
        <v>-0.99283060000000001</v>
      </c>
      <c r="S418">
        <v>-0.27967829999999999</v>
      </c>
      <c r="T418">
        <v>-0.24261199999999999</v>
      </c>
      <c r="U418">
        <v>-3.02121</v>
      </c>
      <c r="V418">
        <v>-2.830237E-2</v>
      </c>
      <c r="W418">
        <v>0.1039359</v>
      </c>
      <c r="X418">
        <v>0.99418119999999999</v>
      </c>
      <c r="Y418">
        <v>-1.5226160000000001E-2</v>
      </c>
      <c r="Z418">
        <v>7.9185130000000006E-2</v>
      </c>
      <c r="AA418">
        <v>0.99674359999999995</v>
      </c>
      <c r="AB418">
        <v>26</v>
      </c>
      <c r="AC418">
        <v>-1.2415999999999701</v>
      </c>
      <c r="AD418">
        <v>-1.1022811627689999</v>
      </c>
      <c r="AE418">
        <v>-13.4712</v>
      </c>
      <c r="AF418">
        <v>-0.20610481384878901</v>
      </c>
      <c r="AG418">
        <v>-1.1022811627689999</v>
      </c>
      <c r="AH418">
        <v>13.437494566844901</v>
      </c>
      <c r="AI418">
        <v>94.688938932903795</v>
      </c>
      <c r="AJ418">
        <v>90.878735987875004</v>
      </c>
      <c r="AK418">
        <v>13.4842042104854</v>
      </c>
    </row>
    <row r="419" spans="1:37" x14ac:dyDescent="0.2">
      <c r="A419" t="str">
        <f>"20200111150514231"</f>
        <v>20200111150514231</v>
      </c>
      <c r="B419" t="str">
        <f>"1578726314224367"</f>
        <v>1578726314224367</v>
      </c>
      <c r="C419" t="s">
        <v>37</v>
      </c>
      <c r="D419">
        <v>5.2328589999999897</v>
      </c>
      <c r="E419">
        <v>0.50403790000000004</v>
      </c>
      <c r="F419" t="s">
        <v>39</v>
      </c>
      <c r="G419">
        <v>-192.0615</v>
      </c>
      <c r="H419" s="1">
        <v>-2.060445E-6</v>
      </c>
      <c r="I419">
        <v>323.11349999999999</v>
      </c>
      <c r="J419">
        <v>-190.84209999999999</v>
      </c>
      <c r="K419">
        <v>1.1026609999999999</v>
      </c>
      <c r="L419">
        <v>336.57029999999997</v>
      </c>
      <c r="M419">
        <v>-0.1081112</v>
      </c>
      <c r="N419">
        <v>0</v>
      </c>
      <c r="O419">
        <v>-0.99404809999999999</v>
      </c>
      <c r="P419">
        <v>-7.6649670000000003E-2</v>
      </c>
      <c r="Q419">
        <v>9.1577720000000001E-2</v>
      </c>
      <c r="R419">
        <v>-0.99284399999999995</v>
      </c>
      <c r="S419">
        <v>-0.27514650000000002</v>
      </c>
      <c r="T419">
        <v>-0.24290500000000001</v>
      </c>
      <c r="U419">
        <v>-3.0220950000000002</v>
      </c>
      <c r="V419">
        <v>-3.0963439999999998E-2</v>
      </c>
      <c r="W419">
        <v>0.1050142</v>
      </c>
      <c r="X419">
        <v>0.9939886</v>
      </c>
      <c r="Y419">
        <v>-1.7823990000000001E-2</v>
      </c>
      <c r="Z419">
        <v>7.9246810000000001E-2</v>
      </c>
      <c r="AA419">
        <v>0.99669560000000001</v>
      </c>
      <c r="AB419">
        <v>26</v>
      </c>
      <c r="AC419">
        <v>-1.2194</v>
      </c>
      <c r="AD419">
        <v>-1.1026630604449901</v>
      </c>
      <c r="AE419">
        <v>-13.4567999999999</v>
      </c>
      <c r="AF419">
        <v>-0.24110475956715199</v>
      </c>
      <c r="AG419">
        <v>-1.1026630604449901</v>
      </c>
      <c r="AH419">
        <v>13.4203806652902</v>
      </c>
      <c r="AI419">
        <v>94.696306452993198</v>
      </c>
      <c r="AJ419">
        <v>91.029240491426805</v>
      </c>
      <c r="AK419">
        <v>13.4677620461326</v>
      </c>
    </row>
    <row r="420" spans="1:37" x14ac:dyDescent="0.2">
      <c r="A420" t="str">
        <f>"20200111150514254"</f>
        <v>20200111150514254</v>
      </c>
      <c r="B420" t="str">
        <f>"1578726314244864"</f>
        <v>1578726314244864</v>
      </c>
      <c r="C420" t="s">
        <v>37</v>
      </c>
      <c r="D420">
        <v>5.1379000000000001</v>
      </c>
      <c r="E420">
        <v>0.50435050000000003</v>
      </c>
      <c r="F420" t="s">
        <v>39</v>
      </c>
      <c r="G420">
        <v>-192.08709999999999</v>
      </c>
      <c r="H420" s="1">
        <v>-1.9436450000000001E-6</v>
      </c>
      <c r="I420">
        <v>322.82530000000003</v>
      </c>
      <c r="J420">
        <v>-190.87280000000001</v>
      </c>
      <c r="K420">
        <v>1.1029850000000001</v>
      </c>
      <c r="L420">
        <v>336.29739999999998</v>
      </c>
      <c r="M420">
        <v>-0.1087771</v>
      </c>
      <c r="N420">
        <v>0</v>
      </c>
      <c r="O420">
        <v>-0.99397559999999996</v>
      </c>
      <c r="P420">
        <v>-7.6199729999999993E-2</v>
      </c>
      <c r="Q420">
        <v>9.1628130000000002E-2</v>
      </c>
      <c r="R420">
        <v>-0.99287380000000003</v>
      </c>
      <c r="S420">
        <v>-0.27380369999999998</v>
      </c>
      <c r="T420">
        <v>-0.24250050000000001</v>
      </c>
      <c r="U420">
        <v>-3.0228269999999999</v>
      </c>
      <c r="V420">
        <v>-3.2161580000000002E-2</v>
      </c>
      <c r="W420">
        <v>0.1050247</v>
      </c>
      <c r="X420">
        <v>0.99394939999999998</v>
      </c>
      <c r="Y420">
        <v>-1.8953540000000001E-2</v>
      </c>
      <c r="Z420">
        <v>7.9088809999999996E-2</v>
      </c>
      <c r="AA420">
        <v>0.9966874</v>
      </c>
      <c r="AB420">
        <v>26</v>
      </c>
      <c r="AC420">
        <v>-1.21429999999998</v>
      </c>
      <c r="AD420">
        <v>-1.1029869436449999</v>
      </c>
      <c r="AE420">
        <v>-13.4720999999999</v>
      </c>
      <c r="AF420">
        <v>-0.256787291953746</v>
      </c>
      <c r="AG420">
        <v>-1.1029869436449999</v>
      </c>
      <c r="AH420">
        <v>13.4349155762589</v>
      </c>
      <c r="AI420">
        <v>94.692520739455603</v>
      </c>
      <c r="AJ420">
        <v>91.094985429955599</v>
      </c>
      <c r="AK420">
        <v>13.4825619394967</v>
      </c>
    </row>
    <row r="421" spans="1:37" x14ac:dyDescent="0.2">
      <c r="A421" t="str">
        <f>"20200111150514277"</f>
        <v>20200111150514277</v>
      </c>
      <c r="B421" t="str">
        <f>"1578726314275119"</f>
        <v>1578726314275119</v>
      </c>
      <c r="C421" t="s">
        <v>37</v>
      </c>
      <c r="D421">
        <v>5.1986339999999904</v>
      </c>
      <c r="E421">
        <v>0.50492490000000001</v>
      </c>
      <c r="F421" t="s">
        <v>38</v>
      </c>
      <c r="G421">
        <v>-190.95679999999999</v>
      </c>
      <c r="H421">
        <v>1.0302420000000001</v>
      </c>
      <c r="I421">
        <v>335.3759</v>
      </c>
      <c r="J421">
        <v>-190.90119999999999</v>
      </c>
      <c r="K421">
        <v>1.103213</v>
      </c>
      <c r="L421">
        <v>336.04199999999997</v>
      </c>
      <c r="M421">
        <v>-0.109015599999999</v>
      </c>
      <c r="N421">
        <v>0</v>
      </c>
      <c r="O421">
        <v>-0.99394950000000004</v>
      </c>
      <c r="P421">
        <v>-7.6934730000000007E-2</v>
      </c>
      <c r="Q421">
        <v>9.0668239999999997E-2</v>
      </c>
      <c r="R421">
        <v>-0.99290499999999904</v>
      </c>
      <c r="S421">
        <v>-0.27540589999999998</v>
      </c>
      <c r="T421">
        <v>-0.23876799999999901</v>
      </c>
      <c r="U421">
        <v>-3.0224609999999998</v>
      </c>
      <c r="V421">
        <v>-3.1730269999999998E-2</v>
      </c>
      <c r="W421">
        <v>0.1040392</v>
      </c>
      <c r="X421">
        <v>0.99406689999999998</v>
      </c>
      <c r="Y421">
        <v>-1.864998E-2</v>
      </c>
      <c r="Z421">
        <v>7.7883670000000002E-2</v>
      </c>
      <c r="AA421">
        <v>0.99678799999999901</v>
      </c>
      <c r="AB421">
        <v>26</v>
      </c>
      <c r="AC421">
        <v>-5.5599999999998297E-2</v>
      </c>
      <c r="AD421">
        <v>-7.2970999999999897E-2</v>
      </c>
      <c r="AE421">
        <v>-0.66609999999997105</v>
      </c>
      <c r="AF421">
        <v>-1.7148879018271598E-2</v>
      </c>
      <c r="AG421">
        <v>-7.2970999999999897E-2</v>
      </c>
      <c r="AH421">
        <v>0.66032140232514203</v>
      </c>
      <c r="AI421">
        <v>96.303964108023806</v>
      </c>
      <c r="AJ421">
        <v>91.487665818402107</v>
      </c>
      <c r="AK421">
        <v>0.66456241637729196</v>
      </c>
    </row>
    <row r="422" spans="1:37" x14ac:dyDescent="0.2">
      <c r="A422" t="str">
        <f>"20200111150514301"</f>
        <v>20200111150514301</v>
      </c>
      <c r="B422" t="str">
        <f>"1578726314294640"</f>
        <v>1578726314294640</v>
      </c>
      <c r="C422" t="s">
        <v>37</v>
      </c>
      <c r="D422">
        <v>5.5143329999999997</v>
      </c>
      <c r="E422">
        <v>0.50492490000000001</v>
      </c>
      <c r="F422" t="s">
        <v>38</v>
      </c>
      <c r="G422">
        <v>-190.9855</v>
      </c>
      <c r="H422">
        <v>1.03443</v>
      </c>
      <c r="I422">
        <v>335.14030000000002</v>
      </c>
      <c r="J422">
        <v>-190.9307</v>
      </c>
      <c r="K422">
        <v>1.1033660000000001</v>
      </c>
      <c r="L422">
        <v>335.77589999999998</v>
      </c>
      <c r="M422">
        <v>-0.109006399999999</v>
      </c>
      <c r="N422">
        <v>0</v>
      </c>
      <c r="O422">
        <v>-0.99395059999999902</v>
      </c>
      <c r="P422">
        <v>-7.7620919999999996E-2</v>
      </c>
      <c r="Q422">
        <v>8.7344420000000006E-2</v>
      </c>
      <c r="R422">
        <v>-0.99314959999999997</v>
      </c>
      <c r="S422">
        <v>-0.28242489999999998</v>
      </c>
      <c r="T422">
        <v>-0.23040830000000001</v>
      </c>
      <c r="U422">
        <v>-3.0205989999999998</v>
      </c>
      <c r="V422">
        <v>-3.1106310000000002E-2</v>
      </c>
      <c r="W422">
        <v>0.10069989999999999</v>
      </c>
      <c r="X422">
        <v>0.99443040000000005</v>
      </c>
      <c r="Y422">
        <v>-1.6269329999999999E-2</v>
      </c>
      <c r="Z422">
        <v>7.5212329999999994E-2</v>
      </c>
      <c r="AA422">
        <v>0.9970348</v>
      </c>
      <c r="AB422">
        <v>26</v>
      </c>
      <c r="AC422">
        <v>-5.4800000000000099E-2</v>
      </c>
      <c r="AD422">
        <v>-6.8936000000000094E-2</v>
      </c>
      <c r="AE422">
        <v>-0.63559999999995398</v>
      </c>
      <c r="AF422">
        <v>-1.4646291589048101E-2</v>
      </c>
      <c r="AG422">
        <v>-6.8936000000000094E-2</v>
      </c>
      <c r="AH422">
        <v>0.63042481872740397</v>
      </c>
      <c r="AI422">
        <v>96.238743050878398</v>
      </c>
      <c r="AJ422">
        <v>91.330879968689104</v>
      </c>
      <c r="AK422">
        <v>0.63435174628970004</v>
      </c>
    </row>
    <row r="423" spans="1:37" x14ac:dyDescent="0.2">
      <c r="A423" t="str">
        <f>"20200111150514323"</f>
        <v>20200111150514323</v>
      </c>
      <c r="B423" t="str">
        <f>"1578726314315136"</f>
        <v>1578726314315136</v>
      </c>
      <c r="C423" t="s">
        <v>37</v>
      </c>
      <c r="D423">
        <v>5.2241379999999999</v>
      </c>
      <c r="E423">
        <v>0.50490749999999995</v>
      </c>
      <c r="F423" t="s">
        <v>38</v>
      </c>
      <c r="G423">
        <v>-191.01169999999999</v>
      </c>
      <c r="H423">
        <v>1.0350839999999999</v>
      </c>
      <c r="I423">
        <v>334.9178</v>
      </c>
      <c r="J423">
        <v>-190.9597</v>
      </c>
      <c r="K423">
        <v>1.1034679999999999</v>
      </c>
      <c r="L423">
        <v>335.51170000000002</v>
      </c>
      <c r="M423">
        <v>-0.108829199999999</v>
      </c>
      <c r="N423">
        <v>0</v>
      </c>
      <c r="O423">
        <v>-0.99397019999999903</v>
      </c>
      <c r="P423">
        <v>-7.6646859999999997E-2</v>
      </c>
      <c r="Q423">
        <v>8.1525319999999998E-2</v>
      </c>
      <c r="R423">
        <v>-0.99372000000000005</v>
      </c>
      <c r="S423">
        <v>-0.28466799999999998</v>
      </c>
      <c r="T423">
        <v>-0.24051919999999999</v>
      </c>
      <c r="U423">
        <v>-3.0196529999999999</v>
      </c>
      <c r="V423">
        <v>-3.1984859999999997E-2</v>
      </c>
      <c r="W423">
        <v>9.4872449999999997E-2</v>
      </c>
      <c r="X423">
        <v>0.99497539999999995</v>
      </c>
      <c r="Y423">
        <v>-1.5351999999999999E-2</v>
      </c>
      <c r="Z423">
        <v>7.8517210000000004E-2</v>
      </c>
      <c r="AA423">
        <v>0.99679449999999903</v>
      </c>
      <c r="AB423">
        <v>26</v>
      </c>
      <c r="AC423">
        <v>-5.1999999999992497E-2</v>
      </c>
      <c r="AD423">
        <v>-6.8384E-2</v>
      </c>
      <c r="AE423">
        <v>-0.59390000000001897</v>
      </c>
      <c r="AF423">
        <v>-1.2780220540683901E-2</v>
      </c>
      <c r="AG423">
        <v>-6.8384E-2</v>
      </c>
      <c r="AH423">
        <v>0.5882911966844</v>
      </c>
      <c r="AI423">
        <v>96.628854917496696</v>
      </c>
      <c r="AJ423">
        <v>91.244515540038194</v>
      </c>
      <c r="AK423">
        <v>0.59239027472556705</v>
      </c>
    </row>
    <row r="424" spans="1:37" x14ac:dyDescent="0.2">
      <c r="A424" t="str">
        <f>"20200111150514347"</f>
        <v>20200111150514347</v>
      </c>
      <c r="B424" t="str">
        <f>"1578726314345392"</f>
        <v>1578726314345392</v>
      </c>
      <c r="C424" t="s">
        <v>37</v>
      </c>
      <c r="D424">
        <v>5.1962809999999999</v>
      </c>
      <c r="E424">
        <v>0.50503739999999997</v>
      </c>
      <c r="F424" t="s">
        <v>38</v>
      </c>
      <c r="G424">
        <v>-191.03579999999999</v>
      </c>
      <c r="H424">
        <v>1.03386</v>
      </c>
      <c r="I424">
        <v>334.69330000000002</v>
      </c>
      <c r="J424">
        <v>-190.98840000000001</v>
      </c>
      <c r="K424">
        <v>1.1035459999999999</v>
      </c>
      <c r="L424">
        <v>335.24829999999997</v>
      </c>
      <c r="M424">
        <v>-0.1085333</v>
      </c>
      <c r="N424">
        <v>0</v>
      </c>
      <c r="O424">
        <v>-0.99400259999999996</v>
      </c>
      <c r="P424">
        <v>-7.4746850000000004E-2</v>
      </c>
      <c r="Q424">
        <v>7.7451590000000001E-2</v>
      </c>
      <c r="R424">
        <v>-0.99419029999999997</v>
      </c>
      <c r="S424">
        <v>-0.2809296</v>
      </c>
      <c r="T424">
        <v>-0.25668939999999901</v>
      </c>
      <c r="U424">
        <v>-3.0183409999999999</v>
      </c>
      <c r="V424">
        <v>-3.3647780000000002E-2</v>
      </c>
      <c r="W424">
        <v>9.078936E-2</v>
      </c>
      <c r="X424">
        <v>0.99530149999999995</v>
      </c>
      <c r="Y424">
        <v>-1.6277779999999999E-2</v>
      </c>
      <c r="Z424">
        <v>8.3803840000000004E-2</v>
      </c>
      <c r="AA424">
        <v>0.99634929999999999</v>
      </c>
      <c r="AB424">
        <v>26</v>
      </c>
      <c r="AC424">
        <v>-4.7399999999981901E-2</v>
      </c>
      <c r="AD424">
        <v>-6.9685999999999901E-2</v>
      </c>
      <c r="AE424">
        <v>-0.55499999999994998</v>
      </c>
      <c r="AF424">
        <v>-1.2919232954086E-2</v>
      </c>
      <c r="AG424">
        <v>-6.9685999999999901E-2</v>
      </c>
      <c r="AH424">
        <v>0.54828452754568702</v>
      </c>
      <c r="AI424">
        <v>97.2413678947281</v>
      </c>
      <c r="AJ424">
        <v>91.3498111616709</v>
      </c>
      <c r="AK424">
        <v>0.55284624293027396</v>
      </c>
    </row>
    <row r="425" spans="1:37" x14ac:dyDescent="0.2">
      <c r="A425" t="str">
        <f>"20200111150514370"</f>
        <v>20200111150514370</v>
      </c>
      <c r="B425" t="str">
        <f>"1578726314364912"</f>
        <v>1578726314364912</v>
      </c>
      <c r="C425" t="s">
        <v>37</v>
      </c>
      <c r="D425">
        <v>5.584822</v>
      </c>
      <c r="E425">
        <v>0.50504510000000002</v>
      </c>
      <c r="F425" t="s">
        <v>38</v>
      </c>
      <c r="G425">
        <v>-191.06030000000001</v>
      </c>
      <c r="H425">
        <v>1.035274</v>
      </c>
      <c r="I425">
        <v>334.46129999999999</v>
      </c>
      <c r="J425">
        <v>-191.017</v>
      </c>
      <c r="K425">
        <v>1.1036429999999999</v>
      </c>
      <c r="L425">
        <v>334.98390000000001</v>
      </c>
      <c r="M425">
        <v>-0.10814069999999899</v>
      </c>
      <c r="N425">
        <v>0</v>
      </c>
      <c r="O425">
        <v>-0.99404539999999997</v>
      </c>
      <c r="P425">
        <v>-7.2296899999999997E-2</v>
      </c>
      <c r="Q425">
        <v>7.6731779999999999E-2</v>
      </c>
      <c r="R425">
        <v>-0.99442739999999996</v>
      </c>
      <c r="S425">
        <v>-0.2754974</v>
      </c>
      <c r="T425">
        <v>-0.2617428</v>
      </c>
      <c r="U425">
        <v>-3.017242</v>
      </c>
      <c r="V425">
        <v>-3.5736900000000002E-2</v>
      </c>
      <c r="W425">
        <v>9.0056140000000007E-2</v>
      </c>
      <c r="X425">
        <v>0.99529529999999999</v>
      </c>
      <c r="Y425">
        <v>-1.764108E-2</v>
      </c>
      <c r="Z425">
        <v>8.5483829999999997E-2</v>
      </c>
      <c r="AA425">
        <v>0.99618340000000005</v>
      </c>
      <c r="AB425">
        <v>26</v>
      </c>
      <c r="AC425">
        <v>-4.3300000000016298E-2</v>
      </c>
      <c r="AD425">
        <v>-6.8368999999999902E-2</v>
      </c>
      <c r="AE425">
        <v>-0.52260000000001094</v>
      </c>
      <c r="AF425">
        <v>-1.32481741946224E-2</v>
      </c>
      <c r="AG425">
        <v>-6.8368999999999902E-2</v>
      </c>
      <c r="AH425">
        <v>0.51545569513640399</v>
      </c>
      <c r="AI425">
        <v>97.553029178248096</v>
      </c>
      <c r="AJ425">
        <v>91.472284424297499</v>
      </c>
      <c r="AK425">
        <v>0.52013883524405802</v>
      </c>
    </row>
    <row r="426" spans="1:37" x14ac:dyDescent="0.2">
      <c r="A426" t="str">
        <f>"20200111150514392"</f>
        <v>20200111150514392</v>
      </c>
      <c r="B426" t="str">
        <f>"1578726314384432"</f>
        <v>1578726314384432</v>
      </c>
      <c r="C426" t="s">
        <v>37</v>
      </c>
      <c r="D426">
        <v>5.2537799999999999</v>
      </c>
      <c r="E426">
        <v>0.49837690000000001</v>
      </c>
      <c r="F426" t="s">
        <v>39</v>
      </c>
      <c r="G426">
        <v>-192.13390000000001</v>
      </c>
      <c r="H426" s="1">
        <v>-1.761594E-6</v>
      </c>
      <c r="I426">
        <v>322.37189999999998</v>
      </c>
      <c r="J426">
        <v>-191.04339999999999</v>
      </c>
      <c r="K426">
        <v>1.1037379999999899</v>
      </c>
      <c r="L426">
        <v>334.73739999999998</v>
      </c>
      <c r="M426">
        <v>-0.10768809999999999</v>
      </c>
      <c r="N426">
        <v>0</v>
      </c>
      <c r="O426">
        <v>-0.99409439999999905</v>
      </c>
      <c r="P426">
        <v>-6.9436860000000003E-2</v>
      </c>
      <c r="Q426">
        <v>7.8505099999999994E-2</v>
      </c>
      <c r="R426">
        <v>-0.99449259999999995</v>
      </c>
      <c r="S426">
        <v>-0.26724239999999999</v>
      </c>
      <c r="T426">
        <v>-0.26407750000000002</v>
      </c>
      <c r="U426">
        <v>-3.0177610000000001</v>
      </c>
      <c r="V426">
        <v>-3.8155330000000001E-2</v>
      </c>
      <c r="W426">
        <v>9.181359E-2</v>
      </c>
      <c r="X426">
        <v>0.99504490000000001</v>
      </c>
      <c r="Y426">
        <v>-1.9910210000000001E-2</v>
      </c>
      <c r="Z426">
        <v>8.6240899999999995E-2</v>
      </c>
      <c r="AA426">
        <v>0.9960753</v>
      </c>
      <c r="AB426">
        <v>26</v>
      </c>
      <c r="AC426">
        <v>-1.09050000000002</v>
      </c>
      <c r="AD426">
        <v>-1.1037397615939999</v>
      </c>
      <c r="AE426">
        <v>-12.3654999999999</v>
      </c>
      <c r="AF426">
        <v>-0.24563753110335301</v>
      </c>
      <c r="AG426">
        <v>-1.1037397615939999</v>
      </c>
      <c r="AH426">
        <v>12.313673362941699</v>
      </c>
      <c r="AI426">
        <v>95.121022402344806</v>
      </c>
      <c r="AJ426">
        <v>91.142804994037704</v>
      </c>
      <c r="AK426">
        <v>12.3654814280412</v>
      </c>
    </row>
    <row r="427" spans="1:37" x14ac:dyDescent="0.2">
      <c r="A427" t="str">
        <f>"20200111150514433"</f>
        <v>20200111150514433</v>
      </c>
      <c r="B427" t="str">
        <f>"1578726314424448"</f>
        <v>1578726314424448</v>
      </c>
      <c r="C427" t="s">
        <v>37</v>
      </c>
      <c r="D427">
        <v>5.2606320000000002</v>
      </c>
      <c r="E427">
        <v>0.50553649999999895</v>
      </c>
      <c r="F427" t="s">
        <v>59</v>
      </c>
      <c r="G427">
        <v>-213.6172</v>
      </c>
      <c r="H427">
        <v>77.941800000000001</v>
      </c>
      <c r="I427">
        <v>-20.970829999999999</v>
      </c>
      <c r="J427">
        <v>-191.09119999999999</v>
      </c>
      <c r="K427">
        <v>1.1038669999999999</v>
      </c>
      <c r="L427">
        <v>334.28390000000002</v>
      </c>
      <c r="M427">
        <v>-0.1066405</v>
      </c>
      <c r="N427">
        <v>0</v>
      </c>
      <c r="O427">
        <v>-0.99420739999999996</v>
      </c>
      <c r="P427">
        <v>-6.3668210000000003E-2</v>
      </c>
      <c r="Q427">
        <v>7.9905149999999994E-2</v>
      </c>
      <c r="R427">
        <v>-0.99476739999999997</v>
      </c>
      <c r="S427">
        <v>-0.187408399999999</v>
      </c>
      <c r="T427">
        <v>0.63791059999999999</v>
      </c>
      <c r="U427">
        <v>-2.9530939999999899</v>
      </c>
      <c r="V427">
        <v>-4.2900300000000002E-2</v>
      </c>
      <c r="W427">
        <v>9.3189090000000002E-2</v>
      </c>
      <c r="X427">
        <v>0.99472369999999899</v>
      </c>
      <c r="Y427">
        <v>-4.4869390000000002E-2</v>
      </c>
      <c r="Z427">
        <v>-0.2090542</v>
      </c>
      <c r="AA427">
        <v>0.97687420000000003</v>
      </c>
      <c r="AB427">
        <v>25</v>
      </c>
      <c r="AC427">
        <v>-22.526</v>
      </c>
      <c r="AD427">
        <v>76.837932999999893</v>
      </c>
      <c r="AE427">
        <v>-355.25473</v>
      </c>
      <c r="AF427">
        <v>-14.800789672687801</v>
      </c>
      <c r="AG427">
        <v>76.837932999999893</v>
      </c>
      <c r="AH427">
        <v>339.79844347872501</v>
      </c>
      <c r="AI427">
        <v>77.269794135210304</v>
      </c>
      <c r="AJ427">
        <v>92.494087600739704</v>
      </c>
      <c r="AK427">
        <v>348.69200379878498</v>
      </c>
    </row>
    <row r="428" spans="1:37" x14ac:dyDescent="0.2">
      <c r="A428" t="str">
        <f>"20200111150514454"</f>
        <v>20200111150514454</v>
      </c>
      <c r="B428" t="str">
        <f>"1578726314444944"</f>
        <v>1578726314444944</v>
      </c>
      <c r="C428" t="s">
        <v>37</v>
      </c>
      <c r="D428">
        <v>5.5121599999999997</v>
      </c>
      <c r="E428">
        <v>0.50607999999999997</v>
      </c>
      <c r="F428" t="s">
        <v>39</v>
      </c>
      <c r="G428">
        <v>-192.5275</v>
      </c>
      <c r="H428" s="1">
        <v>-3.911738E-6</v>
      </c>
      <c r="I428">
        <v>316.44409999999999</v>
      </c>
      <c r="J428">
        <v>-191.11750000000001</v>
      </c>
      <c r="K428">
        <v>1.103896</v>
      </c>
      <c r="L428">
        <v>334.03160000000003</v>
      </c>
      <c r="M428">
        <v>-0.1059621</v>
      </c>
      <c r="N428">
        <v>0</v>
      </c>
      <c r="O428">
        <v>-0.99427989999999999</v>
      </c>
      <c r="P428">
        <v>-6.1765830000000001E-2</v>
      </c>
      <c r="Q428">
        <v>7.9119439999999999E-2</v>
      </c>
      <c r="R428">
        <v>-0.99495009999999995</v>
      </c>
      <c r="S428">
        <v>-0.24276729999999899</v>
      </c>
      <c r="T428">
        <v>-0.18657460000000001</v>
      </c>
      <c r="U428">
        <v>-3.0152589999999999</v>
      </c>
      <c r="V428">
        <v>-4.4136290000000002E-2</v>
      </c>
      <c r="W428">
        <v>9.239762E-2</v>
      </c>
      <c r="X428">
        <v>0.9947435</v>
      </c>
      <c r="Y428">
        <v>-2.5979349999999998E-2</v>
      </c>
      <c r="Z428">
        <v>6.1129450000000002E-2</v>
      </c>
      <c r="AA428">
        <v>0.99779169999999995</v>
      </c>
      <c r="AB428">
        <v>25</v>
      </c>
      <c r="AC428">
        <v>-1.4099999999999899</v>
      </c>
      <c r="AD428">
        <v>-1.103899911738</v>
      </c>
      <c r="AE428">
        <v>-17.587499999999999</v>
      </c>
      <c r="AF428">
        <v>-0.45991491306611698</v>
      </c>
      <c r="AG428">
        <v>-1.103899911738</v>
      </c>
      <c r="AH428">
        <v>17.569114391149999</v>
      </c>
      <c r="AI428">
        <v>93.594045459921702</v>
      </c>
      <c r="AJ428">
        <v>91.499515923538794</v>
      </c>
      <c r="AK428">
        <v>17.6097670975998</v>
      </c>
    </row>
    <row r="429" spans="1:37" x14ac:dyDescent="0.2">
      <c r="A429" t="str">
        <f>"20200111150514476"</f>
        <v>20200111150514476</v>
      </c>
      <c r="B429" t="str">
        <f>"1578726314464464"</f>
        <v>1578726314464464</v>
      </c>
      <c r="C429" t="s">
        <v>37</v>
      </c>
      <c r="D429">
        <v>5.323963</v>
      </c>
      <c r="E429">
        <v>0.50632270000000001</v>
      </c>
      <c r="F429" t="s">
        <v>39</v>
      </c>
      <c r="G429">
        <v>-192.53319999999999</v>
      </c>
      <c r="H429" s="1">
        <v>-3.8720789999999998E-6</v>
      </c>
      <c r="I429">
        <v>316.3571</v>
      </c>
      <c r="J429">
        <v>-191.14250000000001</v>
      </c>
      <c r="K429">
        <v>1.1039030000000001</v>
      </c>
      <c r="L429">
        <v>333.7894</v>
      </c>
      <c r="M429">
        <v>-0.1052757</v>
      </c>
      <c r="N429">
        <v>0</v>
      </c>
      <c r="O429">
        <v>-0.99435309999999899</v>
      </c>
      <c r="P429">
        <v>-5.9714959999999997E-2</v>
      </c>
      <c r="Q429">
        <v>7.8579410000000002E-2</v>
      </c>
      <c r="R429">
        <v>-0.99511810000000001</v>
      </c>
      <c r="S429">
        <v>-0.24151610000000001</v>
      </c>
      <c r="T429">
        <v>-0.1883205</v>
      </c>
      <c r="U429">
        <v>-3.0151979999999998</v>
      </c>
      <c r="V429">
        <v>-4.5505570000000002E-2</v>
      </c>
      <c r="W429">
        <v>9.1853969999999993E-2</v>
      </c>
      <c r="X429">
        <v>0.99473210000000001</v>
      </c>
      <c r="Y429">
        <v>-2.5701890000000002E-2</v>
      </c>
      <c r="Z429">
        <v>6.1708539999999999E-2</v>
      </c>
      <c r="AA429">
        <v>0.99776319999999996</v>
      </c>
      <c r="AB429">
        <v>25</v>
      </c>
      <c r="AC429">
        <v>-1.3906999999999801</v>
      </c>
      <c r="AD429">
        <v>-1.103906872079</v>
      </c>
      <c r="AE429">
        <v>-17.432299999999898</v>
      </c>
      <c r="AF429">
        <v>-0.45059569840103902</v>
      </c>
      <c r="AG429">
        <v>-1.103906872079</v>
      </c>
      <c r="AH429">
        <v>17.412448508556398</v>
      </c>
      <c r="AI429">
        <v>93.626347433614498</v>
      </c>
      <c r="AJ429">
        <v>91.482357358525803</v>
      </c>
      <c r="AK429">
        <v>17.4532234824621</v>
      </c>
    </row>
    <row r="430" spans="1:37" x14ac:dyDescent="0.2">
      <c r="A430" t="str">
        <f>"20200111150514499"</f>
        <v>20200111150514499</v>
      </c>
      <c r="B430" t="str">
        <f>"1578726314494720"</f>
        <v>1578726314494720</v>
      </c>
      <c r="C430" t="s">
        <v>37</v>
      </c>
      <c r="D430">
        <v>5.3417459999999997</v>
      </c>
      <c r="E430">
        <v>0.50646950000000002</v>
      </c>
      <c r="F430" t="s">
        <v>39</v>
      </c>
      <c r="G430">
        <v>-192.47569999999999</v>
      </c>
      <c r="H430" s="1">
        <v>-4.0792400000000001E-6</v>
      </c>
      <c r="I430">
        <v>316.82769999999999</v>
      </c>
      <c r="J430">
        <v>-191.16900000000001</v>
      </c>
      <c r="K430">
        <v>1.1038950000000001</v>
      </c>
      <c r="L430">
        <v>333.53019999999998</v>
      </c>
      <c r="M430">
        <v>-0.1045315</v>
      </c>
      <c r="N430">
        <v>0</v>
      </c>
      <c r="O430">
        <v>-0.99443159999999897</v>
      </c>
      <c r="P430">
        <v>-5.615506E-2</v>
      </c>
      <c r="Q430">
        <v>7.9543810000000006E-2</v>
      </c>
      <c r="R430">
        <v>-0.99524899999999905</v>
      </c>
      <c r="S430">
        <v>-0.23706050000000001</v>
      </c>
      <c r="T430">
        <v>-0.19628779999999901</v>
      </c>
      <c r="U430">
        <v>-3.0159910000000001</v>
      </c>
      <c r="V430">
        <v>-4.8312870000000001E-2</v>
      </c>
      <c r="W430">
        <v>9.2811160000000004E-2</v>
      </c>
      <c r="X430">
        <v>0.99451089999999998</v>
      </c>
      <c r="Y430">
        <v>-2.645231E-2</v>
      </c>
      <c r="Z430">
        <v>6.4302440000000002E-2</v>
      </c>
      <c r="AA430">
        <v>0.99757980000000002</v>
      </c>
      <c r="AB430">
        <v>25</v>
      </c>
      <c r="AC430">
        <v>-1.30669999999997</v>
      </c>
      <c r="AD430">
        <v>-1.1038990792400001</v>
      </c>
      <c r="AE430">
        <v>-16.702499999999901</v>
      </c>
      <c r="AF430">
        <v>-0.44462320790398602</v>
      </c>
      <c r="AG430">
        <v>-1.1038990792400001</v>
      </c>
      <c r="AH430">
        <v>16.675187416994</v>
      </c>
      <c r="AI430">
        <v>93.786118284845003</v>
      </c>
      <c r="AJ430">
        <v>91.527359064288007</v>
      </c>
      <c r="AK430">
        <v>16.717600257394299</v>
      </c>
    </row>
    <row r="431" spans="1:37" x14ac:dyDescent="0.2">
      <c r="A431" t="str">
        <f>"20200111150514522"</f>
        <v>20200111150514522</v>
      </c>
      <c r="B431" t="str">
        <f>"1578726314515215"</f>
        <v>1578726314515215</v>
      </c>
      <c r="C431" t="s">
        <v>37</v>
      </c>
      <c r="D431">
        <v>5.3448789999999997</v>
      </c>
      <c r="E431">
        <v>0.50673840000000003</v>
      </c>
      <c r="F431" t="s">
        <v>39</v>
      </c>
      <c r="G431">
        <v>-192.36709999999999</v>
      </c>
      <c r="H431" s="1">
        <v>-4.3941129999999997E-6</v>
      </c>
      <c r="I431">
        <v>317.6352</v>
      </c>
      <c r="J431">
        <v>-191.19489999999999</v>
      </c>
      <c r="K431">
        <v>1.1038809999999999</v>
      </c>
      <c r="L431">
        <v>333.27629999999999</v>
      </c>
      <c r="M431">
        <v>-0.10382089999999899</v>
      </c>
      <c r="N431">
        <v>0</v>
      </c>
      <c r="O431">
        <v>-0.994506</v>
      </c>
      <c r="P431">
        <v>-5.221841E-2</v>
      </c>
      <c r="Q431">
        <v>8.1193420000000002E-2</v>
      </c>
      <c r="R431">
        <v>-0.99532989999999999</v>
      </c>
      <c r="S431">
        <v>-0.2275085</v>
      </c>
      <c r="T431">
        <v>-0.2096161</v>
      </c>
      <c r="U431">
        <v>-3.0182500000000001</v>
      </c>
      <c r="V431">
        <v>-5.1522690000000003E-2</v>
      </c>
      <c r="W431">
        <v>9.4453300000000004E-2</v>
      </c>
      <c r="X431">
        <v>0.99419519999999995</v>
      </c>
      <c r="Y431">
        <v>-2.895642E-2</v>
      </c>
      <c r="Z431">
        <v>6.861109E-2</v>
      </c>
      <c r="AA431">
        <v>0.99722310000000003</v>
      </c>
      <c r="AB431">
        <v>25</v>
      </c>
      <c r="AC431">
        <v>-1.1721999999999999</v>
      </c>
      <c r="AD431">
        <v>-1.10388539411299</v>
      </c>
      <c r="AE431">
        <v>-15.6410999999999</v>
      </c>
      <c r="AF431">
        <v>-0.45589604194296501</v>
      </c>
      <c r="AG431">
        <v>-1.10388539411299</v>
      </c>
      <c r="AH431">
        <v>15.600996225554301</v>
      </c>
      <c r="AI431">
        <v>94.045631660405306</v>
      </c>
      <c r="AJ431">
        <v>91.673834625919596</v>
      </c>
      <c r="AK431">
        <v>15.646644604967401</v>
      </c>
    </row>
    <row r="432" spans="1:37" x14ac:dyDescent="0.2">
      <c r="A432" t="str">
        <f>"20200111150514544"</f>
        <v>20200111150514544</v>
      </c>
      <c r="B432" t="str">
        <f>"1578726314534736"</f>
        <v>1578726314534736</v>
      </c>
      <c r="C432" t="s">
        <v>37</v>
      </c>
      <c r="D432">
        <v>5.397157</v>
      </c>
      <c r="E432">
        <v>0.50680400000000003</v>
      </c>
      <c r="F432" t="s">
        <v>39</v>
      </c>
      <c r="G432">
        <v>-192.37379999999999</v>
      </c>
      <c r="H432" s="1">
        <v>-4.117861E-6</v>
      </c>
      <c r="I432">
        <v>316.9667</v>
      </c>
      <c r="J432">
        <v>-191.22059999999999</v>
      </c>
      <c r="K432">
        <v>1.1038709999999901</v>
      </c>
      <c r="L432">
        <v>333.0224</v>
      </c>
      <c r="M432">
        <v>-0.103143899999999</v>
      </c>
      <c r="N432">
        <v>0</v>
      </c>
      <c r="O432">
        <v>-0.99457659999999903</v>
      </c>
      <c r="P432">
        <v>-4.9864760000000001E-2</v>
      </c>
      <c r="Q432">
        <v>8.4664119999999995E-2</v>
      </c>
      <c r="R432">
        <v>-0.99516130000000003</v>
      </c>
      <c r="S432">
        <v>-0.21824650000000001</v>
      </c>
      <c r="T432">
        <v>-0.20435309999999901</v>
      </c>
      <c r="U432">
        <v>-3.0192570000000001</v>
      </c>
      <c r="V432">
        <v>-5.3167279999999997E-2</v>
      </c>
      <c r="W432">
        <v>9.7918530000000004E-2</v>
      </c>
      <c r="X432">
        <v>0.99377320000000002</v>
      </c>
      <c r="Y432">
        <v>-3.133478E-2</v>
      </c>
      <c r="Z432">
        <v>6.6886329999999994E-2</v>
      </c>
      <c r="AA432">
        <v>0.99726840000000005</v>
      </c>
      <c r="AB432">
        <v>25</v>
      </c>
      <c r="AC432">
        <v>-1.15319999999999</v>
      </c>
      <c r="AD432">
        <v>-1.10387511786099</v>
      </c>
      <c r="AE432">
        <v>-16.055700000000002</v>
      </c>
      <c r="AF432">
        <v>-0.50676412367270196</v>
      </c>
      <c r="AG432">
        <v>-1.10387511786099</v>
      </c>
      <c r="AH432">
        <v>16.013699335362102</v>
      </c>
      <c r="AI432">
        <v>93.941375024846494</v>
      </c>
      <c r="AJ432">
        <v>91.812557998697102</v>
      </c>
      <c r="AK432">
        <v>16.059698520092098</v>
      </c>
    </row>
    <row r="433" spans="1:37" x14ac:dyDescent="0.2">
      <c r="A433" t="str">
        <f>"20200111150514565"</f>
        <v>20200111150514565</v>
      </c>
      <c r="B433" t="str">
        <f>"1578726314555232"</f>
        <v>1578726314555232</v>
      </c>
      <c r="C433" t="s">
        <v>37</v>
      </c>
      <c r="D433">
        <v>5.2471189999999996</v>
      </c>
      <c r="E433">
        <v>0.50700119999999904</v>
      </c>
      <c r="F433" t="s">
        <v>39</v>
      </c>
      <c r="G433">
        <v>-192.44399999999999</v>
      </c>
      <c r="H433" s="1">
        <v>-3.454696E-6</v>
      </c>
      <c r="I433">
        <v>315.52429999999998</v>
      </c>
      <c r="J433">
        <v>-191.24469999999999</v>
      </c>
      <c r="K433">
        <v>1.10386299999999</v>
      </c>
      <c r="L433">
        <v>332.78289999999998</v>
      </c>
      <c r="M433">
        <v>-0.1025326</v>
      </c>
      <c r="N433">
        <v>0</v>
      </c>
      <c r="O433">
        <v>-0.99463959999999996</v>
      </c>
      <c r="P433">
        <v>-4.9813530000000002E-2</v>
      </c>
      <c r="Q433">
        <v>8.8996519999999996E-2</v>
      </c>
      <c r="R433">
        <v>-0.9947859</v>
      </c>
      <c r="S433">
        <v>-0.211166399999999</v>
      </c>
      <c r="T433">
        <v>-0.1905287</v>
      </c>
      <c r="U433">
        <v>-3.0201720000000001</v>
      </c>
      <c r="V433">
        <v>-5.2568040000000003E-2</v>
      </c>
      <c r="W433">
        <v>0.102247399999999</v>
      </c>
      <c r="X433">
        <v>0.99336899999999995</v>
      </c>
      <c r="Y433">
        <v>-3.3047779999999999E-2</v>
      </c>
      <c r="Z433">
        <v>6.2370500000000002E-2</v>
      </c>
      <c r="AA433">
        <v>0.9975058</v>
      </c>
      <c r="AB433">
        <v>25</v>
      </c>
      <c r="AC433">
        <v>-1.19930000000002</v>
      </c>
      <c r="AD433">
        <v>-1.10386645469599</v>
      </c>
      <c r="AE433">
        <v>-17.258600000000001</v>
      </c>
      <c r="AF433">
        <v>-0.57441093586569703</v>
      </c>
      <c r="AG433">
        <v>-1.10386645469599</v>
      </c>
      <c r="AH433">
        <v>17.220493797535401</v>
      </c>
      <c r="AI433">
        <v>93.665717257950305</v>
      </c>
      <c r="AJ433">
        <v>91.910463469992493</v>
      </c>
      <c r="AK433">
        <v>17.265395324289599</v>
      </c>
    </row>
    <row r="434" spans="1:37" x14ac:dyDescent="0.2">
      <c r="A434" t="str">
        <f>"20200111150514588"</f>
        <v>20200111150514588</v>
      </c>
      <c r="B434" t="str">
        <f>"1578726314584512"</f>
        <v>1578726314584512</v>
      </c>
      <c r="C434" t="s">
        <v>37</v>
      </c>
      <c r="D434">
        <v>4.7061640000000002</v>
      </c>
      <c r="E434">
        <v>0.50618929999999995</v>
      </c>
      <c r="F434" t="s">
        <v>39</v>
      </c>
      <c r="G434">
        <v>-192.58750000000001</v>
      </c>
      <c r="H434" s="1">
        <v>-2.599469E-6</v>
      </c>
      <c r="I434">
        <v>313.6343</v>
      </c>
      <c r="J434">
        <v>-191.27</v>
      </c>
      <c r="K434">
        <v>1.1038459999999899</v>
      </c>
      <c r="L434">
        <v>332.52980000000002</v>
      </c>
      <c r="M434">
        <v>-0.1019003</v>
      </c>
      <c r="N434">
        <v>0</v>
      </c>
      <c r="O434">
        <v>-0.994704699999999</v>
      </c>
      <c r="P434">
        <v>-4.8724450000000002E-2</v>
      </c>
      <c r="Q434">
        <v>9.1093179999999996E-2</v>
      </c>
      <c r="R434">
        <v>-0.99465000000000003</v>
      </c>
      <c r="S434">
        <v>-0.21183779999999899</v>
      </c>
      <c r="T434">
        <v>-0.17413489999999901</v>
      </c>
      <c r="U434">
        <v>-3.0206909999999998</v>
      </c>
      <c r="V434">
        <v>-5.300407E-2</v>
      </c>
      <c r="W434">
        <v>0.1043404</v>
      </c>
      <c r="X434">
        <v>0.99312819999999902</v>
      </c>
      <c r="Y434">
        <v>-3.2181210000000002E-2</v>
      </c>
      <c r="Z434">
        <v>5.7018640000000002E-2</v>
      </c>
      <c r="AA434">
        <v>0.99785429999999997</v>
      </c>
      <c r="AB434">
        <v>25</v>
      </c>
      <c r="AC434">
        <v>-1.3174999999999899</v>
      </c>
      <c r="AD434">
        <v>-1.1038485994689999</v>
      </c>
      <c r="AE434">
        <v>-18.895499999999998</v>
      </c>
      <c r="AF434">
        <v>-0.61290711795924402</v>
      </c>
      <c r="AG434">
        <v>-1.1038485994689999</v>
      </c>
      <c r="AH434">
        <v>18.8673121197588</v>
      </c>
      <c r="AI434">
        <v>93.346561508529206</v>
      </c>
      <c r="AJ434">
        <v>91.860606634813195</v>
      </c>
      <c r="AK434">
        <v>18.909510926784701</v>
      </c>
    </row>
    <row r="435" spans="1:37" x14ac:dyDescent="0.2">
      <c r="A435" t="str">
        <f>"20200111150514610"</f>
        <v>20200111150514610</v>
      </c>
      <c r="B435" t="str">
        <f>"1578726314605008"</f>
        <v>1578726314605008</v>
      </c>
      <c r="C435" t="s">
        <v>37</v>
      </c>
      <c r="D435">
        <v>5.2940699999999996</v>
      </c>
      <c r="E435">
        <v>0.42342829999999898</v>
      </c>
      <c r="F435" t="s">
        <v>39</v>
      </c>
      <c r="G435">
        <v>-192.55930000000001</v>
      </c>
      <c r="H435" s="1">
        <v>-2.4204609999999999E-6</v>
      </c>
      <c r="I435">
        <v>313.2715</v>
      </c>
      <c r="J435">
        <v>-191.29480000000001</v>
      </c>
      <c r="K435">
        <v>1.103826</v>
      </c>
      <c r="L435">
        <v>332.28030000000001</v>
      </c>
      <c r="M435">
        <v>-0.1012689</v>
      </c>
      <c r="N435">
        <v>0</v>
      </c>
      <c r="O435">
        <v>-0.99476929999999997</v>
      </c>
      <c r="P435">
        <v>-4.4025950000000001E-2</v>
      </c>
      <c r="Q435">
        <v>8.8689560000000001E-2</v>
      </c>
      <c r="R435">
        <v>-0.99508609999999897</v>
      </c>
      <c r="S435">
        <v>-0.2023315</v>
      </c>
      <c r="T435">
        <v>-0.1732187</v>
      </c>
      <c r="U435">
        <v>-3.0220639999999999</v>
      </c>
      <c r="V435">
        <v>-5.7088199999999902E-2</v>
      </c>
      <c r="W435">
        <v>0.10193139999999901</v>
      </c>
      <c r="X435">
        <v>0.99315200000000003</v>
      </c>
      <c r="Y435">
        <v>-3.4701320000000001E-2</v>
      </c>
      <c r="Z435">
        <v>5.6703150000000001E-2</v>
      </c>
      <c r="AA435">
        <v>0.9977878</v>
      </c>
      <c r="AB435">
        <v>25</v>
      </c>
      <c r="AC435">
        <v>-1.26449999999999</v>
      </c>
      <c r="AD435">
        <v>-1.103828420461</v>
      </c>
      <c r="AE435">
        <v>-19.008800000000001</v>
      </c>
      <c r="AF435">
        <v>-0.66494174732718703</v>
      </c>
      <c r="AG435">
        <v>-1.103828420461</v>
      </c>
      <c r="AH435">
        <v>18.9754218050623</v>
      </c>
      <c r="AI435">
        <v>93.327190934245607</v>
      </c>
      <c r="AJ435">
        <v>92.006952635466206</v>
      </c>
      <c r="AK435">
        <v>19.0191276716149</v>
      </c>
    </row>
    <row r="436" spans="1:37" x14ac:dyDescent="0.2">
      <c r="A436" t="str">
        <f>"20200111150514632"</f>
        <v>20200111150514632</v>
      </c>
      <c r="B436" t="str">
        <f>"1578726314624528"</f>
        <v>1578726314624528</v>
      </c>
      <c r="C436" t="s">
        <v>37</v>
      </c>
      <c r="D436">
        <v>5.4144119999999996</v>
      </c>
      <c r="E436">
        <v>0.42122179999999998</v>
      </c>
      <c r="F436" t="s">
        <v>60</v>
      </c>
      <c r="G436">
        <v>-184.048</v>
      </c>
      <c r="H436" s="1">
        <v>2.844408E-6</v>
      </c>
      <c r="I436">
        <v>285.52449999999999</v>
      </c>
      <c r="J436">
        <v>-191.3186</v>
      </c>
      <c r="K436">
        <v>1.103815</v>
      </c>
      <c r="L436">
        <v>332.03800000000001</v>
      </c>
      <c r="M436">
        <v>-0.10062400000000001</v>
      </c>
      <c r="N436">
        <v>0</v>
      </c>
      <c r="O436">
        <v>-0.99483449999999995</v>
      </c>
      <c r="P436">
        <v>-3.744302E-2</v>
      </c>
      <c r="Q436">
        <v>8.3342700000000006E-2</v>
      </c>
      <c r="R436">
        <v>-0.99581719999999896</v>
      </c>
      <c r="S436">
        <v>0.47149659999999899</v>
      </c>
      <c r="T436">
        <v>-7.1818229999999997E-2</v>
      </c>
      <c r="U436">
        <v>-3.042084</v>
      </c>
      <c r="V436">
        <v>-6.3064780000000001E-2</v>
      </c>
      <c r="W436">
        <v>9.6575960000000002E-2</v>
      </c>
      <c r="X436">
        <v>0.99332569999999998</v>
      </c>
      <c r="Y436">
        <v>-0.25178990000000001</v>
      </c>
      <c r="Z436">
        <v>2.2904600000000001E-2</v>
      </c>
      <c r="AA436">
        <v>0.96751089999999995</v>
      </c>
      <c r="AB436">
        <v>25</v>
      </c>
      <c r="AC436">
        <v>7.2706</v>
      </c>
      <c r="AD436">
        <v>-1.103812155592</v>
      </c>
      <c r="AE436">
        <v>-46.513500000000001</v>
      </c>
      <c r="AF436">
        <v>-11.907939158941099</v>
      </c>
      <c r="AG436">
        <v>-1.103812155592</v>
      </c>
      <c r="AH436">
        <v>45.520693063120802</v>
      </c>
      <c r="AI436">
        <v>91.343865998352598</v>
      </c>
      <c r="AJ436">
        <v>104.659728261526</v>
      </c>
      <c r="AK436">
        <v>47.065389759723999</v>
      </c>
    </row>
    <row r="437" spans="1:37" x14ac:dyDescent="0.2">
      <c r="A437" t="str">
        <f>"20200111150514654"</f>
        <v>20200111150514654</v>
      </c>
      <c r="B437" t="str">
        <f>"1578726314645024"</f>
        <v>1578726314645024</v>
      </c>
      <c r="C437" t="s">
        <v>37</v>
      </c>
      <c r="D437">
        <v>5.356306</v>
      </c>
      <c r="E437">
        <v>0.42194709999999902</v>
      </c>
      <c r="F437" t="s">
        <v>39</v>
      </c>
      <c r="G437">
        <v>-188.18129999999999</v>
      </c>
      <c r="H437" s="1">
        <v>-1.9861689999999999E-6</v>
      </c>
      <c r="I437">
        <v>313.15050000000002</v>
      </c>
      <c r="J437">
        <v>-191.34309999999999</v>
      </c>
      <c r="K437">
        <v>1.1038330000000001</v>
      </c>
      <c r="L437">
        <v>331.78739999999999</v>
      </c>
      <c r="M437">
        <v>-9.9887420000000005E-2</v>
      </c>
      <c r="N437">
        <v>0</v>
      </c>
      <c r="O437">
        <v>-0.99490879999999904</v>
      </c>
      <c r="P437">
        <v>-3.1503450000000002E-2</v>
      </c>
      <c r="Q437">
        <v>7.9022399999999896E-2</v>
      </c>
      <c r="R437">
        <v>-0.99637500000000001</v>
      </c>
      <c r="S437">
        <v>0.50604249999999995</v>
      </c>
      <c r="T437">
        <v>-0.17804300000000001</v>
      </c>
      <c r="U437">
        <v>-3.0465089999999999</v>
      </c>
      <c r="V437">
        <v>-6.8298979999999995E-2</v>
      </c>
      <c r="W437">
        <v>9.2241890000000007E-2</v>
      </c>
      <c r="X437">
        <v>0.99339149999999998</v>
      </c>
      <c r="Y437">
        <v>-0.26132100000000003</v>
      </c>
      <c r="Z437">
        <v>5.6503560000000001E-2</v>
      </c>
      <c r="AA437">
        <v>0.96359669999999897</v>
      </c>
      <c r="AB437">
        <v>25</v>
      </c>
      <c r="AC437">
        <v>3.1617999999999902</v>
      </c>
      <c r="AD437">
        <v>-1.103834986169</v>
      </c>
      <c r="AE437">
        <v>-18.636899999999901</v>
      </c>
      <c r="AF437">
        <v>-4.9907249579020903</v>
      </c>
      <c r="AG437">
        <v>-1.103834986169</v>
      </c>
      <c r="AH437">
        <v>18.165879822948501</v>
      </c>
      <c r="AI437">
        <v>93.353308670449096</v>
      </c>
      <c r="AJ437">
        <v>105.36190557130099</v>
      </c>
      <c r="AK437">
        <v>18.871273858007701</v>
      </c>
    </row>
    <row r="438" spans="1:37" x14ac:dyDescent="0.2">
      <c r="A438" t="str">
        <f>"20200111150514676"</f>
        <v>20200111150514676</v>
      </c>
      <c r="B438" t="str">
        <f>"1578726314665520"</f>
        <v>1578726314665520</v>
      </c>
      <c r="C438" t="s">
        <v>37</v>
      </c>
      <c r="D438">
        <v>5.3423590000000001</v>
      </c>
      <c r="E438">
        <v>0.4223923</v>
      </c>
      <c r="F438" t="s">
        <v>39</v>
      </c>
      <c r="G438">
        <v>-188.76580000000001</v>
      </c>
      <c r="H438" s="1">
        <v>-3.5230960000000001E-6</v>
      </c>
      <c r="I438">
        <v>316.62119999999999</v>
      </c>
      <c r="J438">
        <v>-191.3663</v>
      </c>
      <c r="K438">
        <v>1.103888</v>
      </c>
      <c r="L438">
        <v>331.54669999999999</v>
      </c>
      <c r="M438">
        <v>-9.9088629999999997E-2</v>
      </c>
      <c r="N438">
        <v>0</v>
      </c>
      <c r="O438">
        <v>-0.99498880000000001</v>
      </c>
      <c r="P438">
        <v>-2.6835749999999998E-2</v>
      </c>
      <c r="Q438">
        <v>7.7503379999999997E-2</v>
      </c>
      <c r="R438">
        <v>-0.99663089999999999</v>
      </c>
      <c r="S438">
        <v>0.51742549999999998</v>
      </c>
      <c r="T438">
        <v>-0.221611</v>
      </c>
      <c r="U438">
        <v>-3.0448300000000001</v>
      </c>
      <c r="V438">
        <v>-7.2181540000000002E-2</v>
      </c>
      <c r="W438">
        <v>9.0704820000000005E-2</v>
      </c>
      <c r="X438">
        <v>0.99325849999999904</v>
      </c>
      <c r="Y438">
        <v>-0.26398559999999999</v>
      </c>
      <c r="Z438">
        <v>7.0264359999999998E-2</v>
      </c>
      <c r="AA438">
        <v>0.96196389999999998</v>
      </c>
      <c r="AB438">
        <v>25</v>
      </c>
      <c r="AC438">
        <v>2.6004999999999798</v>
      </c>
      <c r="AD438">
        <v>-1.103891523096</v>
      </c>
      <c r="AE438">
        <v>-14.9255</v>
      </c>
      <c r="AF438">
        <v>-4.0453029192116299</v>
      </c>
      <c r="AG438">
        <v>-1.103891523096</v>
      </c>
      <c r="AH438">
        <v>14.517258465558699</v>
      </c>
      <c r="AI438">
        <v>94.1893913846651</v>
      </c>
      <c r="AJ438">
        <v>105.570747505055</v>
      </c>
      <c r="AK438">
        <v>15.110719557942399</v>
      </c>
    </row>
    <row r="439" spans="1:37" x14ac:dyDescent="0.2">
      <c r="A439" t="str">
        <f>"20200111150514700"</f>
        <v>20200111150514700</v>
      </c>
      <c r="B439" t="str">
        <f>"1578726314694800"</f>
        <v>1578726314694800</v>
      </c>
      <c r="C439" t="s">
        <v>37</v>
      </c>
      <c r="D439">
        <v>5.3665529999999997</v>
      </c>
      <c r="E439">
        <v>0.42272179999999998</v>
      </c>
      <c r="F439" t="s">
        <v>39</v>
      </c>
      <c r="G439">
        <v>-188.92349999999999</v>
      </c>
      <c r="H439" s="1">
        <v>-3.899926E-6</v>
      </c>
      <c r="I439">
        <v>317.47750000000002</v>
      </c>
      <c r="J439">
        <v>-191.39189999999999</v>
      </c>
      <c r="K439">
        <v>1.103966</v>
      </c>
      <c r="L439">
        <v>331.27780000000001</v>
      </c>
      <c r="M439">
        <v>-9.8084920000000006E-2</v>
      </c>
      <c r="N439">
        <v>0</v>
      </c>
      <c r="O439">
        <v>-0.99508819999999998</v>
      </c>
      <c r="P439">
        <v>-2.2602690000000002E-2</v>
      </c>
      <c r="Q439">
        <v>7.8006590000000001E-2</v>
      </c>
      <c r="R439">
        <v>-0.9966971</v>
      </c>
      <c r="S439">
        <v>0.52833560000000002</v>
      </c>
      <c r="T439">
        <v>-0.2387522</v>
      </c>
      <c r="U439">
        <v>-3.0429080000000002</v>
      </c>
      <c r="V439">
        <v>-7.5415510000000005E-2</v>
      </c>
      <c r="W439">
        <v>9.1184909999999994E-2</v>
      </c>
      <c r="X439">
        <v>0.99297420000000003</v>
      </c>
      <c r="Y439">
        <v>-0.26639350000000001</v>
      </c>
      <c r="Z439">
        <v>7.5677579999999994E-2</v>
      </c>
      <c r="AA439">
        <v>0.96088890000000005</v>
      </c>
      <c r="AB439">
        <v>25</v>
      </c>
      <c r="AC439">
        <v>2.4683999999999999</v>
      </c>
      <c r="AD439">
        <v>-1.1039698999259999</v>
      </c>
      <c r="AE439">
        <v>-13.800299999999901</v>
      </c>
      <c r="AF439">
        <v>-3.7867362313394399</v>
      </c>
      <c r="AG439">
        <v>-1.1039698999259999</v>
      </c>
      <c r="AH439">
        <v>13.4084635441711</v>
      </c>
      <c r="AI439">
        <v>94.530345513291707</v>
      </c>
      <c r="AJ439">
        <v>105.770416292025</v>
      </c>
      <c r="AK439">
        <v>13.9765881187451</v>
      </c>
    </row>
    <row r="440" spans="1:37" x14ac:dyDescent="0.2">
      <c r="A440" t="str">
        <f>"20200111150514722"</f>
        <v>20200111150514722</v>
      </c>
      <c r="B440" t="str">
        <f>"1578726314715295"</f>
        <v>1578726314715295</v>
      </c>
      <c r="C440" t="s">
        <v>37</v>
      </c>
      <c r="D440">
        <v>5.3533220000000004</v>
      </c>
      <c r="E440">
        <v>0.42332890000000001</v>
      </c>
      <c r="F440" t="s">
        <v>39</v>
      </c>
      <c r="G440">
        <v>-189.00599999999901</v>
      </c>
      <c r="H440" s="1">
        <v>-4.0445760000000004E-6</v>
      </c>
      <c r="I440">
        <v>317.81450000000001</v>
      </c>
      <c r="J440">
        <v>-191.4152</v>
      </c>
      <c r="K440">
        <v>1.1040639999999999</v>
      </c>
      <c r="L440">
        <v>331.0301</v>
      </c>
      <c r="M440">
        <v>-9.7029749999999998E-2</v>
      </c>
      <c r="N440">
        <v>0</v>
      </c>
      <c r="O440">
        <v>-0.99519179999999996</v>
      </c>
      <c r="P440">
        <v>-2.0019269999999999E-2</v>
      </c>
      <c r="Q440">
        <v>7.9077460000000002E-2</v>
      </c>
      <c r="R440">
        <v>-0.99666790000000005</v>
      </c>
      <c r="S440">
        <v>0.53903199999999996</v>
      </c>
      <c r="T440">
        <v>-0.24940989999999999</v>
      </c>
      <c r="U440">
        <v>-3.0416560000000001</v>
      </c>
      <c r="V440">
        <v>-7.6950560000000001E-2</v>
      </c>
      <c r="W440">
        <v>9.2235239999999996E-2</v>
      </c>
      <c r="X440">
        <v>0.99275939999999996</v>
      </c>
      <c r="Y440">
        <v>-0.26866960000000001</v>
      </c>
      <c r="Z440">
        <v>7.902903E-2</v>
      </c>
      <c r="AA440">
        <v>0.95998490000000003</v>
      </c>
      <c r="AB440">
        <v>25</v>
      </c>
      <c r="AC440">
        <v>2.4092000000000202</v>
      </c>
      <c r="AD440">
        <v>-1.1040680445759901</v>
      </c>
      <c r="AE440">
        <v>-13.215599999999901</v>
      </c>
      <c r="AF440">
        <v>-3.65555797697905</v>
      </c>
      <c r="AG440">
        <v>-1.1040680445759901</v>
      </c>
      <c r="AH440">
        <v>12.8327616976269</v>
      </c>
      <c r="AI440">
        <v>94.730074382275703</v>
      </c>
      <c r="AJ440">
        <v>105.900205027236</v>
      </c>
      <c r="AK440">
        <v>13.388870122538</v>
      </c>
    </row>
    <row r="441" spans="1:37" x14ac:dyDescent="0.2">
      <c r="A441" t="str">
        <f>"20200111150514744"</f>
        <v>20200111150514744</v>
      </c>
      <c r="B441" t="str">
        <f>"1578726314734815"</f>
        <v>1578726314734815</v>
      </c>
      <c r="C441" t="s">
        <v>37</v>
      </c>
      <c r="D441">
        <v>5.3466699999999996</v>
      </c>
      <c r="E441">
        <v>0.42391879999999998</v>
      </c>
      <c r="F441" t="s">
        <v>39</v>
      </c>
      <c r="G441">
        <v>-189.0247</v>
      </c>
      <c r="H441" s="1">
        <v>-3.9478900000000001E-6</v>
      </c>
      <c r="I441">
        <v>317.61689999999999</v>
      </c>
      <c r="J441">
        <v>-191.43799999999999</v>
      </c>
      <c r="K441">
        <v>1.104176</v>
      </c>
      <c r="L441">
        <v>330.7824</v>
      </c>
      <c r="M441">
        <v>-9.5813869999999995E-2</v>
      </c>
      <c r="N441">
        <v>0</v>
      </c>
      <c r="O441">
        <v>-0.99530949999999996</v>
      </c>
      <c r="P441">
        <v>-1.943725E-2</v>
      </c>
      <c r="Q441">
        <v>8.0651860000000006E-2</v>
      </c>
      <c r="R441">
        <v>-0.99655329999999998</v>
      </c>
      <c r="S441">
        <v>0.54193119999999995</v>
      </c>
      <c r="T441">
        <v>-0.25029600000000002</v>
      </c>
      <c r="U441">
        <v>-3.0408019999999998</v>
      </c>
      <c r="V441">
        <v>-7.6329690000000006E-2</v>
      </c>
      <c r="W441">
        <v>9.3791079999999999E-2</v>
      </c>
      <c r="X441">
        <v>0.99266160000000003</v>
      </c>
      <c r="Y441">
        <v>-0.26842250000000001</v>
      </c>
      <c r="Z441">
        <v>7.934049E-2</v>
      </c>
      <c r="AA441">
        <v>0.9600284</v>
      </c>
      <c r="AB441">
        <v>25</v>
      </c>
      <c r="AC441">
        <v>2.4132999999999898</v>
      </c>
      <c r="AD441">
        <v>-1.1041799478899901</v>
      </c>
      <c r="AE441">
        <v>-13.1655</v>
      </c>
      <c r="AF441">
        <v>-3.6389806580895101</v>
      </c>
      <c r="AG441">
        <v>-1.1041799478899901</v>
      </c>
      <c r="AH441">
        <v>12.7866519409831</v>
      </c>
      <c r="AI441">
        <v>94.747867664314299</v>
      </c>
      <c r="AJ441">
        <v>105.88593655538899</v>
      </c>
      <c r="AK441">
        <v>13.340159723448499</v>
      </c>
    </row>
    <row r="442" spans="1:37" x14ac:dyDescent="0.2">
      <c r="A442" t="str">
        <f>"20200111150514767"</f>
        <v>20200111150514767</v>
      </c>
      <c r="B442" t="str">
        <f>"1578726314755312"</f>
        <v>1578726314755312</v>
      </c>
      <c r="C442" t="s">
        <v>37</v>
      </c>
      <c r="D442">
        <v>5.3589989999999998</v>
      </c>
      <c r="E442">
        <v>0.42451430000000001</v>
      </c>
      <c r="F442" t="s">
        <v>39</v>
      </c>
      <c r="G442">
        <v>-189.053</v>
      </c>
      <c r="H442" s="1">
        <v>-3.81235599999999E-6</v>
      </c>
      <c r="I442">
        <v>317.34089999999998</v>
      </c>
      <c r="J442">
        <v>-191.45949999999999</v>
      </c>
      <c r="K442">
        <v>1.104306</v>
      </c>
      <c r="L442">
        <v>330.54410000000001</v>
      </c>
      <c r="M442">
        <v>-9.4466670000000003E-2</v>
      </c>
      <c r="N442">
        <v>0</v>
      </c>
      <c r="O442">
        <v>-0.99543819999999905</v>
      </c>
      <c r="P442">
        <v>-1.8470440000000001E-2</v>
      </c>
      <c r="Q442">
        <v>8.2375760000000006E-2</v>
      </c>
      <c r="R442">
        <v>-0.99643019999999904</v>
      </c>
      <c r="S442">
        <v>0.53959659999999998</v>
      </c>
      <c r="T442">
        <v>-0.24981869999999901</v>
      </c>
      <c r="U442">
        <v>-3.0411380000000001</v>
      </c>
      <c r="V442">
        <v>-7.5965649999999996E-2</v>
      </c>
      <c r="W442">
        <v>9.5493809999999998E-2</v>
      </c>
      <c r="X442">
        <v>0.9925271</v>
      </c>
      <c r="Y442">
        <v>-0.2663874</v>
      </c>
      <c r="Z442">
        <v>7.9225610000000002E-2</v>
      </c>
      <c r="AA442">
        <v>0.96060449999999997</v>
      </c>
      <c r="AB442">
        <v>25</v>
      </c>
      <c r="AC442">
        <v>2.4064999999999901</v>
      </c>
      <c r="AD442">
        <v>-1.104309812356</v>
      </c>
      <c r="AE442">
        <v>-13.203200000000001</v>
      </c>
      <c r="AF442">
        <v>-3.6186098118787302</v>
      </c>
      <c r="AG442">
        <v>-1.104309812356</v>
      </c>
      <c r="AH442">
        <v>12.8299237673241</v>
      </c>
      <c r="AI442">
        <v>94.735629937210106</v>
      </c>
      <c r="AJ442">
        <v>105.75081527802401</v>
      </c>
      <c r="AK442">
        <v>13.376127279883301</v>
      </c>
    </row>
    <row r="443" spans="1:37" x14ac:dyDescent="0.2">
      <c r="A443" t="str">
        <f>"20200111150514789"</f>
        <v>20200111150514789</v>
      </c>
      <c r="B443" t="str">
        <f>"1578726314784592"</f>
        <v>1578726314784592</v>
      </c>
      <c r="C443" t="s">
        <v>37</v>
      </c>
      <c r="D443">
        <v>5.3511089999999903</v>
      </c>
      <c r="E443">
        <v>0.4113059</v>
      </c>
      <c r="F443" t="s">
        <v>39</v>
      </c>
      <c r="G443">
        <v>-189.0558</v>
      </c>
      <c r="H443" s="1">
        <v>-3.6285399999999999E-6</v>
      </c>
      <c r="I443">
        <v>316.95299999999997</v>
      </c>
      <c r="J443">
        <v>-191.482</v>
      </c>
      <c r="K443">
        <v>1.104463</v>
      </c>
      <c r="L443">
        <v>330.28789999999998</v>
      </c>
      <c r="M443">
        <v>-9.2820379999999994E-2</v>
      </c>
      <c r="N443">
        <v>0</v>
      </c>
      <c r="O443">
        <v>-0.99559319999999896</v>
      </c>
      <c r="P443">
        <v>-1.6814740000000002E-2</v>
      </c>
      <c r="Q443">
        <v>8.4267690000000006E-2</v>
      </c>
      <c r="R443">
        <v>-0.99630180000000002</v>
      </c>
      <c r="S443">
        <v>0.53784180000000004</v>
      </c>
      <c r="T443">
        <v>-0.24710119999999999</v>
      </c>
      <c r="U443">
        <v>-3.0411380000000001</v>
      </c>
      <c r="V443">
        <v>-7.5996320000000006E-2</v>
      </c>
      <c r="W443">
        <v>9.7359509999999996E-2</v>
      </c>
      <c r="X443">
        <v>0.99234349999999905</v>
      </c>
      <c r="Y443">
        <v>-0.26426719999999998</v>
      </c>
      <c r="Z443">
        <v>7.8415479999999996E-2</v>
      </c>
      <c r="AA443">
        <v>0.96125640000000001</v>
      </c>
      <c r="AB443">
        <v>25</v>
      </c>
      <c r="AC443">
        <v>2.4261999999999899</v>
      </c>
      <c r="AD443">
        <v>-1.10446662854</v>
      </c>
      <c r="AE443">
        <v>-13.334899999999999</v>
      </c>
      <c r="AF443">
        <v>-3.6294843684631499</v>
      </c>
      <c r="AG443">
        <v>-1.10446662854</v>
      </c>
      <c r="AH443">
        <v>12.9660032910274</v>
      </c>
      <c r="AI443">
        <v>94.689392455792998</v>
      </c>
      <c r="AJ443">
        <v>105.63816283362399</v>
      </c>
      <c r="AK443">
        <v>13.5096352525673</v>
      </c>
    </row>
    <row r="444" spans="1:37" x14ac:dyDescent="0.2">
      <c r="A444" t="str">
        <f>"20200111150514810"</f>
        <v>20200111150514810</v>
      </c>
      <c r="B444" t="str">
        <f>"1578726314805087"</f>
        <v>1578726314805087</v>
      </c>
      <c r="C444" t="s">
        <v>37</v>
      </c>
      <c r="D444">
        <v>5.3563619999999998</v>
      </c>
      <c r="E444">
        <v>0.43032619999999999</v>
      </c>
      <c r="F444" t="s">
        <v>61</v>
      </c>
      <c r="G444">
        <v>-164.74629999999999</v>
      </c>
      <c r="H444">
        <v>18.94971</v>
      </c>
      <c r="I444">
        <v>209.33770000000001</v>
      </c>
      <c r="J444">
        <v>-191.50200000000001</v>
      </c>
      <c r="K444">
        <v>1.1046069999999999</v>
      </c>
      <c r="L444">
        <v>330.05309999999997</v>
      </c>
      <c r="M444">
        <v>-9.1125150000000002E-2</v>
      </c>
      <c r="N444">
        <v>0</v>
      </c>
      <c r="O444">
        <v>-0.99574940000000001</v>
      </c>
      <c r="P444">
        <v>-1.446094E-2</v>
      </c>
      <c r="Q444">
        <v>8.5718799999999998E-2</v>
      </c>
      <c r="R444">
        <v>-0.99621469999999901</v>
      </c>
      <c r="S444">
        <v>0.65983579999999997</v>
      </c>
      <c r="T444">
        <v>0.4404206</v>
      </c>
      <c r="U444">
        <v>-2.9850460000000001</v>
      </c>
      <c r="V444">
        <v>-7.6676830000000001E-2</v>
      </c>
      <c r="W444">
        <v>9.8783609999999994E-2</v>
      </c>
      <c r="X444">
        <v>0.99215039999999999</v>
      </c>
      <c r="Y444">
        <v>-0.30176799999999998</v>
      </c>
      <c r="Z444">
        <v>-0.13998720000000001</v>
      </c>
      <c r="AA444">
        <v>0.94304809999999994</v>
      </c>
      <c r="AB444">
        <v>25</v>
      </c>
      <c r="AC444">
        <v>26.755700000000001</v>
      </c>
      <c r="AD444">
        <v>17.845102999999899</v>
      </c>
      <c r="AE444">
        <v>-120.71539999999899</v>
      </c>
      <c r="AF444">
        <v>-36.8774075839357</v>
      </c>
      <c r="AG444">
        <v>17.845102999999899</v>
      </c>
      <c r="AH444">
        <v>115.371563515079</v>
      </c>
      <c r="AI444">
        <v>81.618814644181995</v>
      </c>
      <c r="AJ444">
        <v>107.72597763104601</v>
      </c>
      <c r="AK444">
        <v>122.429524866783</v>
      </c>
    </row>
    <row r="445" spans="1:37" x14ac:dyDescent="0.2">
      <c r="A445" t="str">
        <f>"20200111150514833"</f>
        <v>20200111150514833</v>
      </c>
      <c r="B445" t="str">
        <f>"1578726314824608"</f>
        <v>1578726314824608</v>
      </c>
      <c r="C445" t="s">
        <v>37</v>
      </c>
      <c r="D445">
        <v>5.376061</v>
      </c>
      <c r="E445">
        <v>0.43072929999999998</v>
      </c>
      <c r="F445" t="s">
        <v>39</v>
      </c>
      <c r="G445">
        <v>-189.44649999999999</v>
      </c>
      <c r="H445" s="1">
        <v>-3.8900150000000002E-6</v>
      </c>
      <c r="I445">
        <v>317.65280000000001</v>
      </c>
      <c r="J445">
        <v>-191.52289999999999</v>
      </c>
      <c r="K445">
        <v>1.104749</v>
      </c>
      <c r="L445">
        <v>329.80040000000002</v>
      </c>
      <c r="M445">
        <v>-8.9116940000000006E-2</v>
      </c>
      <c r="N445">
        <v>0</v>
      </c>
      <c r="O445">
        <v>-0.99593149999999997</v>
      </c>
      <c r="P445">
        <v>-1.106248E-2</v>
      </c>
      <c r="Q445">
        <v>8.5672540000000005E-2</v>
      </c>
      <c r="R445">
        <v>-0.99626239999999999</v>
      </c>
      <c r="S445">
        <v>0.50424190000000002</v>
      </c>
      <c r="T445">
        <v>-0.27098070000000002</v>
      </c>
      <c r="U445">
        <v>-3.0420229999999999</v>
      </c>
      <c r="V445">
        <v>-7.809518E-2</v>
      </c>
      <c r="W445">
        <v>9.8708160000000003E-2</v>
      </c>
      <c r="X445">
        <v>0.99204729999999997</v>
      </c>
      <c r="Y445">
        <v>-0.2501853</v>
      </c>
      <c r="Z445">
        <v>8.6201879999999995E-2</v>
      </c>
      <c r="AA445">
        <v>0.96435289999999996</v>
      </c>
      <c r="AB445">
        <v>25</v>
      </c>
      <c r="AC445">
        <v>2.0764</v>
      </c>
      <c r="AD445">
        <v>-1.1047528900149901</v>
      </c>
      <c r="AE445">
        <v>-12.147600000000001</v>
      </c>
      <c r="AF445">
        <v>-3.1256724773089499</v>
      </c>
      <c r="AG445">
        <v>-1.1047528900149901</v>
      </c>
      <c r="AH445">
        <v>11.8192194210433</v>
      </c>
      <c r="AI445">
        <v>95.163472364289404</v>
      </c>
      <c r="AJ445">
        <v>104.81314015845101</v>
      </c>
      <c r="AK445">
        <v>12.2753515267861</v>
      </c>
    </row>
    <row r="446" spans="1:37" x14ac:dyDescent="0.2">
      <c r="A446" t="str">
        <f>"20200111150514854"</f>
        <v>20200111150514854</v>
      </c>
      <c r="B446" t="str">
        <f>"1578726314845104"</f>
        <v>1578726314845104</v>
      </c>
      <c r="C446" t="s">
        <v>37</v>
      </c>
      <c r="D446">
        <v>5.3684029999999998</v>
      </c>
      <c r="E446">
        <v>0.43104290000000001</v>
      </c>
      <c r="F446" t="s">
        <v>39</v>
      </c>
      <c r="G446">
        <v>-189.38380000000001</v>
      </c>
      <c r="H446" s="1">
        <v>-3.6257989999999998E-6</v>
      </c>
      <c r="I446">
        <v>317.07029999999997</v>
      </c>
      <c r="J446">
        <v>-191.54220000000001</v>
      </c>
      <c r="K446">
        <v>1.104846</v>
      </c>
      <c r="L446">
        <v>329.55790000000002</v>
      </c>
      <c r="M446">
        <v>-8.7030280000000002E-2</v>
      </c>
      <c r="N446">
        <v>0</v>
      </c>
      <c r="O446">
        <v>-0.996116</v>
      </c>
      <c r="P446">
        <v>-6.5221280000000003E-3</v>
      </c>
      <c r="Q446">
        <v>8.4564699999999896E-2</v>
      </c>
      <c r="R446">
        <v>-0.99639690000000003</v>
      </c>
      <c r="S446">
        <v>0.51077269999999997</v>
      </c>
      <c r="T446">
        <v>-0.26378970000000002</v>
      </c>
      <c r="U446">
        <v>-3.03964199999999</v>
      </c>
      <c r="V446">
        <v>-8.0570470000000005E-2</v>
      </c>
      <c r="W446">
        <v>9.7573069999999998E-2</v>
      </c>
      <c r="X446">
        <v>0.99196169999999995</v>
      </c>
      <c r="Y446">
        <v>-0.25032660000000001</v>
      </c>
      <c r="Z446">
        <v>8.4003419999999995E-2</v>
      </c>
      <c r="AA446">
        <v>0.96451030000000004</v>
      </c>
      <c r="AB446">
        <v>25</v>
      </c>
      <c r="AC446">
        <v>2.1583999999999999</v>
      </c>
      <c r="AD446">
        <v>-1.1048496257989999</v>
      </c>
      <c r="AE446">
        <v>-12.4876</v>
      </c>
      <c r="AF446">
        <v>-3.2126860141189302</v>
      </c>
      <c r="AG446">
        <v>-1.1048496257989999</v>
      </c>
      <c r="AH446">
        <v>12.1599203568414</v>
      </c>
      <c r="AI446">
        <v>95.020300612181202</v>
      </c>
      <c r="AJ446">
        <v>104.79954402086599</v>
      </c>
      <c r="AK446">
        <v>12.6255973009466</v>
      </c>
    </row>
    <row r="447" spans="1:37" x14ac:dyDescent="0.2">
      <c r="A447" t="str">
        <f>"20200111150514878"</f>
        <v>20200111150514878</v>
      </c>
      <c r="B447" t="str">
        <f>"1578726314874383"</f>
        <v>1578726314874383</v>
      </c>
      <c r="C447" t="s">
        <v>37</v>
      </c>
      <c r="D447">
        <v>5.3678989999999898</v>
      </c>
      <c r="E447">
        <v>0.43138929999999998</v>
      </c>
      <c r="F447" t="s">
        <v>39</v>
      </c>
      <c r="G447">
        <v>-189.37379999999999</v>
      </c>
      <c r="H447" s="1">
        <v>-3.5602810000000001E-6</v>
      </c>
      <c r="I447">
        <v>316.928</v>
      </c>
      <c r="J447">
        <v>-191.5615</v>
      </c>
      <c r="K447">
        <v>1.1049119999999999</v>
      </c>
      <c r="L447">
        <v>329.30770000000001</v>
      </c>
      <c r="M447">
        <v>-8.4762950000000004E-2</v>
      </c>
      <c r="N447">
        <v>0</v>
      </c>
      <c r="O447">
        <v>-0.99631119999999995</v>
      </c>
      <c r="P447">
        <v>-1.238591E-3</v>
      </c>
      <c r="Q447">
        <v>8.3497139999999997E-2</v>
      </c>
      <c r="R447">
        <v>-0.99650749999999999</v>
      </c>
      <c r="S447">
        <v>0.52139279999999999</v>
      </c>
      <c r="T447">
        <v>-0.26565889999999998</v>
      </c>
      <c r="U447">
        <v>-3.036835</v>
      </c>
      <c r="V447">
        <v>-8.3597790000000005E-2</v>
      </c>
      <c r="W447">
        <v>9.6476300000000001E-2</v>
      </c>
      <c r="X447">
        <v>0.99181839999999999</v>
      </c>
      <c r="Y447">
        <v>-0.25153799999999998</v>
      </c>
      <c r="Z447">
        <v>8.4658140000000007E-2</v>
      </c>
      <c r="AA447">
        <v>0.96413780000000004</v>
      </c>
      <c r="AB447">
        <v>25</v>
      </c>
      <c r="AC447">
        <v>2.1877</v>
      </c>
      <c r="AD447">
        <v>-1.1049155602809999</v>
      </c>
      <c r="AE447">
        <v>-12.3797</v>
      </c>
      <c r="AF447">
        <v>-3.2045053995712802</v>
      </c>
      <c r="AG447">
        <v>-1.1049155602809999</v>
      </c>
      <c r="AH447">
        <v>12.0565531989722</v>
      </c>
      <c r="AI447">
        <v>95.061441581703406</v>
      </c>
      <c r="AJ447">
        <v>104.884486298486</v>
      </c>
      <c r="AK447">
        <v>12.523983722876601</v>
      </c>
    </row>
    <row r="448" spans="1:37" x14ac:dyDescent="0.2">
      <c r="A448" t="str">
        <f>"20200111150514901"</f>
        <v>20200111150514901</v>
      </c>
      <c r="B448" t="str">
        <f>"1578726314894880"</f>
        <v>1578726314894880</v>
      </c>
      <c r="C448" t="s">
        <v>37</v>
      </c>
      <c r="D448">
        <v>5.2755019999999897</v>
      </c>
      <c r="E448">
        <v>0.43233440000000001</v>
      </c>
      <c r="F448" t="s">
        <v>39</v>
      </c>
      <c r="G448">
        <v>-189.34719999999999</v>
      </c>
      <c r="H448" s="1">
        <v>-3.46634599999999E-6</v>
      </c>
      <c r="I448">
        <v>316.71929999999998</v>
      </c>
      <c r="J448">
        <v>-191.5805</v>
      </c>
      <c r="K448">
        <v>1.1049530000000001</v>
      </c>
      <c r="L448">
        <v>329.05220000000003</v>
      </c>
      <c r="M448">
        <v>-8.2367780000000002E-2</v>
      </c>
      <c r="N448">
        <v>0</v>
      </c>
      <c r="O448">
        <v>-0.99651250000000002</v>
      </c>
      <c r="P448">
        <v>4.5219320000000002E-3</v>
      </c>
      <c r="Q448">
        <v>8.3340330000000004E-2</v>
      </c>
      <c r="R448">
        <v>-0.99651109999999898</v>
      </c>
      <c r="S448">
        <v>0.53358459999999996</v>
      </c>
      <c r="T448">
        <v>-0.26625599999999999</v>
      </c>
      <c r="U448">
        <v>-3.0334779999999899</v>
      </c>
      <c r="V448">
        <v>-8.6962479999999995E-2</v>
      </c>
      <c r="W448">
        <v>9.6279329999999996E-2</v>
      </c>
      <c r="X448">
        <v>0.99154819999999999</v>
      </c>
      <c r="Y448">
        <v>-0.25314699999999901</v>
      </c>
      <c r="Z448">
        <v>8.4918010000000002E-2</v>
      </c>
      <c r="AA448">
        <v>0.96369369999999999</v>
      </c>
      <c r="AB448">
        <v>25</v>
      </c>
      <c r="AC448">
        <v>2.2333000000000101</v>
      </c>
      <c r="AD448">
        <v>-1.1049564663460001</v>
      </c>
      <c r="AE448">
        <v>-12.3329</v>
      </c>
      <c r="AF448">
        <v>-3.2166335996638198</v>
      </c>
      <c r="AG448">
        <v>-1.1049564663460001</v>
      </c>
      <c r="AH448">
        <v>12.013643824577899</v>
      </c>
      <c r="AI448">
        <v>95.077147788341193</v>
      </c>
      <c r="AJ448">
        <v>104.989264170879</v>
      </c>
      <c r="AK448">
        <v>12.485803876836499</v>
      </c>
    </row>
    <row r="449" spans="1:37" x14ac:dyDescent="0.2">
      <c r="A449" t="str">
        <f>"20200111150514921"</f>
        <v>20200111150514921</v>
      </c>
      <c r="B449" t="str">
        <f>"1578726314914400"</f>
        <v>1578726314914400</v>
      </c>
      <c r="C449" t="s">
        <v>37</v>
      </c>
      <c r="D449">
        <v>5.5596180000000004</v>
      </c>
      <c r="E449">
        <v>0.43311250000000001</v>
      </c>
      <c r="F449" t="s">
        <v>39</v>
      </c>
      <c r="G449">
        <v>-189.33240000000001</v>
      </c>
      <c r="H449" s="1">
        <v>-3.3648329999999998E-6</v>
      </c>
      <c r="I449">
        <v>316.49900000000002</v>
      </c>
      <c r="J449">
        <v>-191.59690000000001</v>
      </c>
      <c r="K449">
        <v>1.10497</v>
      </c>
      <c r="L449">
        <v>328.82420000000002</v>
      </c>
      <c r="M449">
        <v>-8.0194500000000002E-2</v>
      </c>
      <c r="N449">
        <v>0</v>
      </c>
      <c r="O449">
        <v>-0.99668969999999901</v>
      </c>
      <c r="P449">
        <v>8.8706870000000004E-3</v>
      </c>
      <c r="Q449">
        <v>8.3734539999999996E-2</v>
      </c>
      <c r="R449">
        <v>-0.99644849999999996</v>
      </c>
      <c r="S449">
        <v>0.54270940000000001</v>
      </c>
      <c r="T449">
        <v>-0.26674029999999999</v>
      </c>
      <c r="U449">
        <v>-3.0303960000000001</v>
      </c>
      <c r="V449">
        <v>-8.9133110000000002E-2</v>
      </c>
      <c r="W449">
        <v>9.6639080000000002E-2</v>
      </c>
      <c r="X449">
        <v>0.99132039999999999</v>
      </c>
      <c r="Y449">
        <v>-0.25401469999999998</v>
      </c>
      <c r="Z449">
        <v>8.5147120000000007E-2</v>
      </c>
      <c r="AA449">
        <v>0.96344509999999906</v>
      </c>
      <c r="AB449">
        <v>25</v>
      </c>
      <c r="AC449">
        <v>2.2644999999999902</v>
      </c>
      <c r="AD449">
        <v>-1.104973364833</v>
      </c>
      <c r="AE449">
        <v>-12.325199999999899</v>
      </c>
      <c r="AF449">
        <v>-3.2206662341228598</v>
      </c>
      <c r="AG449">
        <v>-1.104973364833</v>
      </c>
      <c r="AH449">
        <v>12.010498677388901</v>
      </c>
      <c r="AI449">
        <v>95.078035037243794</v>
      </c>
      <c r="AJ449">
        <v>105.010961204654</v>
      </c>
      <c r="AK449">
        <v>12.4838189512732</v>
      </c>
    </row>
    <row r="450" spans="1:37" x14ac:dyDescent="0.2">
      <c r="A450" t="str">
        <f>"20200111150514944"</f>
        <v>20200111150514944</v>
      </c>
      <c r="B450" t="str">
        <f>"1578726314934896"</f>
        <v>1578726314934896</v>
      </c>
      <c r="C450" t="s">
        <v>37</v>
      </c>
      <c r="D450">
        <v>6.5208079999999997</v>
      </c>
      <c r="E450">
        <v>0.46581040000000001</v>
      </c>
      <c r="F450" t="s">
        <v>39</v>
      </c>
      <c r="G450">
        <v>-189.30070000000001</v>
      </c>
      <c r="H450" s="1">
        <v>-3.2142110000000002E-6</v>
      </c>
      <c r="I450">
        <v>316.16849999999999</v>
      </c>
      <c r="J450">
        <v>-191.6148</v>
      </c>
      <c r="K450">
        <v>1.1049719999999901</v>
      </c>
      <c r="L450">
        <v>328.5659</v>
      </c>
      <c r="M450">
        <v>-7.7723459999999994E-2</v>
      </c>
      <c r="N450">
        <v>0</v>
      </c>
      <c r="O450">
        <v>-0.99688589999999999</v>
      </c>
      <c r="P450">
        <v>1.2065050000000001E-2</v>
      </c>
      <c r="Q450">
        <v>8.4429980000000002E-2</v>
      </c>
      <c r="R450">
        <v>-0.99635669999999898</v>
      </c>
      <c r="S450">
        <v>0.54937740000000002</v>
      </c>
      <c r="T450">
        <v>-0.26437620000000001</v>
      </c>
      <c r="U450">
        <v>-3.0280149999999999</v>
      </c>
      <c r="V450">
        <v>-8.9853760000000005E-2</v>
      </c>
      <c r="W450">
        <v>9.73078E-2</v>
      </c>
      <c r="X450">
        <v>0.99119000000000002</v>
      </c>
      <c r="Y450">
        <v>-0.25381419999999999</v>
      </c>
      <c r="Z450">
        <v>8.4474350000000004E-2</v>
      </c>
      <c r="AA450">
        <v>0.9635572</v>
      </c>
      <c r="AB450">
        <v>25</v>
      </c>
      <c r="AC450">
        <v>2.3140999999999901</v>
      </c>
      <c r="AD450">
        <v>-1.1049752142110001</v>
      </c>
      <c r="AE450">
        <v>-12.397399999999999</v>
      </c>
      <c r="AF450">
        <v>-3.2458358500973499</v>
      </c>
      <c r="AG450">
        <v>-1.1049752142110001</v>
      </c>
      <c r="AH450">
        <v>12.087225837268599</v>
      </c>
      <c r="AI450">
        <v>95.045498425698298</v>
      </c>
      <c r="AJ450">
        <v>105.03127887740899</v>
      </c>
      <c r="AK450">
        <v>12.5641334373259</v>
      </c>
    </row>
    <row r="451" spans="1:37" x14ac:dyDescent="0.2">
      <c r="A451" t="str">
        <f>"20200111150514966"</f>
        <v>20200111150514966</v>
      </c>
      <c r="B451" t="str">
        <f>"1578726314955392"</f>
        <v>1578726314955392</v>
      </c>
      <c r="C451" t="s">
        <v>37</v>
      </c>
      <c r="D451">
        <v>5.251074</v>
      </c>
      <c r="E451">
        <v>0.52048459999999996</v>
      </c>
      <c r="F451" t="s">
        <v>62</v>
      </c>
      <c r="G451">
        <v>-161.22999999999999</v>
      </c>
      <c r="H451">
        <v>87.247209999999995</v>
      </c>
      <c r="I451">
        <v>52.638890000000004</v>
      </c>
      <c r="J451">
        <v>-191.63040000000001</v>
      </c>
      <c r="K451">
        <v>1.1049599999999999</v>
      </c>
      <c r="L451">
        <v>328.33420000000001</v>
      </c>
      <c r="M451">
        <v>-7.5515879999999994E-2</v>
      </c>
      <c r="N451">
        <v>0</v>
      </c>
      <c r="O451">
        <v>-0.99705560000000004</v>
      </c>
      <c r="P451">
        <v>1.384781E-2</v>
      </c>
      <c r="Q451">
        <v>8.4413749999999996E-2</v>
      </c>
      <c r="R451">
        <v>-0.99633470000000002</v>
      </c>
      <c r="S451">
        <v>0.32260129999999998</v>
      </c>
      <c r="T451">
        <v>0.91458689999999998</v>
      </c>
      <c r="U451">
        <v>-2.9295650000000002</v>
      </c>
      <c r="V451">
        <v>-8.9430049999999997E-2</v>
      </c>
      <c r="W451">
        <v>9.7278359999999994E-2</v>
      </c>
      <c r="X451">
        <v>0.99123109999999903</v>
      </c>
      <c r="Y451">
        <v>-0.17934929999999999</v>
      </c>
      <c r="Z451">
        <v>-0.2934967</v>
      </c>
      <c r="AA451">
        <v>0.93898539999999997</v>
      </c>
      <c r="AB451">
        <v>25</v>
      </c>
      <c r="AC451">
        <v>30.400400000000001</v>
      </c>
      <c r="AD451">
        <v>86.142249999999905</v>
      </c>
      <c r="AE451">
        <v>-275.69531000000001</v>
      </c>
      <c r="AF451">
        <v>-46.636477885903098</v>
      </c>
      <c r="AG451">
        <v>86.142249999999905</v>
      </c>
      <c r="AH451">
        <v>248.63038078372901</v>
      </c>
      <c r="AI451">
        <v>71.194835671506695</v>
      </c>
      <c r="AJ451">
        <v>100.62372503155601</v>
      </c>
      <c r="AK451">
        <v>267.23120056110002</v>
      </c>
    </row>
    <row r="452" spans="1:37" x14ac:dyDescent="0.2">
      <c r="A452" t="str">
        <f>"20200111150514990"</f>
        <v>20200111150514990</v>
      </c>
      <c r="B452" t="str">
        <f>"1578726314984672"</f>
        <v>1578726314984672</v>
      </c>
      <c r="C452" t="s">
        <v>37</v>
      </c>
      <c r="D452">
        <v>5.5835509999999999</v>
      </c>
      <c r="E452">
        <v>0.52847769999999905</v>
      </c>
      <c r="F452" t="s">
        <v>39</v>
      </c>
      <c r="G452">
        <v>-198.50120000000001</v>
      </c>
      <c r="H452" s="1">
        <v>-4.7885620000000004E-6</v>
      </c>
      <c r="I452">
        <v>165.8289</v>
      </c>
      <c r="J452">
        <v>-191.64760000000001</v>
      </c>
      <c r="K452">
        <v>1.1049519999999999</v>
      </c>
      <c r="L452">
        <v>328.06909999999999</v>
      </c>
      <c r="M452">
        <v>-7.3011270000000003E-2</v>
      </c>
      <c r="N452">
        <v>0</v>
      </c>
      <c r="O452">
        <v>-0.99724249999999903</v>
      </c>
      <c r="P452">
        <v>1.4543260000000001E-2</v>
      </c>
      <c r="Q452">
        <v>8.4542729999999996E-2</v>
      </c>
      <c r="R452">
        <v>-0.99631389999999997</v>
      </c>
      <c r="S452">
        <v>-0.12745670000000001</v>
      </c>
      <c r="T452">
        <v>-2.0497680000000001E-2</v>
      </c>
      <c r="U452">
        <v>-3.0145569999999999</v>
      </c>
      <c r="V452">
        <v>-8.7626609999999994E-2</v>
      </c>
      <c r="W452">
        <v>9.7399849999999996E-2</v>
      </c>
      <c r="X452">
        <v>0.99138029999999999</v>
      </c>
      <c r="Y452">
        <v>-3.0823619999999999E-2</v>
      </c>
      <c r="Z452">
        <v>6.7675610000000001E-3</v>
      </c>
      <c r="AA452">
        <v>0.99950190000000005</v>
      </c>
      <c r="AB452">
        <v>25</v>
      </c>
      <c r="AC452">
        <v>-6.8536000000000001</v>
      </c>
      <c r="AD452">
        <v>-1.104956788562</v>
      </c>
      <c r="AE452">
        <v>-162.24019999999999</v>
      </c>
      <c r="AF452">
        <v>-5.01087271342272</v>
      </c>
      <c r="AG452">
        <v>-1.104956788562</v>
      </c>
      <c r="AH452">
        <v>162.300042496065</v>
      </c>
      <c r="AI452">
        <v>90.389884258667493</v>
      </c>
      <c r="AJ452">
        <v>91.768395638759401</v>
      </c>
      <c r="AK452">
        <v>162.38113674032201</v>
      </c>
    </row>
    <row r="453" spans="1:37" x14ac:dyDescent="0.2">
      <c r="A453" t="str">
        <f>"20200111150515010"</f>
        <v>20200111150515010</v>
      </c>
      <c r="B453" t="str">
        <f>"1578726315005168"</f>
        <v>1578726315005168</v>
      </c>
      <c r="C453" t="s">
        <v>37</v>
      </c>
      <c r="D453">
        <v>5.2895839999999996</v>
      </c>
      <c r="E453">
        <v>0.52482399999999996</v>
      </c>
      <c r="F453" t="s">
        <v>39</v>
      </c>
      <c r="G453">
        <v>-193.02690000000001</v>
      </c>
      <c r="H453" s="1">
        <v>-3.6721589999999899E-6</v>
      </c>
      <c r="I453">
        <v>306.27159999999998</v>
      </c>
      <c r="J453">
        <v>-191.66139999999999</v>
      </c>
      <c r="K453">
        <v>1.1049389999999999</v>
      </c>
      <c r="L453">
        <v>327.84730000000002</v>
      </c>
      <c r="M453">
        <v>-7.0934759999999999E-2</v>
      </c>
      <c r="N453">
        <v>0</v>
      </c>
      <c r="O453">
        <v>-0.99739259999999996</v>
      </c>
      <c r="P453">
        <v>1.442123E-2</v>
      </c>
      <c r="Q453">
        <v>8.4852929999999993E-2</v>
      </c>
      <c r="R453">
        <v>-0.99628939999999999</v>
      </c>
      <c r="S453">
        <v>-0.19154360000000001</v>
      </c>
      <c r="T453">
        <v>-0.15343999999999999</v>
      </c>
      <c r="U453">
        <v>-3.0269169999999899</v>
      </c>
      <c r="V453">
        <v>-8.543415E-2</v>
      </c>
      <c r="W453">
        <v>9.7706909999999994E-2</v>
      </c>
      <c r="X453">
        <v>0.99154140000000002</v>
      </c>
      <c r="Y453">
        <v>-7.885151E-3</v>
      </c>
      <c r="Z453">
        <v>5.0384760000000001E-2</v>
      </c>
      <c r="AA453">
        <v>0.9986988</v>
      </c>
      <c r="AB453">
        <v>25</v>
      </c>
      <c r="AC453">
        <v>-1.3655000000000199</v>
      </c>
      <c r="AD453">
        <v>-1.1049426721590001</v>
      </c>
      <c r="AE453">
        <v>-21.575700000000001</v>
      </c>
      <c r="AF453">
        <v>-0.16810323388794199</v>
      </c>
      <c r="AG453">
        <v>-1.1049426721590001</v>
      </c>
      <c r="AH453">
        <v>21.561885354932201</v>
      </c>
      <c r="AI453">
        <v>92.933477356183104</v>
      </c>
      <c r="AJ453">
        <v>90.446686851749803</v>
      </c>
      <c r="AK453">
        <v>21.590832708935501</v>
      </c>
    </row>
    <row r="454" spans="1:37" x14ac:dyDescent="0.2">
      <c r="A454" t="str">
        <f>"20200111150515035"</f>
        <v>20200111150515035</v>
      </c>
      <c r="B454" t="str">
        <f>"1578726315024687"</f>
        <v>1578726315024687</v>
      </c>
      <c r="C454" t="s">
        <v>37</v>
      </c>
      <c r="D454">
        <v>4.6455729999999997</v>
      </c>
      <c r="E454">
        <v>0.52223660000000005</v>
      </c>
      <c r="F454" t="s">
        <v>39</v>
      </c>
      <c r="G454">
        <v>-192.6738</v>
      </c>
      <c r="H454" s="1">
        <v>-4.5870469999999997E-6</v>
      </c>
      <c r="I454">
        <v>309.07229999999998</v>
      </c>
      <c r="J454">
        <v>-191.67789999999999</v>
      </c>
      <c r="K454">
        <v>1.104924</v>
      </c>
      <c r="L454">
        <v>327.57310000000001</v>
      </c>
      <c r="M454">
        <v>-6.8388379999999999E-2</v>
      </c>
      <c r="N454">
        <v>0</v>
      </c>
      <c r="O454">
        <v>-0.99757079999999998</v>
      </c>
      <c r="P454">
        <v>1.478165E-2</v>
      </c>
      <c r="Q454">
        <v>8.5636859999999995E-2</v>
      </c>
      <c r="R454">
        <v>-0.99621709999999997</v>
      </c>
      <c r="S454">
        <v>-0.16331479999999901</v>
      </c>
      <c r="T454">
        <v>-0.17824579999999901</v>
      </c>
      <c r="U454">
        <v>-3.0287169999999999</v>
      </c>
      <c r="V454">
        <v>-8.3254049999999996E-2</v>
      </c>
      <c r="W454">
        <v>9.8485630000000005E-2</v>
      </c>
      <c r="X454">
        <v>0.99164979999999903</v>
      </c>
      <c r="Y454">
        <v>-1.466977E-2</v>
      </c>
      <c r="Z454">
        <v>5.8498750000000002E-2</v>
      </c>
      <c r="AA454">
        <v>0.998179699999999</v>
      </c>
      <c r="AB454">
        <v>25</v>
      </c>
      <c r="AC454">
        <v>-0.995900000000006</v>
      </c>
      <c r="AD454">
        <v>-1.104928587047</v>
      </c>
      <c r="AE454">
        <v>-18.500800000000002</v>
      </c>
      <c r="AF454">
        <v>-0.27081964710682499</v>
      </c>
      <c r="AG454">
        <v>-1.104928587047</v>
      </c>
      <c r="AH454">
        <v>18.459937827271901</v>
      </c>
      <c r="AI454">
        <v>93.425012381322702</v>
      </c>
      <c r="AJ454">
        <v>90.840507148848403</v>
      </c>
      <c r="AK454">
        <v>18.494959179475799</v>
      </c>
    </row>
    <row r="455" spans="1:37" x14ac:dyDescent="0.2">
      <c r="A455" t="str">
        <f>"20200111150515080"</f>
        <v>20200111150515080</v>
      </c>
      <c r="B455" t="str">
        <f>"1578726315074463"</f>
        <v>1578726315074463</v>
      </c>
      <c r="C455" t="s">
        <v>37</v>
      </c>
      <c r="D455">
        <v>5.2211550000000004</v>
      </c>
      <c r="E455">
        <v>0.52230759999999998</v>
      </c>
      <c r="F455" t="s">
        <v>39</v>
      </c>
      <c r="G455">
        <v>-192.744</v>
      </c>
      <c r="H455" s="1">
        <v>-2.9080439999999999E-6</v>
      </c>
      <c r="I455">
        <v>304.666</v>
      </c>
      <c r="J455">
        <v>-191.70580000000001</v>
      </c>
      <c r="K455">
        <v>1.1049040000000001</v>
      </c>
      <c r="L455">
        <v>327.08080000000001</v>
      </c>
      <c r="M455">
        <v>-6.3848959999999996E-2</v>
      </c>
      <c r="N455">
        <v>0</v>
      </c>
      <c r="O455">
        <v>-0.99787190000000003</v>
      </c>
      <c r="P455">
        <v>1.6904590000000001E-2</v>
      </c>
      <c r="Q455">
        <v>8.5546419999999998E-2</v>
      </c>
      <c r="R455">
        <v>-0.99619120000000005</v>
      </c>
      <c r="S455">
        <v>-0.14082339999999999</v>
      </c>
      <c r="T455">
        <v>-0.1459636</v>
      </c>
      <c r="U455">
        <v>-3.0260929999999999</v>
      </c>
      <c r="V455">
        <v>-8.0847299999999997E-2</v>
      </c>
      <c r="W455">
        <v>9.8384059999999995E-2</v>
      </c>
      <c r="X455">
        <v>0.99185900000000005</v>
      </c>
      <c r="Y455">
        <v>-1.744801E-2</v>
      </c>
      <c r="Z455">
        <v>4.8002099999999999E-2</v>
      </c>
      <c r="AA455">
        <v>0.99869479999999999</v>
      </c>
      <c r="AB455">
        <v>25</v>
      </c>
      <c r="AC455">
        <v>-1.03820000000001</v>
      </c>
      <c r="AD455">
        <v>-1.1049069080439999</v>
      </c>
      <c r="AE455">
        <v>-22.4148</v>
      </c>
      <c r="AF455">
        <v>-0.39424971865632202</v>
      </c>
      <c r="AG455">
        <v>-1.1049069080439999</v>
      </c>
      <c r="AH455">
        <v>22.381083496635501</v>
      </c>
      <c r="AI455">
        <v>92.825839592861499</v>
      </c>
      <c r="AJ455">
        <v>91.009178530542599</v>
      </c>
      <c r="AK455">
        <v>22.411808284907998</v>
      </c>
    </row>
    <row r="456" spans="1:37" x14ac:dyDescent="0.2">
      <c r="A456" t="str">
        <f>"20200111150515100"</f>
        <v>20200111150515100</v>
      </c>
      <c r="B456" t="str">
        <f>"1578726315094960"</f>
        <v>1578726315094960</v>
      </c>
      <c r="C456" t="s">
        <v>37</v>
      </c>
      <c r="D456">
        <v>5.2441719999999998</v>
      </c>
      <c r="E456">
        <v>0.5218583</v>
      </c>
      <c r="F456" t="s">
        <v>39</v>
      </c>
      <c r="G456">
        <v>-192.5694</v>
      </c>
      <c r="H456" s="1">
        <v>-4.161589E-6</v>
      </c>
      <c r="I456">
        <v>307.87650000000002</v>
      </c>
      <c r="J456">
        <v>-191.71799999999999</v>
      </c>
      <c r="K456">
        <v>1.104886</v>
      </c>
      <c r="L456">
        <v>326.85120000000001</v>
      </c>
      <c r="M456">
        <v>-6.1736369999999999E-2</v>
      </c>
      <c r="N456">
        <v>0</v>
      </c>
      <c r="O456">
        <v>-0.99800499999999903</v>
      </c>
      <c r="P456">
        <v>1.7205680000000001E-2</v>
      </c>
      <c r="Q456">
        <v>8.4743890000000002E-2</v>
      </c>
      <c r="R456">
        <v>-0.99625439999999998</v>
      </c>
      <c r="S456">
        <v>-0.13619999999999999</v>
      </c>
      <c r="T456">
        <v>-0.17425879999999999</v>
      </c>
      <c r="U456">
        <v>-3.028778</v>
      </c>
      <c r="V456">
        <v>-7.9043920000000004E-2</v>
      </c>
      <c r="W456">
        <v>9.7581609999999999E-2</v>
      </c>
      <c r="X456">
        <v>0.99208359999999995</v>
      </c>
      <c r="Y456">
        <v>-1.6915719999999999E-2</v>
      </c>
      <c r="Z456">
        <v>5.7242300000000003E-2</v>
      </c>
      <c r="AA456">
        <v>0.99821700000000002</v>
      </c>
      <c r="AB456">
        <v>25</v>
      </c>
      <c r="AC456">
        <v>-0.85140000000001204</v>
      </c>
      <c r="AD456">
        <v>-1.1048901615890001</v>
      </c>
      <c r="AE456">
        <v>-18.974699999999899</v>
      </c>
      <c r="AF456">
        <v>-0.320670629146797</v>
      </c>
      <c r="AG456">
        <v>-1.1048901615890001</v>
      </c>
      <c r="AH456">
        <v>18.9270194462744</v>
      </c>
      <c r="AI456">
        <v>93.340448086498895</v>
      </c>
      <c r="AJ456">
        <v>90.970639673963404</v>
      </c>
      <c r="AK456">
        <v>18.961953407843399</v>
      </c>
    </row>
    <row r="457" spans="1:37" x14ac:dyDescent="0.2">
      <c r="A457" t="str">
        <f>"20200111150515124"</f>
        <v>20200111150515124</v>
      </c>
      <c r="B457" t="str">
        <f>"1578726315114479"</f>
        <v>1578726315114479</v>
      </c>
      <c r="C457" t="s">
        <v>37</v>
      </c>
      <c r="D457">
        <v>5.2214910000000003</v>
      </c>
      <c r="E457">
        <v>0.52152730000000003</v>
      </c>
      <c r="F457" t="s">
        <v>39</v>
      </c>
      <c r="G457">
        <v>-192.5461</v>
      </c>
      <c r="H457" s="1">
        <v>-4.12416E-6</v>
      </c>
      <c r="I457">
        <v>307.77870000000001</v>
      </c>
      <c r="J457">
        <v>-191.7313</v>
      </c>
      <c r="K457">
        <v>1.1048750000000001</v>
      </c>
      <c r="L457">
        <v>326.5915</v>
      </c>
      <c r="M457">
        <v>-5.9346919999999997E-2</v>
      </c>
      <c r="N457">
        <v>0</v>
      </c>
      <c r="O457">
        <v>-0.99814999999999998</v>
      </c>
      <c r="P457">
        <v>1.7402529999999999E-2</v>
      </c>
      <c r="Q457">
        <v>8.4106420000000001E-2</v>
      </c>
      <c r="R457">
        <v>-0.99630490000000005</v>
      </c>
      <c r="S457">
        <v>-0.13148499999999999</v>
      </c>
      <c r="T457">
        <v>-0.17544279999999901</v>
      </c>
      <c r="U457">
        <v>-3.028473</v>
      </c>
      <c r="V457">
        <v>-7.6860609999999996E-2</v>
      </c>
      <c r="W457">
        <v>9.6945199999999995E-2</v>
      </c>
      <c r="X457">
        <v>0.99231749999999996</v>
      </c>
      <c r="Y457">
        <v>-1.6069569999999998E-2</v>
      </c>
      <c r="Z457">
        <v>5.7650640000000003E-2</v>
      </c>
      <c r="AA457">
        <v>0.99820750000000003</v>
      </c>
      <c r="AB457">
        <v>25</v>
      </c>
      <c r="AC457">
        <v>-0.81479999999999098</v>
      </c>
      <c r="AD457">
        <v>-1.10487912416</v>
      </c>
      <c r="AE457">
        <v>-18.8127999999999</v>
      </c>
      <c r="AF457">
        <v>-0.30217525472094098</v>
      </c>
      <c r="AG457">
        <v>-1.10487912416</v>
      </c>
      <c r="AH457">
        <v>18.763397027079399</v>
      </c>
      <c r="AI457">
        <v>93.369523914361196</v>
      </c>
      <c r="AJ457">
        <v>90.922640511548906</v>
      </c>
      <c r="AK457">
        <v>18.798328004356701</v>
      </c>
    </row>
    <row r="458" spans="1:37" x14ac:dyDescent="0.2">
      <c r="A458" t="str">
        <f>"20200111150515145"</f>
        <v>20200111150515145</v>
      </c>
      <c r="B458" t="str">
        <f>"1578726315134976"</f>
        <v>1578726315134976</v>
      </c>
      <c r="C458" t="s">
        <v>37</v>
      </c>
      <c r="D458">
        <v>5.2530060000000001</v>
      </c>
      <c r="E458">
        <v>0.52152710000000002</v>
      </c>
      <c r="F458" t="s">
        <v>39</v>
      </c>
      <c r="G458">
        <v>-192.4864</v>
      </c>
      <c r="H458" s="1">
        <v>-4.4582449999999997E-6</v>
      </c>
      <c r="I458">
        <v>308.79149999999998</v>
      </c>
      <c r="J458">
        <v>-191.74250000000001</v>
      </c>
      <c r="K458">
        <v>1.1048690000000001</v>
      </c>
      <c r="L458">
        <v>326.36160000000001</v>
      </c>
      <c r="M458">
        <v>-5.7229009999999997E-2</v>
      </c>
      <c r="N458">
        <v>0</v>
      </c>
      <c r="O458">
        <v>-0.99827399999999999</v>
      </c>
      <c r="P458">
        <v>1.6716959999999999E-2</v>
      </c>
      <c r="Q458">
        <v>8.3625229999999995E-2</v>
      </c>
      <c r="R458">
        <v>-0.99635759999999995</v>
      </c>
      <c r="S458">
        <v>-0.1285095</v>
      </c>
      <c r="T458">
        <v>-0.18802829999999901</v>
      </c>
      <c r="U458">
        <v>-3.0292050000000001</v>
      </c>
      <c r="V458">
        <v>-7.4068270000000005E-2</v>
      </c>
      <c r="W458">
        <v>9.646681E-2</v>
      </c>
      <c r="X458">
        <v>0.99257649999999997</v>
      </c>
      <c r="Y458">
        <v>-1.49477E-2</v>
      </c>
      <c r="Z458">
        <v>6.1769360000000002E-2</v>
      </c>
      <c r="AA458">
        <v>0.99797849999999999</v>
      </c>
      <c r="AB458">
        <v>25</v>
      </c>
      <c r="AC458">
        <v>-0.74389999999999601</v>
      </c>
      <c r="AD458">
        <v>-1.1048734582449999</v>
      </c>
      <c r="AE458">
        <v>-17.5701</v>
      </c>
      <c r="AF458">
        <v>-0.26189249229019401</v>
      </c>
      <c r="AG458">
        <v>-1.1048734582449999</v>
      </c>
      <c r="AH458">
        <v>17.5147395931705</v>
      </c>
      <c r="AI458">
        <v>93.609175375516301</v>
      </c>
      <c r="AJ458">
        <v>90.856662255932306</v>
      </c>
      <c r="AK458">
        <v>17.551508084857701</v>
      </c>
    </row>
    <row r="459" spans="1:37" x14ac:dyDescent="0.2">
      <c r="A459" t="str">
        <f>"20200111150515169"</f>
        <v>20200111150515169</v>
      </c>
      <c r="B459" t="str">
        <f>"1578726315165232"</f>
        <v>1578726315165232</v>
      </c>
      <c r="C459" t="s">
        <v>37</v>
      </c>
      <c r="D459">
        <v>5.1624869999999996</v>
      </c>
      <c r="E459">
        <v>0.52150029999999903</v>
      </c>
      <c r="F459" t="s">
        <v>39</v>
      </c>
      <c r="G459">
        <v>-192.46709999999999</v>
      </c>
      <c r="H459" s="1">
        <v>-6.8217099999999995E-7</v>
      </c>
      <c r="I459">
        <v>309.64609999999999</v>
      </c>
      <c r="J459">
        <v>-191.75450000000001</v>
      </c>
      <c r="K459">
        <v>1.1048709999999999</v>
      </c>
      <c r="L459">
        <v>326.10629999999998</v>
      </c>
      <c r="M459">
        <v>-5.4873409999999997E-2</v>
      </c>
      <c r="N459">
        <v>0</v>
      </c>
      <c r="O459">
        <v>-0.99840649999999997</v>
      </c>
      <c r="P459">
        <v>1.525898E-2</v>
      </c>
      <c r="Q459">
        <v>8.4398109999999998E-2</v>
      </c>
      <c r="R459">
        <v>-0.99631550000000002</v>
      </c>
      <c r="S459">
        <v>-0.13134770000000001</v>
      </c>
      <c r="T459">
        <v>-0.2002777</v>
      </c>
      <c r="U459">
        <v>-3.0299990000000001</v>
      </c>
      <c r="V459">
        <v>-7.0266590000000004E-2</v>
      </c>
      <c r="W459">
        <v>9.7238980000000003E-2</v>
      </c>
      <c r="X459">
        <v>0.99277749999999998</v>
      </c>
      <c r="Y459">
        <v>-1.1677460000000001E-2</v>
      </c>
      <c r="Z459">
        <v>6.5772540000000004E-2</v>
      </c>
      <c r="AA459">
        <v>0.99776629999999999</v>
      </c>
      <c r="AB459">
        <v>25</v>
      </c>
      <c r="AC459">
        <v>-0.71259999999998003</v>
      </c>
      <c r="AD459">
        <v>-1.1048716821709901</v>
      </c>
      <c r="AE459">
        <v>-16.460199999999901</v>
      </c>
      <c r="AF459">
        <v>-0.19092085104432899</v>
      </c>
      <c r="AG459">
        <v>-1.1048716821709901</v>
      </c>
      <c r="AH459">
        <v>16.400744514754798</v>
      </c>
      <c r="AI459">
        <v>93.853770726238494</v>
      </c>
      <c r="AJ459">
        <v>90.666949289652706</v>
      </c>
      <c r="AK459">
        <v>16.439027125827302</v>
      </c>
    </row>
    <row r="460" spans="1:37" x14ac:dyDescent="0.2">
      <c r="A460" t="str">
        <f>"20200111150515190"</f>
        <v>20200111150515190</v>
      </c>
      <c r="B460" t="str">
        <f>"1578726315184751"</f>
        <v>1578726315184751</v>
      </c>
      <c r="C460" t="s">
        <v>37</v>
      </c>
      <c r="D460">
        <v>6.9619729999999898</v>
      </c>
      <c r="E460">
        <v>0.52135010000000004</v>
      </c>
      <c r="F460" t="s">
        <v>39</v>
      </c>
      <c r="G460">
        <v>-192.52330000000001</v>
      </c>
      <c r="H460" s="1">
        <v>-4.5090299999999999E-6</v>
      </c>
      <c r="I460">
        <v>308.92149999999998</v>
      </c>
      <c r="J460">
        <v>-191.76480000000001</v>
      </c>
      <c r="K460">
        <v>1.1048690000000001</v>
      </c>
      <c r="L460">
        <v>325.87349999999998</v>
      </c>
      <c r="M460">
        <v>-5.2724699999999902E-2</v>
      </c>
      <c r="N460">
        <v>0</v>
      </c>
      <c r="O460">
        <v>-0.99852260000000004</v>
      </c>
      <c r="P460">
        <v>1.311819E-2</v>
      </c>
      <c r="Q460">
        <v>8.5511130000000005E-2</v>
      </c>
      <c r="R460">
        <v>-0.996251</v>
      </c>
      <c r="S460">
        <v>-0.13554379999999999</v>
      </c>
      <c r="T460">
        <v>-0.1947892</v>
      </c>
      <c r="U460">
        <v>-3.0296630000000002</v>
      </c>
      <c r="V460">
        <v>-6.5990110000000005E-2</v>
      </c>
      <c r="W460">
        <v>9.835323E-2</v>
      </c>
      <c r="X460">
        <v>0.99296119999999899</v>
      </c>
      <c r="Y460">
        <v>-8.1362710000000005E-3</v>
      </c>
      <c r="Z460">
        <v>6.3994919999999997E-2</v>
      </c>
      <c r="AA460">
        <v>0.9979171</v>
      </c>
      <c r="AB460">
        <v>25</v>
      </c>
      <c r="AC460">
        <v>-0.75849999999999795</v>
      </c>
      <c r="AD460">
        <v>-1.1048735090299999</v>
      </c>
      <c r="AE460">
        <v>-16.951999999999899</v>
      </c>
      <c r="AF460">
        <v>-0.13584558703414901</v>
      </c>
      <c r="AG460">
        <v>-1.1048735090299999</v>
      </c>
      <c r="AH460">
        <v>16.896778392191901</v>
      </c>
      <c r="AI460">
        <v>93.741101128855504</v>
      </c>
      <c r="AJ460">
        <v>90.460632845475004</v>
      </c>
      <c r="AK460">
        <v>16.933408384885599</v>
      </c>
    </row>
    <row r="461" spans="1:37" x14ac:dyDescent="0.2">
      <c r="A461" t="str">
        <f>"20200111150515213"</f>
        <v>20200111150515213</v>
      </c>
      <c r="B461" t="str">
        <f>"1578726315205248"</f>
        <v>1578726315205248</v>
      </c>
      <c r="C461" t="s">
        <v>37</v>
      </c>
      <c r="D461">
        <v>5.1876290000000003</v>
      </c>
      <c r="E461">
        <v>0.52260609999999996</v>
      </c>
      <c r="F461" t="s">
        <v>39</v>
      </c>
      <c r="G461">
        <v>-192.57409999999999</v>
      </c>
      <c r="H461" s="1">
        <v>-4.3723679999999998E-6</v>
      </c>
      <c r="I461">
        <v>308.49340000000001</v>
      </c>
      <c r="J461">
        <v>-191.77539999999999</v>
      </c>
      <c r="K461">
        <v>1.1048659999999999</v>
      </c>
      <c r="L461">
        <v>325.6223</v>
      </c>
      <c r="M461">
        <v>-5.0410580000000003E-2</v>
      </c>
      <c r="N461">
        <v>0</v>
      </c>
      <c r="O461">
        <v>-0.99864189999999997</v>
      </c>
      <c r="P461">
        <v>1.107199E-2</v>
      </c>
      <c r="Q461">
        <v>8.5861999999999994E-2</v>
      </c>
      <c r="R461">
        <v>-0.99624550000000001</v>
      </c>
      <c r="S461">
        <v>-0.14108280000000001</v>
      </c>
      <c r="T461">
        <v>-0.19260360000000001</v>
      </c>
      <c r="U461">
        <v>-3.0297239999999999</v>
      </c>
      <c r="V461">
        <v>-6.1641710000000002E-2</v>
      </c>
      <c r="W461">
        <v>9.8707219999999998E-2</v>
      </c>
      <c r="X461">
        <v>0.99320549999999996</v>
      </c>
      <c r="Y461">
        <v>-3.997095E-3</v>
      </c>
      <c r="Z461">
        <v>6.3288059999999993E-2</v>
      </c>
      <c r="AA461">
        <v>0.99798729999999902</v>
      </c>
      <c r="AB461">
        <v>25</v>
      </c>
      <c r="AC461">
        <v>-0.79869999999999597</v>
      </c>
      <c r="AD461">
        <v>-1.104870372368</v>
      </c>
      <c r="AE461">
        <v>-17.128899999999899</v>
      </c>
      <c r="AF461">
        <v>-6.5595869400076695E-2</v>
      </c>
      <c r="AG461">
        <v>-1.104870372368</v>
      </c>
      <c r="AH461">
        <v>17.076489027368901</v>
      </c>
      <c r="AI461">
        <v>93.701921933304803</v>
      </c>
      <c r="AJ461">
        <v>90.220089034616507</v>
      </c>
      <c r="AK461">
        <v>17.1123206742881</v>
      </c>
    </row>
    <row r="462" spans="1:37" x14ac:dyDescent="0.2">
      <c r="A462" t="str">
        <f>"20200111150515257"</f>
        <v>20200111150515257</v>
      </c>
      <c r="B462" t="str">
        <f>"1578726315255023"</f>
        <v>1578726315255023</v>
      </c>
      <c r="C462" t="s">
        <v>37</v>
      </c>
      <c r="D462">
        <v>5.1695690000000001</v>
      </c>
      <c r="E462">
        <v>0.60999979999999998</v>
      </c>
      <c r="F462" t="s">
        <v>39</v>
      </c>
      <c r="G462">
        <v>-192.73349999999999</v>
      </c>
      <c r="H462" s="1">
        <v>-3.9601259999999999E-6</v>
      </c>
      <c r="I462">
        <v>307.19900000000001</v>
      </c>
      <c r="J462">
        <v>-191.7944</v>
      </c>
      <c r="K462">
        <v>1.1048500000000001</v>
      </c>
      <c r="L462">
        <v>325.13209999999998</v>
      </c>
      <c r="M462">
        <v>-4.5935629999999998E-2</v>
      </c>
      <c r="N462">
        <v>0</v>
      </c>
      <c r="O462">
        <v>-0.99885820000000003</v>
      </c>
      <c r="P462">
        <v>5.7466740000000002E-3</v>
      </c>
      <c r="Q462">
        <v>8.64346E-2</v>
      </c>
      <c r="R462">
        <v>-0.99624099999999904</v>
      </c>
      <c r="S462">
        <v>-0.15750120000000001</v>
      </c>
      <c r="T462">
        <v>-0.18163789999999999</v>
      </c>
      <c r="U462">
        <v>-3.02874799999999</v>
      </c>
      <c r="V462">
        <v>-5.1861730000000002E-2</v>
      </c>
      <c r="W462">
        <v>9.9296540000000003E-2</v>
      </c>
      <c r="X462">
        <v>0.99370550000000002</v>
      </c>
      <c r="Y462">
        <v>5.9066800000000001E-3</v>
      </c>
      <c r="Z462">
        <v>5.9728349999999999E-2</v>
      </c>
      <c r="AA462">
        <v>0.99819720000000001</v>
      </c>
      <c r="AB462">
        <v>25</v>
      </c>
      <c r="AC462">
        <v>-0.93909999999999605</v>
      </c>
      <c r="AD462">
        <v>-1.1048539601259999</v>
      </c>
      <c r="AE462">
        <v>-17.9330999999999</v>
      </c>
      <c r="AF462">
        <v>0.11383840726262701</v>
      </c>
      <c r="AG462">
        <v>-1.1048539601259999</v>
      </c>
      <c r="AH462">
        <v>17.889589529280101</v>
      </c>
      <c r="AI462">
        <v>93.534004548894799</v>
      </c>
      <c r="AJ462">
        <v>89.635409619838697</v>
      </c>
      <c r="AK462">
        <v>17.924036235800799</v>
      </c>
    </row>
    <row r="463" spans="1:37" x14ac:dyDescent="0.2">
      <c r="A463" t="str">
        <f>"20200111150515280"</f>
        <v>20200111150515280</v>
      </c>
      <c r="B463" t="str">
        <f>"1578726315274543"</f>
        <v>1578726315274543</v>
      </c>
      <c r="C463" t="s">
        <v>37</v>
      </c>
      <c r="D463">
        <v>5.2224709999999996</v>
      </c>
      <c r="E463">
        <v>0.60993920000000001</v>
      </c>
      <c r="F463" t="s">
        <v>39</v>
      </c>
      <c r="G463">
        <v>-197.3295</v>
      </c>
      <c r="H463" s="1">
        <v>-4.3082020000000002E-6</v>
      </c>
      <c r="I463">
        <v>305.82619999999997</v>
      </c>
      <c r="J463">
        <v>-191.8031</v>
      </c>
      <c r="K463">
        <v>1.1048309999999999</v>
      </c>
      <c r="L463">
        <v>324.88909999999998</v>
      </c>
      <c r="M463">
        <v>-4.3752600000000003E-2</v>
      </c>
      <c r="N463">
        <v>0</v>
      </c>
      <c r="O463">
        <v>-0.99895639999999997</v>
      </c>
      <c r="P463">
        <v>4.5840539999999997E-3</v>
      </c>
      <c r="Q463">
        <v>8.6361759999999996E-2</v>
      </c>
      <c r="R463">
        <v>-0.99625339999999996</v>
      </c>
      <c r="S463">
        <v>-0.86909479999999995</v>
      </c>
      <c r="T463">
        <v>-0.17347979999999999</v>
      </c>
      <c r="U463">
        <v>-3.031342</v>
      </c>
      <c r="V463">
        <v>-4.8521219999999997E-2</v>
      </c>
      <c r="W463">
        <v>9.9227259999999998E-2</v>
      </c>
      <c r="X463">
        <v>0.99388109999999996</v>
      </c>
      <c r="Y463">
        <v>0.2328549</v>
      </c>
      <c r="Z463">
        <v>5.5160769999999998E-2</v>
      </c>
      <c r="AA463">
        <v>0.97094590000000003</v>
      </c>
      <c r="AB463">
        <v>25</v>
      </c>
      <c r="AC463">
        <v>-5.52639999999999</v>
      </c>
      <c r="AD463">
        <v>-1.1048353082019999</v>
      </c>
      <c r="AE463">
        <v>-19.062899999999999</v>
      </c>
      <c r="AF463">
        <v>4.6725055054944598</v>
      </c>
      <c r="AG463">
        <v>-1.1048353082019999</v>
      </c>
      <c r="AH463">
        <v>19.226880246134801</v>
      </c>
      <c r="AI463">
        <v>93.195954911171498</v>
      </c>
      <c r="AJ463">
        <v>76.340800616830705</v>
      </c>
      <c r="AK463">
        <v>19.817312954998101</v>
      </c>
    </row>
    <row r="464" spans="1:37" x14ac:dyDescent="0.2">
      <c r="A464" t="str">
        <f>"20200111150515325"</f>
        <v>20200111150515325</v>
      </c>
      <c r="B464" t="str">
        <f>"1578726315315537"</f>
        <v>1578726315315537</v>
      </c>
      <c r="C464" t="s">
        <v>37</v>
      </c>
      <c r="D464">
        <v>5.2078530000000001</v>
      </c>
      <c r="E464">
        <v>0.60886719999999905</v>
      </c>
      <c r="F464" t="s">
        <v>39</v>
      </c>
      <c r="G464">
        <v>-196.53120000000001</v>
      </c>
      <c r="H464" s="1">
        <v>-5.0649910000000002E-6</v>
      </c>
      <c r="I464">
        <v>308.46609999999998</v>
      </c>
      <c r="J464">
        <v>-191.8193</v>
      </c>
      <c r="K464">
        <v>1.1047480000000001</v>
      </c>
      <c r="L464">
        <v>324.392</v>
      </c>
      <c r="M464">
        <v>-3.9450369999999998E-2</v>
      </c>
      <c r="N464">
        <v>0</v>
      </c>
      <c r="O464">
        <v>-0.99913609999999897</v>
      </c>
      <c r="P464">
        <v>5.3614709999999996E-3</v>
      </c>
      <c r="Q464">
        <v>8.6521360000000005E-2</v>
      </c>
      <c r="R464">
        <v>-0.99623600000000001</v>
      </c>
      <c r="S464">
        <v>-0.87319950000000002</v>
      </c>
      <c r="T464">
        <v>-0.2040429</v>
      </c>
      <c r="U464">
        <v>-3.03302</v>
      </c>
      <c r="V464">
        <v>-4.4993310000000002E-2</v>
      </c>
      <c r="W464">
        <v>9.9385249999999994E-2</v>
      </c>
      <c r="X464">
        <v>0.99403129999999995</v>
      </c>
      <c r="Y464">
        <v>0.237951</v>
      </c>
      <c r="Z464">
        <v>6.4770800000000003E-2</v>
      </c>
      <c r="AA464">
        <v>0.96911510000000001</v>
      </c>
      <c r="AB464">
        <v>25</v>
      </c>
      <c r="AC464">
        <v>-4.7119000000000097</v>
      </c>
      <c r="AD464">
        <v>-1.104753064991</v>
      </c>
      <c r="AE464">
        <v>-15.9259</v>
      </c>
      <c r="AF464">
        <v>4.0619224314987603</v>
      </c>
      <c r="AG464">
        <v>-1.104753064991</v>
      </c>
      <c r="AH464">
        <v>16.0284816949891</v>
      </c>
      <c r="AI464">
        <v>93.822385975182598</v>
      </c>
      <c r="AJ464">
        <v>75.779532178797098</v>
      </c>
      <c r="AK464">
        <v>16.572022164501298</v>
      </c>
    </row>
    <row r="465" spans="1:37" x14ac:dyDescent="0.2">
      <c r="A465" t="str">
        <f>"20200111150515347"</f>
        <v>20200111150515347</v>
      </c>
      <c r="B465" t="str">
        <f>"1578726315344815"</f>
        <v>1578726315344815</v>
      </c>
      <c r="C465" t="s">
        <v>37</v>
      </c>
      <c r="D465">
        <v>5.2555579999999997</v>
      </c>
      <c r="E465">
        <v>0.60742739999999995</v>
      </c>
      <c r="F465" t="s">
        <v>39</v>
      </c>
      <c r="G465">
        <v>-195.96279999999999</v>
      </c>
      <c r="H465" s="1">
        <v>-1.6852420000000001E-6</v>
      </c>
      <c r="I465">
        <v>309.80040000000002</v>
      </c>
      <c r="J465">
        <v>-191.82640000000001</v>
      </c>
      <c r="K465">
        <v>1.104695</v>
      </c>
      <c r="L465">
        <v>324.1549</v>
      </c>
      <c r="M465">
        <v>-3.7509939999999999E-2</v>
      </c>
      <c r="N465">
        <v>0</v>
      </c>
      <c r="O465">
        <v>-0.99921070000000001</v>
      </c>
      <c r="P465">
        <v>5.9458289999999997E-3</v>
      </c>
      <c r="Q465">
        <v>8.7906129999999999E-2</v>
      </c>
      <c r="R465">
        <v>-0.99611090000000002</v>
      </c>
      <c r="S465">
        <v>-0.86210629999999999</v>
      </c>
      <c r="T465">
        <v>-0.22985429999999901</v>
      </c>
      <c r="U465">
        <v>-3.0359189999999998</v>
      </c>
      <c r="V465">
        <v>-4.3630090000000003E-2</v>
      </c>
      <c r="W465">
        <v>0.1007763</v>
      </c>
      <c r="X465">
        <v>0.99395199999999995</v>
      </c>
      <c r="Y465">
        <v>0.2361635</v>
      </c>
      <c r="Z465">
        <v>7.2915439999999998E-2</v>
      </c>
      <c r="AA465">
        <v>0.9689738</v>
      </c>
      <c r="AB465">
        <v>25</v>
      </c>
      <c r="AC465">
        <v>-4.1363999999999796</v>
      </c>
      <c r="AD465">
        <v>-1.1046966852419999</v>
      </c>
      <c r="AE465">
        <v>-14.3544999999999</v>
      </c>
      <c r="AF465">
        <v>3.5754537499084602</v>
      </c>
      <c r="AG465">
        <v>-1.1046966852419999</v>
      </c>
      <c r="AH465">
        <v>14.4207063503762</v>
      </c>
      <c r="AI465">
        <v>94.252321756025395</v>
      </c>
      <c r="AJ465">
        <v>76.074957240931994</v>
      </c>
      <c r="AK465">
        <v>14.8983554772968</v>
      </c>
    </row>
    <row r="466" spans="1:37" x14ac:dyDescent="0.2">
      <c r="A466" t="str">
        <f>"20200111150515371"</f>
        <v>20200111150515371</v>
      </c>
      <c r="B466" t="str">
        <f>"1578726315365311"</f>
        <v>1578726315365311</v>
      </c>
      <c r="C466" t="s">
        <v>37</v>
      </c>
      <c r="D466">
        <v>5.3340430000000003</v>
      </c>
      <c r="E466">
        <v>0.60578869999999996</v>
      </c>
      <c r="F466" t="s">
        <v>39</v>
      </c>
      <c r="G466">
        <v>-195.86330000000001</v>
      </c>
      <c r="H466" s="1">
        <v>-1.6164999999999999E-6</v>
      </c>
      <c r="I466">
        <v>309.71100000000001</v>
      </c>
      <c r="J466">
        <v>-191.83349999999999</v>
      </c>
      <c r="K466">
        <v>1.1046279999999999</v>
      </c>
      <c r="L466">
        <v>323.90440000000001</v>
      </c>
      <c r="M466">
        <v>-3.5555660000000003E-2</v>
      </c>
      <c r="N466">
        <v>0</v>
      </c>
      <c r="O466">
        <v>-0.999282</v>
      </c>
      <c r="P466">
        <v>6.50920199999999E-3</v>
      </c>
      <c r="Q466">
        <v>8.8273500000000005E-2</v>
      </c>
      <c r="R466">
        <v>-0.99607520000000005</v>
      </c>
      <c r="S466">
        <v>-0.84887699999999999</v>
      </c>
      <c r="T466">
        <v>-0.232294999999999</v>
      </c>
      <c r="U466">
        <v>-3.0372619999999899</v>
      </c>
      <c r="V466">
        <v>-4.2229269999999999E-2</v>
      </c>
      <c r="W466">
        <v>0.101163899999999</v>
      </c>
      <c r="X466">
        <v>0.99397309999999905</v>
      </c>
      <c r="Y466">
        <v>0.23402409999999901</v>
      </c>
      <c r="Z466">
        <v>7.3723999999999998E-2</v>
      </c>
      <c r="AA466">
        <v>0.9694315</v>
      </c>
      <c r="AB466">
        <v>24</v>
      </c>
      <c r="AC466">
        <v>-4.0298000000000203</v>
      </c>
      <c r="AD466">
        <v>-1.1046296165</v>
      </c>
      <c r="AE466">
        <v>-14.193399999999899</v>
      </c>
      <c r="AF466">
        <v>3.5029180263260802</v>
      </c>
      <c r="AG466">
        <v>-1.1046296165</v>
      </c>
      <c r="AH466">
        <v>14.247856328149499</v>
      </c>
      <c r="AI466">
        <v>94.305535257591501</v>
      </c>
      <c r="AJ466">
        <v>76.187451668711702</v>
      </c>
      <c r="AK466">
        <v>14.713668857100201</v>
      </c>
    </row>
    <row r="467" spans="1:37" x14ac:dyDescent="0.2">
      <c r="A467" t="str">
        <f>"20200111150515391"</f>
        <v>20200111150515391</v>
      </c>
      <c r="B467" t="str">
        <f>"1578726315384832"</f>
        <v>1578726315384832</v>
      </c>
      <c r="C467" t="s">
        <v>37</v>
      </c>
      <c r="D467">
        <v>5.2707050000000004</v>
      </c>
      <c r="E467">
        <v>0.60486319999999905</v>
      </c>
      <c r="F467" t="s">
        <v>39</v>
      </c>
      <c r="G467">
        <v>-195.8</v>
      </c>
      <c r="H467" s="1">
        <v>-5.2730820000000003E-6</v>
      </c>
      <c r="I467">
        <v>309.45870000000002</v>
      </c>
      <c r="J467">
        <v>-191.83969999999999</v>
      </c>
      <c r="K467">
        <v>1.1045700000000001</v>
      </c>
      <c r="L467">
        <v>323.67340000000002</v>
      </c>
      <c r="M467">
        <v>-3.3851649999999997E-2</v>
      </c>
      <c r="N467">
        <v>0</v>
      </c>
      <c r="O467">
        <v>-0.99934100000000003</v>
      </c>
      <c r="P467">
        <v>7.2807019999999896E-3</v>
      </c>
      <c r="Q467">
        <v>8.7537180000000006E-2</v>
      </c>
      <c r="R467">
        <v>-0.99613459999999998</v>
      </c>
      <c r="S467">
        <v>-0.83413700000000002</v>
      </c>
      <c r="T467">
        <v>-0.23229739999999999</v>
      </c>
      <c r="U467">
        <v>-3.0378419999999999</v>
      </c>
      <c r="V467">
        <v>-4.128573E-2</v>
      </c>
      <c r="W467">
        <v>0.10045469999999999</v>
      </c>
      <c r="X467">
        <v>0.99408469999999904</v>
      </c>
      <c r="Y467">
        <v>0.23126279999999899</v>
      </c>
      <c r="Z467">
        <v>7.3789190000000004E-2</v>
      </c>
      <c r="AA467">
        <v>0.97008899999999998</v>
      </c>
      <c r="AB467">
        <v>24</v>
      </c>
      <c r="AC467">
        <v>-3.9603000000000099</v>
      </c>
      <c r="AD467">
        <v>-1.104575273082</v>
      </c>
      <c r="AE467">
        <v>-14.214699999999899</v>
      </c>
      <c r="AF467">
        <v>3.4574242722482502</v>
      </c>
      <c r="AG467">
        <v>-1.104575273082</v>
      </c>
      <c r="AH467">
        <v>14.260717868558499</v>
      </c>
      <c r="AI467">
        <v>94.304826097850906</v>
      </c>
      <c r="AJ467">
        <v>76.371940549151006</v>
      </c>
      <c r="AK467">
        <v>14.715364190493601</v>
      </c>
    </row>
    <row r="468" spans="1:37" x14ac:dyDescent="0.2">
      <c r="A468" t="str">
        <f>"20200111150515415"</f>
        <v>20200111150515415</v>
      </c>
      <c r="B468" t="str">
        <f>"1578726315405328"</f>
        <v>1578726315405328</v>
      </c>
      <c r="C468" t="s">
        <v>37</v>
      </c>
      <c r="D468">
        <v>5.303185</v>
      </c>
      <c r="E468">
        <v>0.60371850000000005</v>
      </c>
      <c r="F468" t="s">
        <v>39</v>
      </c>
      <c r="G468">
        <v>-195.71270000000001</v>
      </c>
      <c r="H468" s="1">
        <v>-5.2346300000000002E-6</v>
      </c>
      <c r="I468">
        <v>309.3913</v>
      </c>
      <c r="J468">
        <v>-191.84620000000001</v>
      </c>
      <c r="K468">
        <v>1.1044989999999999</v>
      </c>
      <c r="L468">
        <v>323.4205</v>
      </c>
      <c r="M468">
        <v>-3.2109119999999998E-2</v>
      </c>
      <c r="N468">
        <v>0</v>
      </c>
      <c r="O468">
        <v>-0.99939820000000001</v>
      </c>
      <c r="P468">
        <v>7.9415389999999992E-3</v>
      </c>
      <c r="Q468">
        <v>8.7408780000000005E-2</v>
      </c>
      <c r="R468">
        <v>-0.99614119999999995</v>
      </c>
      <c r="S468">
        <v>-0.82392880000000002</v>
      </c>
      <c r="T468">
        <v>-0.23498379999999899</v>
      </c>
      <c r="U468">
        <v>-3.03832999999999</v>
      </c>
      <c r="V468">
        <v>-4.0190620000000003E-2</v>
      </c>
      <c r="W468">
        <v>0.1003645</v>
      </c>
      <c r="X468">
        <v>0.99413869999999904</v>
      </c>
      <c r="Y468">
        <v>0.22986799999999999</v>
      </c>
      <c r="Z468">
        <v>7.467741E-2</v>
      </c>
      <c r="AA468">
        <v>0.97035249999999995</v>
      </c>
      <c r="AB468">
        <v>24</v>
      </c>
      <c r="AC468">
        <v>-3.8664999999999998</v>
      </c>
      <c r="AD468">
        <v>-1.10450423462999</v>
      </c>
      <c r="AE468">
        <v>-14.029199999999999</v>
      </c>
      <c r="AF468">
        <v>3.39444757267256</v>
      </c>
      <c r="AG468">
        <v>-1.10450423462999</v>
      </c>
      <c r="AH468">
        <v>14.0651009046582</v>
      </c>
      <c r="AI468">
        <v>94.365286623322902</v>
      </c>
      <c r="AJ468">
        <v>76.431785869308001</v>
      </c>
      <c r="AK468">
        <v>14.511005043971201</v>
      </c>
    </row>
    <row r="469" spans="1:37" x14ac:dyDescent="0.2">
      <c r="A469" t="str">
        <f>"20200111150515437"</f>
        <v>20200111150515437</v>
      </c>
      <c r="B469" t="str">
        <f>"1578726315434607"</f>
        <v>1578726315434607</v>
      </c>
      <c r="C469" t="s">
        <v>37</v>
      </c>
      <c r="D469">
        <v>5.2529779999999997</v>
      </c>
      <c r="E469">
        <v>0.60254469999999904</v>
      </c>
      <c r="F469" t="s">
        <v>39</v>
      </c>
      <c r="G469">
        <v>-195.6138</v>
      </c>
      <c r="H469" s="1">
        <v>-5.1975889999999999E-6</v>
      </c>
      <c r="I469">
        <v>309.334</v>
      </c>
      <c r="J469">
        <v>-191.85220000000001</v>
      </c>
      <c r="K469">
        <v>1.1044309999999999</v>
      </c>
      <c r="L469">
        <v>323.17509999999999</v>
      </c>
      <c r="M469">
        <v>-3.053295E-2</v>
      </c>
      <c r="N469">
        <v>0</v>
      </c>
      <c r="O469">
        <v>-0.99944730000000004</v>
      </c>
      <c r="P469">
        <v>9.7061300000000003E-3</v>
      </c>
      <c r="Q469">
        <v>8.8448079999999998E-2</v>
      </c>
      <c r="R469">
        <v>-0.99603369999999902</v>
      </c>
      <c r="S469">
        <v>-0.8128204</v>
      </c>
      <c r="T469">
        <v>-0.2382842</v>
      </c>
      <c r="U469">
        <v>-3.0390009999999998</v>
      </c>
      <c r="V469">
        <v>-4.0364909999999997E-2</v>
      </c>
      <c r="W469">
        <v>0.1014386</v>
      </c>
      <c r="X469">
        <v>0.99402259999999998</v>
      </c>
      <c r="Y469">
        <v>0.22801979999999999</v>
      </c>
      <c r="Z469">
        <v>7.5761560000000006E-2</v>
      </c>
      <c r="AA469">
        <v>0.97070440000000002</v>
      </c>
      <c r="AB469">
        <v>24</v>
      </c>
      <c r="AC469">
        <v>-3.7615999999999801</v>
      </c>
      <c r="AD469">
        <v>-1.104436197589</v>
      </c>
      <c r="AE469">
        <v>-13.8410999999999</v>
      </c>
      <c r="AF469">
        <v>3.3175296070260298</v>
      </c>
      <c r="AG469">
        <v>-1.104436197589</v>
      </c>
      <c r="AH469">
        <v>13.867287008067001</v>
      </c>
      <c r="AI469">
        <v>94.429147166651802</v>
      </c>
      <c r="AJ469">
        <v>76.545760207914796</v>
      </c>
      <c r="AK469">
        <v>14.3013087153639</v>
      </c>
    </row>
    <row r="470" spans="1:37" x14ac:dyDescent="0.2">
      <c r="A470" t="str">
        <f>"20200111150515459"</f>
        <v>20200111150515459</v>
      </c>
      <c r="B470" t="str">
        <f>"1578726315455104"</f>
        <v>1578726315455104</v>
      </c>
      <c r="C470" t="s">
        <v>37</v>
      </c>
      <c r="D470">
        <v>5.1764130000000002</v>
      </c>
      <c r="E470">
        <v>0.60235099999999997</v>
      </c>
      <c r="F470" t="s">
        <v>39</v>
      </c>
      <c r="G470">
        <v>-195.59110000000001</v>
      </c>
      <c r="H470" s="1">
        <v>-5.0544639999999902E-6</v>
      </c>
      <c r="I470">
        <v>308.92520000000002</v>
      </c>
      <c r="J470">
        <v>-191.85759999999999</v>
      </c>
      <c r="K470">
        <v>1.1043769999999999</v>
      </c>
      <c r="L470">
        <v>322.94200000000001</v>
      </c>
      <c r="M470">
        <v>-2.911791E-2</v>
      </c>
      <c r="N470">
        <v>0</v>
      </c>
      <c r="O470">
        <v>-0.99948909999999902</v>
      </c>
      <c r="P470">
        <v>1.1298529999999999E-2</v>
      </c>
      <c r="Q470">
        <v>8.9335139999999993E-2</v>
      </c>
      <c r="R470">
        <v>-0.99593770000000004</v>
      </c>
      <c r="S470">
        <v>-0.79780580000000001</v>
      </c>
      <c r="T470">
        <v>-0.23566289999999901</v>
      </c>
      <c r="U470">
        <v>-3.040619</v>
      </c>
      <c r="V470">
        <v>-4.0531709999999999E-2</v>
      </c>
      <c r="W470">
        <v>0.1023574</v>
      </c>
      <c r="X470">
        <v>0.99392159999999996</v>
      </c>
      <c r="Y470">
        <v>0.2248038</v>
      </c>
      <c r="Z470">
        <v>7.4974180000000001E-2</v>
      </c>
      <c r="AA470">
        <v>0.97151540000000003</v>
      </c>
      <c r="AB470">
        <v>24</v>
      </c>
      <c r="AC470">
        <v>-3.7335000000000198</v>
      </c>
      <c r="AD470">
        <v>-1.104382054464</v>
      </c>
      <c r="AE470">
        <v>-14.0167999999999</v>
      </c>
      <c r="AF470">
        <v>3.3045859461502398</v>
      </c>
      <c r="AG470">
        <v>-1.104382054464</v>
      </c>
      <c r="AH470">
        <v>14.0382030061952</v>
      </c>
      <c r="AI470">
        <v>94.378975353726602</v>
      </c>
      <c r="AJ470">
        <v>76.753759087495197</v>
      </c>
      <c r="AK470">
        <v>14.4641312093352</v>
      </c>
    </row>
    <row r="471" spans="1:37" x14ac:dyDescent="0.2">
      <c r="A471" t="str">
        <f>"20200111150515480"</f>
        <v>20200111150515480</v>
      </c>
      <c r="B471" t="str">
        <f>"1578726315474624"</f>
        <v>1578726315474624</v>
      </c>
      <c r="C471" t="s">
        <v>37</v>
      </c>
      <c r="D471">
        <v>5.057963</v>
      </c>
      <c r="E471">
        <v>0.60266450000000005</v>
      </c>
      <c r="F471" t="s">
        <v>39</v>
      </c>
      <c r="G471">
        <v>-195.67529999999999</v>
      </c>
      <c r="H471" s="1">
        <v>-4.8467770000000003E-6</v>
      </c>
      <c r="I471">
        <v>308.27109999999999</v>
      </c>
      <c r="J471">
        <v>-191.86269999999999</v>
      </c>
      <c r="K471">
        <v>1.1043339999999999</v>
      </c>
      <c r="L471">
        <v>322.71339999999998</v>
      </c>
      <c r="M471">
        <v>-2.780475E-2</v>
      </c>
      <c r="N471">
        <v>0</v>
      </c>
      <c r="O471">
        <v>-0.99952619999999903</v>
      </c>
      <c r="P471">
        <v>1.2566020000000001E-2</v>
      </c>
      <c r="Q471">
        <v>9.0496560000000004E-2</v>
      </c>
      <c r="R471">
        <v>-0.99581779999999998</v>
      </c>
      <c r="S471">
        <v>-0.79153439999999997</v>
      </c>
      <c r="T471">
        <v>-0.22897590000000001</v>
      </c>
      <c r="U471">
        <v>-3.041779</v>
      </c>
      <c r="V471">
        <v>-4.0477880000000001E-2</v>
      </c>
      <c r="W471">
        <v>0.1035488</v>
      </c>
      <c r="X471">
        <v>0.99380040000000003</v>
      </c>
      <c r="Y471">
        <v>0.2241571</v>
      </c>
      <c r="Z471">
        <v>7.2859950000000007E-2</v>
      </c>
      <c r="AA471">
        <v>0.97182559999999996</v>
      </c>
      <c r="AB471">
        <v>24</v>
      </c>
      <c r="AC471">
        <v>-3.8126000000000002</v>
      </c>
      <c r="AD471">
        <v>-1.1043388467769999</v>
      </c>
      <c r="AE471">
        <v>-14.4422999999999</v>
      </c>
      <c r="AF471">
        <v>3.3909908075888602</v>
      </c>
      <c r="AG471">
        <v>-1.1043388467769999</v>
      </c>
      <c r="AH471">
        <v>14.463673623053699</v>
      </c>
      <c r="AI471">
        <v>94.251371244104007</v>
      </c>
      <c r="AJ471">
        <v>76.805381543734697</v>
      </c>
      <c r="AK471">
        <v>14.8968532791282</v>
      </c>
    </row>
    <row r="472" spans="1:37" x14ac:dyDescent="0.2">
      <c r="A472" t="str">
        <f>"20200111150515502"</f>
        <v>20200111150515502</v>
      </c>
      <c r="B472" t="str">
        <f>"1578726315495119"</f>
        <v>1578726315495119</v>
      </c>
      <c r="C472" t="s">
        <v>37</v>
      </c>
      <c r="D472">
        <v>4.9386449999999904</v>
      </c>
      <c r="E472">
        <v>0.6033366</v>
      </c>
      <c r="F472" t="s">
        <v>39</v>
      </c>
      <c r="G472">
        <v>-195.80119999999999</v>
      </c>
      <c r="H472" s="1">
        <v>-4.61976099999999E-6</v>
      </c>
      <c r="I472">
        <v>307.53829999999999</v>
      </c>
      <c r="J472">
        <v>-191.86789999999999</v>
      </c>
      <c r="K472">
        <v>1.104303</v>
      </c>
      <c r="L472">
        <v>322.46890000000002</v>
      </c>
      <c r="M472">
        <v>-2.64781999999999E-2</v>
      </c>
      <c r="N472">
        <v>0</v>
      </c>
      <c r="O472">
        <v>-0.9995617</v>
      </c>
      <c r="P472">
        <v>1.304817E-2</v>
      </c>
      <c r="Q472">
        <v>9.113694E-2</v>
      </c>
      <c r="R472">
        <v>-0.995753</v>
      </c>
      <c r="S472">
        <v>-0.78970340000000006</v>
      </c>
      <c r="T472">
        <v>-0.22142819999999999</v>
      </c>
      <c r="U472">
        <v>-3.0427249999999999</v>
      </c>
      <c r="V472">
        <v>-3.962632E-2</v>
      </c>
      <c r="W472">
        <v>0.1042275</v>
      </c>
      <c r="X472">
        <v>0.99376369999999903</v>
      </c>
      <c r="Y472">
        <v>0.22487219999999999</v>
      </c>
      <c r="Z472">
        <v>7.0452760000000003E-2</v>
      </c>
      <c r="AA472">
        <v>0.97183790000000003</v>
      </c>
      <c r="AB472">
        <v>24</v>
      </c>
      <c r="AC472">
        <v>-3.9333</v>
      </c>
      <c r="AD472">
        <v>-1.104307619761</v>
      </c>
      <c r="AE472">
        <v>-14.9306</v>
      </c>
      <c r="AF472">
        <v>3.5185515962505698</v>
      </c>
      <c r="AG472">
        <v>-1.104307619761</v>
      </c>
      <c r="AH472">
        <v>14.9530283658769</v>
      </c>
      <c r="AI472">
        <v>94.111827028477293</v>
      </c>
      <c r="AJ472">
        <v>76.758783060511504</v>
      </c>
      <c r="AK472">
        <v>15.4010635335764</v>
      </c>
    </row>
    <row r="473" spans="1:37" x14ac:dyDescent="0.2">
      <c r="A473" t="str">
        <f>"20200111150515526"</f>
        <v>20200111150515526</v>
      </c>
      <c r="B473" t="str">
        <f>"1578726315514640"</f>
        <v>1578726315514640</v>
      </c>
      <c r="C473" t="s">
        <v>37</v>
      </c>
      <c r="D473">
        <v>4.9519419999999998</v>
      </c>
      <c r="E473">
        <v>0.60405940000000002</v>
      </c>
      <c r="F473" t="s">
        <v>39</v>
      </c>
      <c r="G473">
        <v>-195.8066</v>
      </c>
      <c r="H473" s="1">
        <v>-4.5587199999999998E-6</v>
      </c>
      <c r="I473">
        <v>307.35610000000003</v>
      </c>
      <c r="J473">
        <v>-191.87299999999999</v>
      </c>
      <c r="K473">
        <v>1.1042590000000001</v>
      </c>
      <c r="L473">
        <v>322.21359999999999</v>
      </c>
      <c r="M473">
        <v>-2.5170290000000001E-2</v>
      </c>
      <c r="N473">
        <v>0</v>
      </c>
      <c r="O473">
        <v>-0.99959500000000001</v>
      </c>
      <c r="P473">
        <v>1.3769200000000001E-2</v>
      </c>
      <c r="Q473">
        <v>9.195478E-2</v>
      </c>
      <c r="R473">
        <v>-0.995668199999999</v>
      </c>
      <c r="S473">
        <v>-0.7932129</v>
      </c>
      <c r="T473">
        <v>-0.2223957</v>
      </c>
      <c r="U473">
        <v>-3.0435490000000001</v>
      </c>
      <c r="V473">
        <v>-3.9031389999999999E-2</v>
      </c>
      <c r="W473">
        <v>0.1050859</v>
      </c>
      <c r="X473">
        <v>0.99369689999999999</v>
      </c>
      <c r="Y473">
        <v>0.2271272</v>
      </c>
      <c r="Z473">
        <v>7.0715390000000003E-2</v>
      </c>
      <c r="AA473">
        <v>0.97129430000000005</v>
      </c>
      <c r="AB473">
        <v>24</v>
      </c>
      <c r="AC473">
        <v>-3.93360000000001</v>
      </c>
      <c r="AD473">
        <v>-1.10426355872</v>
      </c>
      <c r="AE473">
        <v>-14.8574999999999</v>
      </c>
      <c r="AF473">
        <v>3.5400785222879998</v>
      </c>
      <c r="AG473">
        <v>-1.10426355872</v>
      </c>
      <c r="AH473">
        <v>14.875023303989799</v>
      </c>
      <c r="AI473">
        <v>94.130676681080502</v>
      </c>
      <c r="AJ473">
        <v>76.613311666362904</v>
      </c>
      <c r="AK473">
        <v>15.330292634040701</v>
      </c>
    </row>
    <row r="474" spans="1:37" x14ac:dyDescent="0.2">
      <c r="A474" t="str">
        <f>"20200111150515547"</f>
        <v>20200111150515547</v>
      </c>
      <c r="B474" t="str">
        <f>"1578726315544896"</f>
        <v>1578726315544896</v>
      </c>
      <c r="C474" t="s">
        <v>37</v>
      </c>
      <c r="D474">
        <v>4.8565860000000001</v>
      </c>
      <c r="E474">
        <v>0.60512390000000005</v>
      </c>
      <c r="F474" t="s">
        <v>39</v>
      </c>
      <c r="G474">
        <v>-195.9451</v>
      </c>
      <c r="H474" s="1">
        <v>-4.3459890000000003E-6</v>
      </c>
      <c r="I474">
        <v>306.65879999999999</v>
      </c>
      <c r="J474">
        <v>-191.8775</v>
      </c>
      <c r="K474">
        <v>1.1042130000000001</v>
      </c>
      <c r="L474">
        <v>321.9812</v>
      </c>
      <c r="M474">
        <v>-2.4042460000000002E-2</v>
      </c>
      <c r="N474">
        <v>0</v>
      </c>
      <c r="O474">
        <v>-0.99962260000000003</v>
      </c>
      <c r="P474">
        <v>1.3987339999999999E-2</v>
      </c>
      <c r="Q474">
        <v>9.2215530000000004E-2</v>
      </c>
      <c r="R474">
        <v>-0.99564109999999995</v>
      </c>
      <c r="S474">
        <v>-0.79690550000000004</v>
      </c>
      <c r="T474">
        <v>-0.216101499999999</v>
      </c>
      <c r="U474">
        <v>-3.0440369999999999</v>
      </c>
      <c r="V474">
        <v>-3.8114729999999999E-2</v>
      </c>
      <c r="W474">
        <v>0.1053813</v>
      </c>
      <c r="X474">
        <v>0.99370119999999895</v>
      </c>
      <c r="Y474">
        <v>0.2293261</v>
      </c>
      <c r="Z474">
        <v>6.8687890000000001E-2</v>
      </c>
      <c r="AA474">
        <v>0.97092299999999998</v>
      </c>
      <c r="AB474">
        <v>24</v>
      </c>
      <c r="AC474">
        <v>-4.0675999999999899</v>
      </c>
      <c r="AD474">
        <v>-1.1042173459889999</v>
      </c>
      <c r="AE474">
        <v>-15.3224</v>
      </c>
      <c r="AF474">
        <v>3.6801488818863302</v>
      </c>
      <c r="AG474">
        <v>-1.1042173459889999</v>
      </c>
      <c r="AH474">
        <v>15.3413446648463</v>
      </c>
      <c r="AI474">
        <v>94.003656220530601</v>
      </c>
      <c r="AJ474">
        <v>76.510530881945698</v>
      </c>
      <c r="AK474">
        <v>15.8151714459768</v>
      </c>
    </row>
    <row r="475" spans="1:37" x14ac:dyDescent="0.2">
      <c r="A475" t="str">
        <f>"20200111150515571"</f>
        <v>20200111150515571</v>
      </c>
      <c r="B475" t="str">
        <f>"1578726315565392"</f>
        <v>1578726315565392</v>
      </c>
      <c r="C475" t="s">
        <v>37</v>
      </c>
      <c r="D475">
        <v>4.8258049999999999</v>
      </c>
      <c r="E475">
        <v>0.60552700000000004</v>
      </c>
      <c r="F475" t="s">
        <v>39</v>
      </c>
      <c r="G475">
        <v>-196.05330000000001</v>
      </c>
      <c r="H475" s="1">
        <v>-4.2051949999999996E-6</v>
      </c>
      <c r="I475">
        <v>306.18869999999998</v>
      </c>
      <c r="J475">
        <v>-191.88200000000001</v>
      </c>
      <c r="K475">
        <v>1.104163</v>
      </c>
      <c r="L475">
        <v>321.73790000000002</v>
      </c>
      <c r="M475">
        <v>-2.2923610000000001E-2</v>
      </c>
      <c r="N475">
        <v>0</v>
      </c>
      <c r="O475">
        <v>-0.99964830000000005</v>
      </c>
      <c r="P475">
        <v>1.432376E-2</v>
      </c>
      <c r="Q475">
        <v>9.2403990000000005E-2</v>
      </c>
      <c r="R475">
        <v>-0.99561849999999996</v>
      </c>
      <c r="S475">
        <v>-0.80493159999999997</v>
      </c>
      <c r="T475">
        <v>-0.2128476</v>
      </c>
      <c r="U475">
        <v>-3.0441590000000001</v>
      </c>
      <c r="V475">
        <v>-3.7323490000000001E-2</v>
      </c>
      <c r="W475">
        <v>0.10560269999999999</v>
      </c>
      <c r="X475">
        <v>0.99370769999999997</v>
      </c>
      <c r="Y475">
        <v>0.23281740000000001</v>
      </c>
      <c r="Z475">
        <v>6.760795E-2</v>
      </c>
      <c r="AA475">
        <v>0.97016759999999902</v>
      </c>
      <c r="AB475">
        <v>24</v>
      </c>
      <c r="AC475">
        <v>-4.1712999999999996</v>
      </c>
      <c r="AD475">
        <v>-1.104167205195</v>
      </c>
      <c r="AE475">
        <v>-15.549200000000001</v>
      </c>
      <c r="AF475">
        <v>3.79587218206016</v>
      </c>
      <c r="AG475">
        <v>-1.104167205195</v>
      </c>
      <c r="AH475">
        <v>15.5675125290806</v>
      </c>
      <c r="AI475">
        <v>93.941949937910294</v>
      </c>
      <c r="AJ475">
        <v>76.296798052560106</v>
      </c>
      <c r="AK475">
        <v>16.061608798082698</v>
      </c>
    </row>
    <row r="476" spans="1:37" x14ac:dyDescent="0.2">
      <c r="A476" t="str">
        <f>"20200111150515591"</f>
        <v>20200111150515591</v>
      </c>
      <c r="B476" t="str">
        <f>"1578726315584912"</f>
        <v>1578726315584912</v>
      </c>
      <c r="C476" t="s">
        <v>37</v>
      </c>
      <c r="D476">
        <v>4.7441990000000001</v>
      </c>
      <c r="E476">
        <v>0.60563109999999998</v>
      </c>
      <c r="F476" t="s">
        <v>39</v>
      </c>
      <c r="G476">
        <v>-196.14940000000001</v>
      </c>
      <c r="H476" s="1">
        <v>-4.0335310000000002E-6</v>
      </c>
      <c r="I476">
        <v>305.63420000000002</v>
      </c>
      <c r="J476">
        <v>-191.8861</v>
      </c>
      <c r="K476">
        <v>1.104117</v>
      </c>
      <c r="L476">
        <v>321.5077</v>
      </c>
      <c r="M476">
        <v>-2.1927240000000001E-2</v>
      </c>
      <c r="N476">
        <v>0</v>
      </c>
      <c r="O476">
        <v>-0.99967059999999996</v>
      </c>
      <c r="P476">
        <v>1.523333E-2</v>
      </c>
      <c r="Q476">
        <v>9.2521619999999999E-2</v>
      </c>
      <c r="R476">
        <v>-0.9955946</v>
      </c>
      <c r="S476">
        <v>-0.80668640000000003</v>
      </c>
      <c r="T476">
        <v>-0.2087272</v>
      </c>
      <c r="U476">
        <v>-3.0441889999999998</v>
      </c>
      <c r="V476">
        <v>-3.7228619999999997E-2</v>
      </c>
      <c r="W476">
        <v>0.1057469</v>
      </c>
      <c r="X476">
        <v>0.99369599999999902</v>
      </c>
      <c r="Y476">
        <v>0.23432910000000001</v>
      </c>
      <c r="Z476">
        <v>6.6289760000000003E-2</v>
      </c>
      <c r="AA476">
        <v>0.96989459999999905</v>
      </c>
      <c r="AB476">
        <v>24</v>
      </c>
      <c r="AC476">
        <v>-4.2633000000000099</v>
      </c>
      <c r="AD476">
        <v>-1.1041210335310001</v>
      </c>
      <c r="AE476">
        <v>-15.8734999999999</v>
      </c>
      <c r="AF476">
        <v>3.8965975254545699</v>
      </c>
      <c r="AG476">
        <v>-1.1041210335310001</v>
      </c>
      <c r="AH476">
        <v>15.891459837004099</v>
      </c>
      <c r="AI476">
        <v>93.8604631888483</v>
      </c>
      <c r="AJ476">
        <v>76.2228501840398</v>
      </c>
      <c r="AK476">
        <v>16.3994222850434</v>
      </c>
    </row>
    <row r="477" spans="1:37" x14ac:dyDescent="0.2">
      <c r="A477" t="str">
        <f>"20200111150515615"</f>
        <v>20200111150515615</v>
      </c>
      <c r="B477" t="str">
        <f>"1578726315604432"</f>
        <v>1578726315604432</v>
      </c>
      <c r="C477" t="s">
        <v>37</v>
      </c>
      <c r="D477">
        <v>4.7455449999999999</v>
      </c>
      <c r="E477">
        <v>0.60577429999999999</v>
      </c>
      <c r="F477" t="s">
        <v>39</v>
      </c>
      <c r="G477">
        <v>-196.16970000000001</v>
      </c>
      <c r="H477" s="1">
        <v>-3.9251919999999999E-6</v>
      </c>
      <c r="I477">
        <v>305.30520000000001</v>
      </c>
      <c r="J477">
        <v>-191.8904</v>
      </c>
      <c r="K477">
        <v>1.1040719999999999</v>
      </c>
      <c r="L477">
        <v>321.25630000000001</v>
      </c>
      <c r="M477">
        <v>-2.0912839999999999E-2</v>
      </c>
      <c r="N477">
        <v>0</v>
      </c>
      <c r="O477">
        <v>-0.99969180000000002</v>
      </c>
      <c r="P477">
        <v>1.5933280000000001E-2</v>
      </c>
      <c r="Q477">
        <v>9.2830259999999998E-2</v>
      </c>
      <c r="R477">
        <v>-0.99555459999999996</v>
      </c>
      <c r="S477">
        <v>-0.8050079</v>
      </c>
      <c r="T477">
        <v>-0.20749239999999999</v>
      </c>
      <c r="U477">
        <v>-3.044861</v>
      </c>
      <c r="V477">
        <v>-3.6905559999999997E-2</v>
      </c>
      <c r="W477">
        <v>0.1060816</v>
      </c>
      <c r="X477">
        <v>0.99367229999999995</v>
      </c>
      <c r="Y477">
        <v>0.23476959999999999</v>
      </c>
      <c r="Z477">
        <v>6.5888520000000006E-2</v>
      </c>
      <c r="AA477">
        <v>0.96981539999999999</v>
      </c>
      <c r="AB477">
        <v>24</v>
      </c>
      <c r="AC477">
        <v>-4.2793000000000001</v>
      </c>
      <c r="AD477">
        <v>-1.104075925192</v>
      </c>
      <c r="AE477">
        <v>-15.951099999999901</v>
      </c>
      <c r="AF477">
        <v>3.9271997304189501</v>
      </c>
      <c r="AG477">
        <v>-1.104075925192</v>
      </c>
      <c r="AH477">
        <v>15.965756530767401</v>
      </c>
      <c r="AI477">
        <v>93.841707721466307</v>
      </c>
      <c r="AJ477">
        <v>76.180934094470103</v>
      </c>
      <c r="AK477">
        <v>16.478691178941801</v>
      </c>
    </row>
    <row r="478" spans="1:37" x14ac:dyDescent="0.2">
      <c r="A478" t="str">
        <f>"20200111150515638"</f>
        <v>20200111150515638</v>
      </c>
      <c r="B478" t="str">
        <f>"1578726315634687"</f>
        <v>1578726315634687</v>
      </c>
      <c r="C478" t="s">
        <v>37</v>
      </c>
      <c r="D478">
        <v>4.7092650000000003</v>
      </c>
      <c r="E478">
        <v>0.60606070000000001</v>
      </c>
      <c r="F478" t="s">
        <v>39</v>
      </c>
      <c r="G478">
        <v>-196.24709999999999</v>
      </c>
      <c r="H478" s="1">
        <v>-3.748326E-6</v>
      </c>
      <c r="I478">
        <v>304.74509999999998</v>
      </c>
      <c r="J478">
        <v>-191.89429999999999</v>
      </c>
      <c r="K478">
        <v>1.104031</v>
      </c>
      <c r="L478">
        <v>321.01429999999999</v>
      </c>
      <c r="M478">
        <v>-2.0001089999999999E-2</v>
      </c>
      <c r="N478">
        <v>0</v>
      </c>
      <c r="O478">
        <v>-0.99971019999999899</v>
      </c>
      <c r="P478">
        <v>1.63868E-2</v>
      </c>
      <c r="Q478">
        <v>9.2942490000000003E-2</v>
      </c>
      <c r="R478">
        <v>-0.99553659999999999</v>
      </c>
      <c r="S478">
        <v>-0.80355829999999995</v>
      </c>
      <c r="T478">
        <v>-0.20363339999999999</v>
      </c>
      <c r="U478">
        <v>-3.0452880000000002</v>
      </c>
      <c r="V478">
        <v>-3.6440680000000003E-2</v>
      </c>
      <c r="W478">
        <v>0.1062167</v>
      </c>
      <c r="X478">
        <v>0.99367510000000003</v>
      </c>
      <c r="Y478">
        <v>0.23521129999999901</v>
      </c>
      <c r="Z478">
        <v>6.4661880000000005E-2</v>
      </c>
      <c r="AA478">
        <v>0.96979090000000001</v>
      </c>
      <c r="AB478">
        <v>24</v>
      </c>
      <c r="AC478">
        <v>-4.3528000000000002</v>
      </c>
      <c r="AD478">
        <v>-1.104034748326</v>
      </c>
      <c r="AE478">
        <v>-16.269200000000001</v>
      </c>
      <c r="AF478">
        <v>4.0092686606967902</v>
      </c>
      <c r="AG478">
        <v>-1.104034748326</v>
      </c>
      <c r="AH478">
        <v>16.283038431143101</v>
      </c>
      <c r="AI478">
        <v>93.766712558220405</v>
      </c>
      <c r="AJ478">
        <v>76.167579754853406</v>
      </c>
      <c r="AK478">
        <v>16.805667748388899</v>
      </c>
    </row>
    <row r="479" spans="1:37" x14ac:dyDescent="0.2">
      <c r="A479" t="str">
        <f>"20200111150515661"</f>
        <v>20200111150515661</v>
      </c>
      <c r="B479" t="str">
        <f>"1578726315655184"</f>
        <v>1578726315655184</v>
      </c>
      <c r="C479" t="s">
        <v>37</v>
      </c>
      <c r="D479">
        <v>4.6936239999999998</v>
      </c>
      <c r="E479">
        <v>0.60630360000000005</v>
      </c>
      <c r="F479" t="s">
        <v>39</v>
      </c>
      <c r="G479">
        <v>-196.32839999999999</v>
      </c>
      <c r="H479" s="1">
        <v>-3.5827800000000001E-6</v>
      </c>
      <c r="I479">
        <v>304.21629999999999</v>
      </c>
      <c r="J479">
        <v>-191.8982</v>
      </c>
      <c r="K479">
        <v>1.1040030000000001</v>
      </c>
      <c r="L479">
        <v>320.76609999999999</v>
      </c>
      <c r="M479">
        <v>-1.911552E-2</v>
      </c>
      <c r="N479">
        <v>0</v>
      </c>
      <c r="O479">
        <v>-0.99972749999999999</v>
      </c>
      <c r="P479">
        <v>1.6513280000000002E-2</v>
      </c>
      <c r="Q479">
        <v>9.2615020000000006E-2</v>
      </c>
      <c r="R479">
        <v>-0.99556549999999999</v>
      </c>
      <c r="S479">
        <v>-0.8038788</v>
      </c>
      <c r="T479">
        <v>-0.2001541</v>
      </c>
      <c r="U479">
        <v>-3.04537999999999</v>
      </c>
      <c r="V479">
        <v>-3.5676630000000001E-2</v>
      </c>
      <c r="W479">
        <v>0.1059076</v>
      </c>
      <c r="X479">
        <v>0.9937357</v>
      </c>
      <c r="Y479">
        <v>0.23617840000000001</v>
      </c>
      <c r="Z479">
        <v>6.3553090000000007E-2</v>
      </c>
      <c r="AA479">
        <v>0.96962919999999997</v>
      </c>
      <c r="AB479">
        <v>24</v>
      </c>
      <c r="AC479">
        <v>-4.4301999999999797</v>
      </c>
      <c r="AD479">
        <v>-1.1040065827800001</v>
      </c>
      <c r="AE479">
        <v>-16.549800000000001</v>
      </c>
      <c r="AF479">
        <v>4.0959956260838899</v>
      </c>
      <c r="AG479">
        <v>-1.1040065827800001</v>
      </c>
      <c r="AH479">
        <v>16.562693335362201</v>
      </c>
      <c r="AI479">
        <v>93.702270688875203</v>
      </c>
      <c r="AJ479">
        <v>76.109311964027896</v>
      </c>
      <c r="AK479">
        <v>17.097333746083699</v>
      </c>
    </row>
    <row r="480" spans="1:37" x14ac:dyDescent="0.2">
      <c r="A480" t="str">
        <f>"20200111150515681"</f>
        <v>20200111150515681</v>
      </c>
      <c r="B480" t="str">
        <f>"1578726315674704"</f>
        <v>1578726315674704</v>
      </c>
      <c r="C480" t="s">
        <v>37</v>
      </c>
      <c r="D480">
        <v>4.6853660000000001</v>
      </c>
      <c r="E480">
        <v>0.60662959999999999</v>
      </c>
      <c r="F480" t="s">
        <v>39</v>
      </c>
      <c r="G480">
        <v>-196.35489999999999</v>
      </c>
      <c r="H480" s="1">
        <v>-3.483133E-6</v>
      </c>
      <c r="I480">
        <v>303.90969999999999</v>
      </c>
      <c r="J480">
        <v>-191.9016</v>
      </c>
      <c r="K480">
        <v>1.103979</v>
      </c>
      <c r="L480">
        <v>320.5421</v>
      </c>
      <c r="M480">
        <v>-1.8351470000000002E-2</v>
      </c>
      <c r="N480">
        <v>0</v>
      </c>
      <c r="O480">
        <v>-0.99974169999999996</v>
      </c>
      <c r="P480">
        <v>1.6408099999999998E-2</v>
      </c>
      <c r="Q480">
        <v>9.2232099999999997E-2</v>
      </c>
      <c r="R480">
        <v>-0.9956026</v>
      </c>
      <c r="S480">
        <v>-0.80514529999999995</v>
      </c>
      <c r="T480">
        <v>-0.1994495</v>
      </c>
      <c r="U480">
        <v>-3.0452880000000002</v>
      </c>
      <c r="V480">
        <v>-3.480565E-2</v>
      </c>
      <c r="W480">
        <v>0.1055344</v>
      </c>
      <c r="X480">
        <v>0.99380639999999998</v>
      </c>
      <c r="Y480">
        <v>0.23730860000000001</v>
      </c>
      <c r="Z480">
        <v>6.3321349999999998E-2</v>
      </c>
      <c r="AA480">
        <v>0.96936840000000002</v>
      </c>
      <c r="AB480">
        <v>24</v>
      </c>
      <c r="AC480">
        <v>-4.4532999999999801</v>
      </c>
      <c r="AD480">
        <v>-1.1039824831330001</v>
      </c>
      <c r="AE480">
        <v>-16.632400000000001</v>
      </c>
      <c r="AF480">
        <v>4.1303138432343696</v>
      </c>
      <c r="AG480">
        <v>-1.1039824831330001</v>
      </c>
      <c r="AH480">
        <v>16.642911785764301</v>
      </c>
      <c r="AI480">
        <v>93.683648812852297</v>
      </c>
      <c r="AJ480">
        <v>76.062344916740201</v>
      </c>
      <c r="AK480">
        <v>17.183270424322899</v>
      </c>
    </row>
    <row r="481" spans="1:37" x14ac:dyDescent="0.2">
      <c r="A481" t="str">
        <f>"20200111150515704"</f>
        <v>20200111150515704</v>
      </c>
      <c r="B481" t="str">
        <f>"1578726315695199"</f>
        <v>1578726315695199</v>
      </c>
      <c r="C481" t="s">
        <v>37</v>
      </c>
      <c r="D481">
        <v>4.712472</v>
      </c>
      <c r="E481">
        <v>0.60709959999999996</v>
      </c>
      <c r="F481" t="s">
        <v>39</v>
      </c>
      <c r="G481">
        <v>-196.4049</v>
      </c>
      <c r="H481" s="1">
        <v>-3.3768E-6</v>
      </c>
      <c r="I481">
        <v>303.5711</v>
      </c>
      <c r="J481">
        <v>-191.90520000000001</v>
      </c>
      <c r="K481">
        <v>1.1039589999999999</v>
      </c>
      <c r="L481">
        <v>320.29050000000001</v>
      </c>
      <c r="M481">
        <v>-1.7524209999999998E-2</v>
      </c>
      <c r="N481">
        <v>0</v>
      </c>
      <c r="O481">
        <v>-0.99975669999999905</v>
      </c>
      <c r="P481">
        <v>1.6582510000000002E-2</v>
      </c>
      <c r="Q481">
        <v>9.2121610000000007E-2</v>
      </c>
      <c r="R481">
        <v>-0.995610199999999</v>
      </c>
      <c r="S481">
        <v>-0.80798340000000002</v>
      </c>
      <c r="T481">
        <v>-0.19807549999999999</v>
      </c>
      <c r="U481">
        <v>-3.0449220000000001</v>
      </c>
      <c r="V481">
        <v>-3.4152090000000003E-2</v>
      </c>
      <c r="W481">
        <v>0.1054249</v>
      </c>
      <c r="X481">
        <v>0.99384059999999896</v>
      </c>
      <c r="Y481">
        <v>0.23899229999999999</v>
      </c>
      <c r="Z481">
        <v>6.287508E-2</v>
      </c>
      <c r="AA481">
        <v>0.9689837</v>
      </c>
      <c r="AB481">
        <v>24</v>
      </c>
      <c r="AC481">
        <v>-4.49969999999999</v>
      </c>
      <c r="AD481">
        <v>-1.1039623768</v>
      </c>
      <c r="AE481">
        <v>-16.7194</v>
      </c>
      <c r="AF481">
        <v>4.1889587555682297</v>
      </c>
      <c r="AG481">
        <v>-1.1039623768</v>
      </c>
      <c r="AH481">
        <v>16.727688982488701</v>
      </c>
      <c r="AI481">
        <v>93.663036201842303</v>
      </c>
      <c r="AJ481">
        <v>75.941075017632301</v>
      </c>
      <c r="AK481">
        <v>17.2795164018011</v>
      </c>
    </row>
    <row r="482" spans="1:37" x14ac:dyDescent="0.2">
      <c r="A482" t="str">
        <f>"20200111150515727"</f>
        <v>20200111150515727</v>
      </c>
      <c r="B482" t="str">
        <f>"1578726315714720"</f>
        <v>1578726315714720</v>
      </c>
      <c r="C482" t="s">
        <v>37</v>
      </c>
      <c r="D482">
        <v>4.659643</v>
      </c>
      <c r="E482">
        <v>0.60735099999999997</v>
      </c>
      <c r="F482" t="s">
        <v>39</v>
      </c>
      <c r="G482">
        <v>-196.42920000000001</v>
      </c>
      <c r="H482" s="1">
        <v>-3.2892589999999999E-6</v>
      </c>
      <c r="I482">
        <v>303.30119999999999</v>
      </c>
      <c r="J482">
        <v>-191.9084</v>
      </c>
      <c r="K482">
        <v>1.1039410000000001</v>
      </c>
      <c r="L482">
        <v>320.05349999999999</v>
      </c>
      <c r="M482">
        <v>-1.676331E-2</v>
      </c>
      <c r="N482">
        <v>0</v>
      </c>
      <c r="O482">
        <v>-0.99976949999999998</v>
      </c>
      <c r="P482">
        <v>1.7008639999999998E-2</v>
      </c>
      <c r="Q482">
        <v>9.2248170000000004E-2</v>
      </c>
      <c r="R482">
        <v>-0.99559069999999905</v>
      </c>
      <c r="S482">
        <v>-0.81085209999999996</v>
      </c>
      <c r="T482">
        <v>-0.1978664</v>
      </c>
      <c r="U482">
        <v>-3.0450439999999999</v>
      </c>
      <c r="V482">
        <v>-3.3818019999999997E-2</v>
      </c>
      <c r="W482">
        <v>0.1055444</v>
      </c>
      <c r="X482">
        <v>0.99383940000000004</v>
      </c>
      <c r="Y482">
        <v>0.24057529999999899</v>
      </c>
      <c r="Z482">
        <v>6.2787919999999997E-2</v>
      </c>
      <c r="AA482">
        <v>0.9685975</v>
      </c>
      <c r="AB482">
        <v>24</v>
      </c>
      <c r="AC482">
        <v>-4.5208000000000004</v>
      </c>
      <c r="AD482">
        <v>-1.1039442892589999</v>
      </c>
      <c r="AE482">
        <v>-16.752299999999899</v>
      </c>
      <c r="AF482">
        <v>4.2222247625071399</v>
      </c>
      <c r="AG482">
        <v>-1.1039442892589999</v>
      </c>
      <c r="AH482">
        <v>16.757903792458698</v>
      </c>
      <c r="AI482">
        <v>93.655068794637799</v>
      </c>
      <c r="AJ482">
        <v>75.858422322066204</v>
      </c>
      <c r="AK482">
        <v>17.316847705521301</v>
      </c>
    </row>
    <row r="483" spans="1:37" x14ac:dyDescent="0.2">
      <c r="A483" t="str">
        <f>"20200111150515750"</f>
        <v>20200111150515750</v>
      </c>
      <c r="B483" t="str">
        <f>"1578726315744977"</f>
        <v>1578726315744977</v>
      </c>
      <c r="C483" t="s">
        <v>37</v>
      </c>
      <c r="D483">
        <v>4.6954969999999996</v>
      </c>
      <c r="E483">
        <v>0.60797730000000005</v>
      </c>
      <c r="F483" t="s">
        <v>39</v>
      </c>
      <c r="G483">
        <v>-196.31180000000001</v>
      </c>
      <c r="H483" s="1">
        <v>-3.3440199999999998E-6</v>
      </c>
      <c r="I483">
        <v>303.52330000000001</v>
      </c>
      <c r="J483">
        <v>-191.9117</v>
      </c>
      <c r="K483">
        <v>1.1039369999999999</v>
      </c>
      <c r="L483">
        <v>319.80020000000002</v>
      </c>
      <c r="M483">
        <v>-1.595829E-2</v>
      </c>
      <c r="N483">
        <v>0</v>
      </c>
      <c r="O483">
        <v>-0.99978310000000004</v>
      </c>
      <c r="P483">
        <v>1.7150769999999999E-2</v>
      </c>
      <c r="Q483">
        <v>9.28813E-2</v>
      </c>
      <c r="R483">
        <v>-0.99552960000000001</v>
      </c>
      <c r="S483">
        <v>-0.81140140000000005</v>
      </c>
      <c r="T483">
        <v>-0.2034205</v>
      </c>
      <c r="U483">
        <v>-3.0459589999999999</v>
      </c>
      <c r="V483">
        <v>-3.315709E-2</v>
      </c>
      <c r="W483">
        <v>0.106167</v>
      </c>
      <c r="X483">
        <v>0.99379530000000005</v>
      </c>
      <c r="Y483">
        <v>0.24141899999999999</v>
      </c>
      <c r="Z483">
        <v>6.4517179999999993E-2</v>
      </c>
      <c r="AA483">
        <v>0.96827389999999902</v>
      </c>
      <c r="AB483">
        <v>24</v>
      </c>
      <c r="AC483">
        <v>-4.4001000000000001</v>
      </c>
      <c r="AD483">
        <v>-1.10394034402</v>
      </c>
      <c r="AE483">
        <v>-16.276900000000001</v>
      </c>
      <c r="AF483">
        <v>4.12209490031531</v>
      </c>
      <c r="AG483">
        <v>-1.10394034402</v>
      </c>
      <c r="AH483">
        <v>16.2752849980109</v>
      </c>
      <c r="AI483">
        <v>93.761958785759106</v>
      </c>
      <c r="AJ483">
        <v>75.787379585004402</v>
      </c>
      <c r="AK483">
        <v>16.825434687307201</v>
      </c>
    </row>
    <row r="484" spans="1:37" x14ac:dyDescent="0.2">
      <c r="A484" t="str">
        <f>"20200111150515769"</f>
        <v>20200111150515769</v>
      </c>
      <c r="B484" t="str">
        <f>"1578726315764495"</f>
        <v>1578726315764495</v>
      </c>
      <c r="C484" t="s">
        <v>37</v>
      </c>
      <c r="D484">
        <v>4.6732420000000001</v>
      </c>
      <c r="E484">
        <v>0.6083788</v>
      </c>
      <c r="F484" t="s">
        <v>39</v>
      </c>
      <c r="G484">
        <v>-196.40700000000001</v>
      </c>
      <c r="H484" s="1">
        <v>-3.1717270000000002E-6</v>
      </c>
      <c r="I484">
        <v>303.00869999999998</v>
      </c>
      <c r="J484">
        <v>-191.91409999999999</v>
      </c>
      <c r="K484">
        <v>1.103934</v>
      </c>
      <c r="L484">
        <v>319.59870000000001</v>
      </c>
      <c r="M484">
        <v>-1.531709E-2</v>
      </c>
      <c r="N484">
        <v>0</v>
      </c>
      <c r="O484">
        <v>-0.99979340000000005</v>
      </c>
      <c r="P484">
        <v>1.8333820000000001E-2</v>
      </c>
      <c r="Q484">
        <v>9.4062640000000003E-2</v>
      </c>
      <c r="R484">
        <v>-0.99539769999999905</v>
      </c>
      <c r="S484">
        <v>-0.81552119999999995</v>
      </c>
      <c r="T484">
        <v>-0.20027110000000001</v>
      </c>
      <c r="U484">
        <v>-3.0462340000000001</v>
      </c>
      <c r="V484">
        <v>-3.3700630000000002E-2</v>
      </c>
      <c r="W484">
        <v>0.1073366</v>
      </c>
      <c r="X484">
        <v>0.99365139999999996</v>
      </c>
      <c r="Y484">
        <v>0.24325849999999999</v>
      </c>
      <c r="Z484">
        <v>6.3492290000000007E-2</v>
      </c>
      <c r="AA484">
        <v>0.9678812</v>
      </c>
      <c r="AB484">
        <v>24</v>
      </c>
      <c r="AC484">
        <v>-4.4929000000000201</v>
      </c>
      <c r="AD484">
        <v>-1.1039371717269999</v>
      </c>
      <c r="AE484">
        <v>-16.59</v>
      </c>
      <c r="AF484">
        <v>4.2208273681752004</v>
      </c>
      <c r="AG484">
        <v>-1.1039371717269999</v>
      </c>
      <c r="AH484">
        <v>16.5884451331337</v>
      </c>
      <c r="AI484">
        <v>93.690099954315599</v>
      </c>
      <c r="AJ484">
        <v>75.724373212977994</v>
      </c>
      <c r="AK484">
        <v>17.1525675304324</v>
      </c>
    </row>
    <row r="485" spans="1:37" x14ac:dyDescent="0.2">
      <c r="A485" t="str">
        <f>"20200111150515793"</f>
        <v>20200111150515793</v>
      </c>
      <c r="B485" t="str">
        <f>"1578726315784992"</f>
        <v>1578726315784992</v>
      </c>
      <c r="C485" t="s">
        <v>37</v>
      </c>
      <c r="D485">
        <v>4.7268610000000004</v>
      </c>
      <c r="E485">
        <v>0.60843269999999905</v>
      </c>
      <c r="F485" t="s">
        <v>39</v>
      </c>
      <c r="G485">
        <v>-196.51070000000001</v>
      </c>
      <c r="H485" s="1">
        <v>-2.9461730000000002E-6</v>
      </c>
      <c r="I485">
        <v>302.41860000000003</v>
      </c>
      <c r="J485">
        <v>-191.917</v>
      </c>
      <c r="K485">
        <v>1.1039319999999999</v>
      </c>
      <c r="L485">
        <v>319.346</v>
      </c>
      <c r="M485">
        <v>-1.450764E-2</v>
      </c>
      <c r="N485">
        <v>0</v>
      </c>
      <c r="O485">
        <v>-0.99980550000000001</v>
      </c>
      <c r="P485">
        <v>1.9588999999999999E-2</v>
      </c>
      <c r="Q485">
        <v>9.4532190000000002E-2</v>
      </c>
      <c r="R485">
        <v>-0.99532919999999903</v>
      </c>
      <c r="S485">
        <v>-0.81532289999999996</v>
      </c>
      <c r="T485">
        <v>-0.19581370000000001</v>
      </c>
      <c r="U485">
        <v>-3.0473629999999998</v>
      </c>
      <c r="V485">
        <v>-3.4150460000000001E-2</v>
      </c>
      <c r="W485">
        <v>0.1077936</v>
      </c>
      <c r="X485">
        <v>0.99358659999999999</v>
      </c>
      <c r="Y485">
        <v>0.24391849999999901</v>
      </c>
      <c r="Z485">
        <v>6.2059120000000002E-2</v>
      </c>
      <c r="AA485">
        <v>0.96780809999999995</v>
      </c>
      <c r="AB485">
        <v>24</v>
      </c>
      <c r="AC485">
        <v>-4.5937000000000099</v>
      </c>
      <c r="AD485">
        <v>-1.1039349461729999</v>
      </c>
      <c r="AE485">
        <v>-16.927399999999899</v>
      </c>
      <c r="AF485">
        <v>4.3304633448713803</v>
      </c>
      <c r="AG485">
        <v>-1.1039349461729999</v>
      </c>
      <c r="AH485">
        <v>16.925220815790901</v>
      </c>
      <c r="AI485">
        <v>93.615642101668499</v>
      </c>
      <c r="AJ485">
        <v>75.6482669110774</v>
      </c>
      <c r="AK485">
        <v>17.505275913562102</v>
      </c>
    </row>
    <row r="486" spans="1:37" x14ac:dyDescent="0.2">
      <c r="A486" t="str">
        <f>"20200111150515816"</f>
        <v>20200111150515816</v>
      </c>
      <c r="B486" t="str">
        <f>"1578726315804512"</f>
        <v>1578726315804512</v>
      </c>
      <c r="C486" t="s">
        <v>37</v>
      </c>
      <c r="D486">
        <v>4.6143239999999999</v>
      </c>
      <c r="E486">
        <v>0.54243090000000005</v>
      </c>
      <c r="F486" t="s">
        <v>39</v>
      </c>
      <c r="G486">
        <v>-196.5453</v>
      </c>
      <c r="H486" s="1">
        <v>-2.762731E-6</v>
      </c>
      <c r="I486">
        <v>301.96949999999998</v>
      </c>
      <c r="J486">
        <v>-191.91970000000001</v>
      </c>
      <c r="K486">
        <v>1.103934</v>
      </c>
      <c r="L486">
        <v>319.09620000000001</v>
      </c>
      <c r="M486">
        <v>-1.369969E-2</v>
      </c>
      <c r="N486">
        <v>0</v>
      </c>
      <c r="O486">
        <v>-0.99981699999999996</v>
      </c>
      <c r="P486">
        <v>2.0013400000000001E-2</v>
      </c>
      <c r="Q486">
        <v>9.4797599999999996E-2</v>
      </c>
      <c r="R486">
        <v>-0.9952955</v>
      </c>
      <c r="S486">
        <v>-0.81196590000000002</v>
      </c>
      <c r="T486">
        <v>-0.19367019999999999</v>
      </c>
      <c r="U486">
        <v>-3.0484619999999998</v>
      </c>
      <c r="V486">
        <v>-3.3771919999999997E-2</v>
      </c>
      <c r="W486">
        <v>0.108047699999999</v>
      </c>
      <c r="X486">
        <v>0.99357189999999995</v>
      </c>
      <c r="Y486">
        <v>0.24363099999999999</v>
      </c>
      <c r="Z486">
        <v>6.1372980000000001E-2</v>
      </c>
      <c r="AA486">
        <v>0.96792420000000001</v>
      </c>
      <c r="AB486">
        <v>24</v>
      </c>
      <c r="AC486">
        <v>-4.6255999999999897</v>
      </c>
      <c r="AD486">
        <v>-1.1039367627309999</v>
      </c>
      <c r="AE486">
        <v>-17.1267</v>
      </c>
      <c r="AF486">
        <v>4.3735788185128897</v>
      </c>
      <c r="AG486">
        <v>-1.1039367627309999</v>
      </c>
      <c r="AH486">
        <v>17.122165988979699</v>
      </c>
      <c r="AI486">
        <v>93.574531481697903</v>
      </c>
      <c r="AJ486">
        <v>75.671116652238098</v>
      </c>
      <c r="AK486">
        <v>17.706367109376998</v>
      </c>
    </row>
    <row r="487" spans="1:37" x14ac:dyDescent="0.2">
      <c r="A487" t="str">
        <f>"20200111150515838"</f>
        <v>20200111150515838</v>
      </c>
      <c r="B487" t="str">
        <f>"1578726315834768"</f>
        <v>1578726315834768</v>
      </c>
      <c r="C487" t="s">
        <v>37</v>
      </c>
      <c r="D487">
        <v>4.6751820000000004</v>
      </c>
      <c r="E487">
        <v>0.53093639999999998</v>
      </c>
      <c r="F487" t="s">
        <v>60</v>
      </c>
      <c r="G487">
        <v>-193.83150000000001</v>
      </c>
      <c r="H487" s="1">
        <v>1.7128259999999999E-7</v>
      </c>
      <c r="I487">
        <v>298.6438</v>
      </c>
      <c r="J487">
        <v>-191.922</v>
      </c>
      <c r="K487">
        <v>1.103936</v>
      </c>
      <c r="L487">
        <v>318.85860000000002</v>
      </c>
      <c r="M487">
        <v>-1.2926119999999999E-2</v>
      </c>
      <c r="N487">
        <v>0</v>
      </c>
      <c r="O487">
        <v>-0.99982719999999903</v>
      </c>
      <c r="P487">
        <v>1.9561169999999999E-2</v>
      </c>
      <c r="Q487">
        <v>9.4616350000000002E-2</v>
      </c>
      <c r="R487">
        <v>-0.99532149999999997</v>
      </c>
      <c r="S487">
        <v>-0.28373720000000002</v>
      </c>
      <c r="T487">
        <v>-0.1638414</v>
      </c>
      <c r="U487">
        <v>-3.0354610000000002</v>
      </c>
      <c r="V487">
        <v>-3.2551190000000001E-2</v>
      </c>
      <c r="W487">
        <v>0.1078576</v>
      </c>
      <c r="X487">
        <v>0.99363330000000005</v>
      </c>
      <c r="Y487">
        <v>8.0055299999999996E-2</v>
      </c>
      <c r="Z487">
        <v>5.3687430000000001E-2</v>
      </c>
      <c r="AA487">
        <v>0.9953436</v>
      </c>
      <c r="AB487">
        <v>24</v>
      </c>
      <c r="AC487">
        <v>-1.9095</v>
      </c>
      <c r="AD487">
        <v>-1.1039358287173999</v>
      </c>
      <c r="AE487">
        <v>-20.2148</v>
      </c>
      <c r="AF487">
        <v>1.64316115583737</v>
      </c>
      <c r="AG487">
        <v>-1.1039358287173999</v>
      </c>
      <c r="AH487">
        <v>20.178150720722101</v>
      </c>
      <c r="AI487">
        <v>93.121188490137001</v>
      </c>
      <c r="AJ487">
        <v>85.344522830486198</v>
      </c>
      <c r="AK487">
        <v>20.275019590771201</v>
      </c>
    </row>
    <row r="488" spans="1:37" x14ac:dyDescent="0.2">
      <c r="A488" t="str">
        <f>"20200111150515861"</f>
        <v>20200111150515861</v>
      </c>
      <c r="B488" t="str">
        <f>"1578726315855263"</f>
        <v>1578726315855263</v>
      </c>
      <c r="C488" t="s">
        <v>37</v>
      </c>
      <c r="D488">
        <v>4.6978939999999998</v>
      </c>
      <c r="E488">
        <v>0.52832829999999997</v>
      </c>
      <c r="F488" t="s">
        <v>38</v>
      </c>
      <c r="G488">
        <v>-191.9777</v>
      </c>
      <c r="H488">
        <v>1.0414129999999999</v>
      </c>
      <c r="I488">
        <v>317.99009999999998</v>
      </c>
      <c r="J488">
        <v>-191.92410000000001</v>
      </c>
      <c r="K488">
        <v>1.1039379999999901</v>
      </c>
      <c r="L488">
        <v>318.62990000000002</v>
      </c>
      <c r="M488">
        <v>-1.21773E-2</v>
      </c>
      <c r="N488">
        <v>0</v>
      </c>
      <c r="O488">
        <v>-0.99983670000000002</v>
      </c>
      <c r="P488">
        <v>1.8722809999999999E-2</v>
      </c>
      <c r="Q488">
        <v>9.4849799999999998E-2</v>
      </c>
      <c r="R488">
        <v>-0.99531569999999903</v>
      </c>
      <c r="S488">
        <v>-0.1941986</v>
      </c>
      <c r="T488">
        <v>-0.21892519999999999</v>
      </c>
      <c r="U488">
        <v>-3.0387569999999999</v>
      </c>
      <c r="V488">
        <v>-3.096836E-2</v>
      </c>
      <c r="W488">
        <v>0.1080837</v>
      </c>
      <c r="X488">
        <v>0.99365930000000002</v>
      </c>
      <c r="Y488">
        <v>5.1454550000000002E-2</v>
      </c>
      <c r="Z488">
        <v>7.1729760000000004E-2</v>
      </c>
      <c r="AA488">
        <v>0.99609599999999898</v>
      </c>
      <c r="AB488">
        <v>24</v>
      </c>
      <c r="AC488">
        <v>-5.3599999999988698E-2</v>
      </c>
      <c r="AD488">
        <v>-6.25249999999999E-2</v>
      </c>
      <c r="AE488">
        <v>-0.63980000000003601</v>
      </c>
      <c r="AF488">
        <v>4.5373977062621799E-2</v>
      </c>
      <c r="AG488">
        <v>-6.25249999999999E-2</v>
      </c>
      <c r="AH488">
        <v>0.63438890907285495</v>
      </c>
      <c r="AI488">
        <v>95.614608409080901</v>
      </c>
      <c r="AJ488">
        <v>85.908948323513499</v>
      </c>
      <c r="AK488">
        <v>0.63907547392630104</v>
      </c>
    </row>
    <row r="489" spans="1:37" x14ac:dyDescent="0.2">
      <c r="A489" t="str">
        <f>"20200111150515882"</f>
        <v>20200111150515882</v>
      </c>
      <c r="B489" t="str">
        <f>"1578726315874784"</f>
        <v>1578726315874784</v>
      </c>
      <c r="C489" t="s">
        <v>37</v>
      </c>
      <c r="D489">
        <v>4.6721050000000002</v>
      </c>
      <c r="E489">
        <v>0.52610699999999999</v>
      </c>
      <c r="F489" t="s">
        <v>38</v>
      </c>
      <c r="G489">
        <v>-191.9734</v>
      </c>
      <c r="H489">
        <v>1.039515</v>
      </c>
      <c r="I489">
        <v>317.77789999999999</v>
      </c>
      <c r="J489">
        <v>-191.92609999999999</v>
      </c>
      <c r="K489">
        <v>1.103939</v>
      </c>
      <c r="L489">
        <v>318.39260000000002</v>
      </c>
      <c r="M489">
        <v>-1.139778E-2</v>
      </c>
      <c r="N489">
        <v>0</v>
      </c>
      <c r="O489">
        <v>-0.99984629999999997</v>
      </c>
      <c r="P489">
        <v>1.8579740000000001E-2</v>
      </c>
      <c r="Q489">
        <v>9.4367320000000005E-2</v>
      </c>
      <c r="R489">
        <v>-0.99536429999999998</v>
      </c>
      <c r="S489">
        <v>-0.17573549999999999</v>
      </c>
      <c r="T489">
        <v>-0.22992119999999999</v>
      </c>
      <c r="U489">
        <v>-3.03933699999999</v>
      </c>
      <c r="V489">
        <v>-3.0050759999999999E-2</v>
      </c>
      <c r="W489">
        <v>0.107594</v>
      </c>
      <c r="X489">
        <v>0.99374069999999903</v>
      </c>
      <c r="Y489">
        <v>4.6176410000000001E-2</v>
      </c>
      <c r="Z489">
        <v>7.532287E-2</v>
      </c>
      <c r="AA489">
        <v>0.99608949999999996</v>
      </c>
      <c r="AB489">
        <v>24</v>
      </c>
      <c r="AC489">
        <v>-4.7300000000007003E-2</v>
      </c>
      <c r="AD489">
        <v>-6.4423999999999995E-2</v>
      </c>
      <c r="AE489">
        <v>-0.614700000000027</v>
      </c>
      <c r="AF489">
        <v>3.9854892050643402E-2</v>
      </c>
      <c r="AG489">
        <v>-6.4423999999999995E-2</v>
      </c>
      <c r="AH489">
        <v>0.60855408506650799</v>
      </c>
      <c r="AI489">
        <v>96.030232326509903</v>
      </c>
      <c r="AJ489">
        <v>86.252985881665793</v>
      </c>
      <c r="AK489">
        <v>0.61325112201079901</v>
      </c>
    </row>
    <row r="490" spans="1:37" x14ac:dyDescent="0.2">
      <c r="A490" t="str">
        <f>"20200111150515905"</f>
        <v>20200111150515905</v>
      </c>
      <c r="B490" t="str">
        <f>"1578726315895280"</f>
        <v>1578726315895280</v>
      </c>
      <c r="C490" t="s">
        <v>37</v>
      </c>
      <c r="D490">
        <v>4.8138030000000001</v>
      </c>
      <c r="E490">
        <v>0.52528350000000001</v>
      </c>
      <c r="F490" t="s">
        <v>38</v>
      </c>
      <c r="G490">
        <v>-191.96940000000001</v>
      </c>
      <c r="H490">
        <v>1.039911</v>
      </c>
      <c r="I490">
        <v>317.56479999999999</v>
      </c>
      <c r="J490">
        <v>-191.92779999999999</v>
      </c>
      <c r="K490">
        <v>1.1039399999999999</v>
      </c>
      <c r="L490">
        <v>318.1576</v>
      </c>
      <c r="M490">
        <v>-1.0623799999999999E-2</v>
      </c>
      <c r="N490">
        <v>0</v>
      </c>
      <c r="O490">
        <v>-0.99985489999999999</v>
      </c>
      <c r="P490">
        <v>1.9492969999999998E-2</v>
      </c>
      <c r="Q490">
        <v>9.3459979999999998E-2</v>
      </c>
      <c r="R490">
        <v>-0.9954324</v>
      </c>
      <c r="S490">
        <v>-0.1588135</v>
      </c>
      <c r="T490">
        <v>-0.23518919999999999</v>
      </c>
      <c r="U490">
        <v>-3.0392459999999999</v>
      </c>
      <c r="V490">
        <v>-3.019401E-2</v>
      </c>
      <c r="W490">
        <v>0.1066795</v>
      </c>
      <c r="X490">
        <v>0.99383489999999997</v>
      </c>
      <c r="Y490">
        <v>4.1414670000000001E-2</v>
      </c>
      <c r="Z490">
        <v>7.7061560000000001E-2</v>
      </c>
      <c r="AA490">
        <v>0.99616579999999999</v>
      </c>
      <c r="AB490">
        <v>24</v>
      </c>
      <c r="AC490">
        <v>-4.16000000000167E-2</v>
      </c>
      <c r="AD490">
        <v>-6.4028999999999794E-2</v>
      </c>
      <c r="AE490">
        <v>-0.59280000000001098</v>
      </c>
      <c r="AF490">
        <v>3.4894209810796203E-2</v>
      </c>
      <c r="AG490">
        <v>-6.4028999999999794E-2</v>
      </c>
      <c r="AH490">
        <v>0.58640086417694304</v>
      </c>
      <c r="AI490">
        <v>96.220512084772594</v>
      </c>
      <c r="AJ490">
        <v>86.594588633294194</v>
      </c>
      <c r="AK490">
        <v>0.59091733112744704</v>
      </c>
    </row>
    <row r="491" spans="1:37" x14ac:dyDescent="0.2">
      <c r="A491" t="str">
        <f>"20200111150515927"</f>
        <v>20200111150515927</v>
      </c>
      <c r="B491" t="str">
        <f>"1578726315925067"</f>
        <v>1578726315925067</v>
      </c>
      <c r="C491" t="s">
        <v>37</v>
      </c>
      <c r="D491">
        <v>4.7822009999999997</v>
      </c>
      <c r="E491">
        <v>0.52595630000000004</v>
      </c>
      <c r="F491" t="s">
        <v>38</v>
      </c>
      <c r="G491">
        <v>-191.96780000000001</v>
      </c>
      <c r="H491">
        <v>1.0425530000000001</v>
      </c>
      <c r="I491">
        <v>317.3501</v>
      </c>
      <c r="J491">
        <v>-191.92949999999999</v>
      </c>
      <c r="K491">
        <v>1.10395</v>
      </c>
      <c r="L491">
        <v>317.9135</v>
      </c>
      <c r="M491">
        <v>-9.8191000000000007E-3</v>
      </c>
      <c r="N491">
        <v>0</v>
      </c>
      <c r="O491">
        <v>-0.99986299999999995</v>
      </c>
      <c r="P491">
        <v>1.9210459999999999E-2</v>
      </c>
      <c r="Q491">
        <v>9.2788090000000004E-2</v>
      </c>
      <c r="R491">
        <v>-0.99550039999999995</v>
      </c>
      <c r="S491">
        <v>-0.14984129999999901</v>
      </c>
      <c r="T491">
        <v>-0.23114099999999899</v>
      </c>
      <c r="U491">
        <v>-3.0383909999999998</v>
      </c>
      <c r="V491">
        <v>-2.911041E-2</v>
      </c>
      <c r="W491">
        <v>0.106002</v>
      </c>
      <c r="X491">
        <v>0.99393969999999898</v>
      </c>
      <c r="Y491">
        <v>3.9304110000000003E-2</v>
      </c>
      <c r="Z491">
        <v>7.5773750000000001E-2</v>
      </c>
      <c r="AA491">
        <v>0.99635010000000002</v>
      </c>
      <c r="AB491">
        <v>24</v>
      </c>
      <c r="AC491">
        <v>-3.8300000000020797E-2</v>
      </c>
      <c r="AD491">
        <v>-6.1396999999999903E-2</v>
      </c>
      <c r="AE491">
        <v>-0.56340000000000101</v>
      </c>
      <c r="AF491">
        <v>3.23827807306247E-2</v>
      </c>
      <c r="AG491">
        <v>-6.1396999999999903E-2</v>
      </c>
      <c r="AH491">
        <v>0.55716265867957904</v>
      </c>
      <c r="AI491">
        <v>96.277874480152306</v>
      </c>
      <c r="AJ491">
        <v>86.673661342478496</v>
      </c>
      <c r="AK491">
        <v>0.56146991399695201</v>
      </c>
    </row>
    <row r="492" spans="1:37" x14ac:dyDescent="0.2">
      <c r="A492" t="str">
        <f>"20200111150515950"</f>
        <v>20200111150515950</v>
      </c>
      <c r="B492" t="str">
        <f>"1578726315944587"</f>
        <v>1578726315944587</v>
      </c>
      <c r="C492" t="s">
        <v>37</v>
      </c>
      <c r="D492">
        <v>4.8144</v>
      </c>
      <c r="E492">
        <v>0.52639999999999998</v>
      </c>
      <c r="F492" t="s">
        <v>38</v>
      </c>
      <c r="G492">
        <v>-191.9693</v>
      </c>
      <c r="H492">
        <v>1.044999</v>
      </c>
      <c r="I492">
        <v>317.13549999999998</v>
      </c>
      <c r="J492">
        <v>-191.93090000000001</v>
      </c>
      <c r="K492">
        <v>1.103952</v>
      </c>
      <c r="L492">
        <v>317.67680000000001</v>
      </c>
      <c r="M492">
        <v>-9.0389819999999992E-3</v>
      </c>
      <c r="N492">
        <v>0</v>
      </c>
      <c r="O492">
        <v>-0.99987079999999995</v>
      </c>
      <c r="P492">
        <v>1.8980810000000001E-2</v>
      </c>
      <c r="Q492">
        <v>9.2096529999999996E-2</v>
      </c>
      <c r="R492">
        <v>-0.99556959999999906</v>
      </c>
      <c r="S492">
        <v>-0.15492249999999999</v>
      </c>
      <c r="T492">
        <v>-0.23035829999999999</v>
      </c>
      <c r="U492">
        <v>-3.0380859999999998</v>
      </c>
      <c r="V492">
        <v>-2.8104400000000002E-2</v>
      </c>
      <c r="W492">
        <v>0.10530589999999999</v>
      </c>
      <c r="X492">
        <v>0.9940426</v>
      </c>
      <c r="Y492">
        <v>4.1751719999999999E-2</v>
      </c>
      <c r="Z492">
        <v>7.5520119999999996E-2</v>
      </c>
      <c r="AA492">
        <v>0.99626979999999998</v>
      </c>
      <c r="AB492">
        <v>24</v>
      </c>
      <c r="AC492">
        <v>-3.8399999999995701E-2</v>
      </c>
      <c r="AD492">
        <v>-5.8952999999999998E-2</v>
      </c>
      <c r="AE492">
        <v>-0.54130000000003498</v>
      </c>
      <c r="AF492">
        <v>3.3114381777875998E-2</v>
      </c>
      <c r="AG492">
        <v>-5.8952999999999998E-2</v>
      </c>
      <c r="AH492">
        <v>0.53530731279785104</v>
      </c>
      <c r="AI492">
        <v>96.272721415798898</v>
      </c>
      <c r="AJ492">
        <v>86.460164753271897</v>
      </c>
      <c r="AK492">
        <v>0.53956087480875403</v>
      </c>
    </row>
    <row r="493" spans="1:37" x14ac:dyDescent="0.2">
      <c r="A493" t="str">
        <f>"20200111150515970"</f>
        <v>20200111150515970</v>
      </c>
      <c r="B493" t="str">
        <f>"1578726315965083"</f>
        <v>1578726315965083</v>
      </c>
      <c r="C493" t="s">
        <v>37</v>
      </c>
      <c r="D493">
        <v>4.6367719999999997</v>
      </c>
      <c r="E493">
        <v>0.52587629999999996</v>
      </c>
      <c r="F493" t="s">
        <v>38</v>
      </c>
      <c r="G493">
        <v>-191.97040000000001</v>
      </c>
      <c r="H493">
        <v>1.0455620000000001</v>
      </c>
      <c r="I493">
        <v>316.92290000000003</v>
      </c>
      <c r="J493">
        <v>-191.93209999999999</v>
      </c>
      <c r="K493">
        <v>1.1039540000000001</v>
      </c>
      <c r="L493">
        <v>317.44889999999998</v>
      </c>
      <c r="M493">
        <v>-8.2882169999999901E-3</v>
      </c>
      <c r="N493">
        <v>0</v>
      </c>
      <c r="O493">
        <v>-0.99987729999999997</v>
      </c>
      <c r="P493">
        <v>1.9418000000000001E-2</v>
      </c>
      <c r="Q493">
        <v>9.2035850000000002E-2</v>
      </c>
      <c r="R493">
        <v>-0.99556669999999903</v>
      </c>
      <c r="S493">
        <v>-0.15846250000000001</v>
      </c>
      <c r="T493">
        <v>-0.23563200000000001</v>
      </c>
      <c r="U493">
        <v>-3.0382389999999999</v>
      </c>
      <c r="V493">
        <v>-2.7793660000000001E-2</v>
      </c>
      <c r="W493">
        <v>0.10524</v>
      </c>
      <c r="X493">
        <v>0.99405840000000001</v>
      </c>
      <c r="Y493">
        <v>4.3650220000000003E-2</v>
      </c>
      <c r="Z493">
        <v>7.7230300000000002E-2</v>
      </c>
      <c r="AA493">
        <v>0.99605730000000003</v>
      </c>
      <c r="AB493">
        <v>24</v>
      </c>
      <c r="AC493">
        <v>-3.8300000000020797E-2</v>
      </c>
      <c r="AD493">
        <v>-5.8391999999999902E-2</v>
      </c>
      <c r="AE493">
        <v>-0.52599999999995295</v>
      </c>
      <c r="AF493">
        <v>3.3527696304741103E-2</v>
      </c>
      <c r="AG493">
        <v>-5.8391999999999902E-2</v>
      </c>
      <c r="AH493">
        <v>0.51992586472894997</v>
      </c>
      <c r="AI493">
        <v>96.394769468499305</v>
      </c>
      <c r="AJ493">
        <v>86.310359796334396</v>
      </c>
      <c r="AK493">
        <v>0.52426771491066404</v>
      </c>
    </row>
    <row r="494" spans="1:37" x14ac:dyDescent="0.2">
      <c r="A494" t="str">
        <f>"20200111150515994"</f>
        <v>20200111150515994</v>
      </c>
      <c r="B494" t="str">
        <f>"1578726315984603"</f>
        <v>1578726315984603</v>
      </c>
      <c r="C494" t="s">
        <v>37</v>
      </c>
      <c r="D494">
        <v>4.576918</v>
      </c>
      <c r="E494">
        <v>0.52539250000000004</v>
      </c>
      <c r="F494" t="s">
        <v>38</v>
      </c>
      <c r="G494">
        <v>-191.96950000000001</v>
      </c>
      <c r="H494">
        <v>1.0452870000000001</v>
      </c>
      <c r="I494">
        <v>316.71089999999998</v>
      </c>
      <c r="J494">
        <v>-191.9332</v>
      </c>
      <c r="K494">
        <v>1.103947</v>
      </c>
      <c r="L494">
        <v>317.20609999999999</v>
      </c>
      <c r="M494">
        <v>-7.4887019999999999E-3</v>
      </c>
      <c r="N494">
        <v>0</v>
      </c>
      <c r="O494">
        <v>-0.99988369999999904</v>
      </c>
      <c r="P494">
        <v>1.93514999999999E-2</v>
      </c>
      <c r="Q494">
        <v>9.1206510000000005E-2</v>
      </c>
      <c r="R494">
        <v>-0.99564419999999898</v>
      </c>
      <c r="S494">
        <v>-0.15399170000000001</v>
      </c>
      <c r="T494">
        <v>-0.24150669999999999</v>
      </c>
      <c r="U494">
        <v>-3.0386959999999998</v>
      </c>
      <c r="V494">
        <v>-2.693096E-2</v>
      </c>
      <c r="W494">
        <v>0.10440729999999999</v>
      </c>
      <c r="X494">
        <v>0.99417</v>
      </c>
      <c r="Y494">
        <v>4.2972049999999998E-2</v>
      </c>
      <c r="Z494">
        <v>7.9136890000000001E-2</v>
      </c>
      <c r="AA494">
        <v>0.99593709999999902</v>
      </c>
      <c r="AB494">
        <v>24</v>
      </c>
      <c r="AC494">
        <v>-3.6300000000011302E-2</v>
      </c>
      <c r="AD494">
        <v>-5.86599999999999E-2</v>
      </c>
      <c r="AE494">
        <v>-0.49520000000001102</v>
      </c>
      <c r="AF494">
        <v>3.21416449798975E-2</v>
      </c>
      <c r="AG494">
        <v>-5.86599999999999E-2</v>
      </c>
      <c r="AH494">
        <v>0.488638002278942</v>
      </c>
      <c r="AI494">
        <v>96.830861000466996</v>
      </c>
      <c r="AJ494">
        <v>86.236618007243706</v>
      </c>
      <c r="AK494">
        <v>0.49319486839703502</v>
      </c>
    </row>
    <row r="495" spans="1:37" x14ac:dyDescent="0.2">
      <c r="A495" t="str">
        <f>"20200111150516016"</f>
        <v>20200111150516016</v>
      </c>
      <c r="B495" t="str">
        <f>"1578726316005099"</f>
        <v>1578726316005099</v>
      </c>
      <c r="C495" t="s">
        <v>37</v>
      </c>
      <c r="D495">
        <v>4.6443979999999998</v>
      </c>
      <c r="E495">
        <v>0.52523609999999998</v>
      </c>
      <c r="F495" t="s">
        <v>38</v>
      </c>
      <c r="G495">
        <v>-191.97810000000001</v>
      </c>
      <c r="H495">
        <v>1.028867</v>
      </c>
      <c r="I495">
        <v>316.29750000000001</v>
      </c>
      <c r="J495">
        <v>-191.934</v>
      </c>
      <c r="K495">
        <v>1.103944</v>
      </c>
      <c r="L495">
        <v>316.97070000000002</v>
      </c>
      <c r="M495">
        <v>-6.7145989999999999E-3</v>
      </c>
      <c r="N495">
        <v>0</v>
      </c>
      <c r="O495">
        <v>-0.99988940000000004</v>
      </c>
      <c r="P495">
        <v>1.8426789999999998E-2</v>
      </c>
      <c r="Q495">
        <v>9.0804350000000006E-2</v>
      </c>
      <c r="R495">
        <v>-0.99569869999999905</v>
      </c>
      <c r="S495">
        <v>-0.15025329999999901</v>
      </c>
      <c r="T495">
        <v>-0.25122489999999997</v>
      </c>
      <c r="U495">
        <v>-3.0390320000000002</v>
      </c>
      <c r="V495">
        <v>-2.5235339999999998E-2</v>
      </c>
      <c r="W495">
        <v>0.104003199999999</v>
      </c>
      <c r="X495">
        <v>0.99425680000000005</v>
      </c>
      <c r="Y495">
        <v>4.250524E-2</v>
      </c>
      <c r="Z495">
        <v>8.2295160000000006E-2</v>
      </c>
      <c r="AA495">
        <v>0.99570119999999895</v>
      </c>
      <c r="AB495">
        <v>24</v>
      </c>
      <c r="AC495">
        <v>-4.4099999999985998E-2</v>
      </c>
      <c r="AD495">
        <v>-7.5077000000000005E-2</v>
      </c>
      <c r="AE495">
        <v>-0.67320000000000801</v>
      </c>
      <c r="AF495">
        <v>3.9094191557917199E-2</v>
      </c>
      <c r="AG495">
        <v>-7.5077000000000005E-2</v>
      </c>
      <c r="AH495">
        <v>0.66524250386229</v>
      </c>
      <c r="AI495">
        <v>96.427964649526004</v>
      </c>
      <c r="AJ495">
        <v>86.636776917338395</v>
      </c>
      <c r="AK495">
        <v>0.67060606967692704</v>
      </c>
    </row>
    <row r="496" spans="1:37" x14ac:dyDescent="0.2">
      <c r="A496" t="str">
        <f>"20200111150516038"</f>
        <v>20200111150516038</v>
      </c>
      <c r="B496" t="str">
        <f>"1578726316034888"</f>
        <v>1578726316034888</v>
      </c>
      <c r="C496" t="s">
        <v>37</v>
      </c>
      <c r="D496">
        <v>5.0955719999999998</v>
      </c>
      <c r="E496">
        <v>0.52542869999999997</v>
      </c>
      <c r="F496" t="s">
        <v>38</v>
      </c>
      <c r="G496">
        <v>-191.97819999999999</v>
      </c>
      <c r="H496">
        <v>1.0289600000000001</v>
      </c>
      <c r="I496">
        <v>316.08600000000001</v>
      </c>
      <c r="J496">
        <v>-191.93469999999999</v>
      </c>
      <c r="K496">
        <v>1.1039410000000001</v>
      </c>
      <c r="L496">
        <v>316.73270000000002</v>
      </c>
      <c r="M496">
        <v>-5.932283E-3</v>
      </c>
      <c r="N496">
        <v>0</v>
      </c>
      <c r="O496">
        <v>-0.99989409999999901</v>
      </c>
      <c r="P496">
        <v>1.799692E-2</v>
      </c>
      <c r="Q496">
        <v>9.1678179999999998E-2</v>
      </c>
      <c r="R496">
        <v>-0.99562629999999996</v>
      </c>
      <c r="S496">
        <v>-0.151382399999999</v>
      </c>
      <c r="T496">
        <v>-0.25782939999999999</v>
      </c>
      <c r="U496">
        <v>-3.0392759999999899</v>
      </c>
      <c r="V496">
        <v>-2.4027010000000001E-2</v>
      </c>
      <c r="W496">
        <v>0.10487290000000001</v>
      </c>
      <c r="X496">
        <v>0.9941953</v>
      </c>
      <c r="Y496">
        <v>4.3643080000000001E-2</v>
      </c>
      <c r="Z496">
        <v>8.4434439999999999E-2</v>
      </c>
      <c r="AA496">
        <v>0.99547280000000005</v>
      </c>
      <c r="AB496">
        <v>24</v>
      </c>
      <c r="AC496">
        <v>-4.3499999999994501E-2</v>
      </c>
      <c r="AD496">
        <v>-7.4980999999999895E-2</v>
      </c>
      <c r="AE496">
        <v>-0.64670000000000905</v>
      </c>
      <c r="AF496">
        <v>3.9138715640377797E-2</v>
      </c>
      <c r="AG496">
        <v>-7.4980999999999895E-2</v>
      </c>
      <c r="AH496">
        <v>0.63840328457789997</v>
      </c>
      <c r="AI496">
        <v>96.686307627213694</v>
      </c>
      <c r="AJ496">
        <v>86.491747328149003</v>
      </c>
      <c r="AK496">
        <v>0.64398194321178703</v>
      </c>
    </row>
    <row r="497" spans="1:37" x14ac:dyDescent="0.2">
      <c r="A497" t="str">
        <f>"20200111150516060"</f>
        <v>20200111150516060</v>
      </c>
      <c r="B497" t="str">
        <f>"1578726316055383"</f>
        <v>1578726316055383</v>
      </c>
      <c r="C497" t="s">
        <v>37</v>
      </c>
      <c r="D497">
        <v>4.9262329999999999</v>
      </c>
      <c r="E497">
        <v>0.52558760000000004</v>
      </c>
      <c r="F497" t="s">
        <v>38</v>
      </c>
      <c r="G497">
        <v>-191.97839999999999</v>
      </c>
      <c r="H497">
        <v>1.032546</v>
      </c>
      <c r="I497">
        <v>315.87299999999999</v>
      </c>
      <c r="J497">
        <v>-191.93510000000001</v>
      </c>
      <c r="K497">
        <v>1.1039459999999901</v>
      </c>
      <c r="L497">
        <v>316.5102</v>
      </c>
      <c r="M497">
        <v>-5.20124299999999E-3</v>
      </c>
      <c r="N497">
        <v>0</v>
      </c>
      <c r="O497">
        <v>-0.99989819999999996</v>
      </c>
      <c r="P497">
        <v>1.7955059999999998E-2</v>
      </c>
      <c r="Q497">
        <v>9.1955880000000004E-2</v>
      </c>
      <c r="R497">
        <v>-0.99560149999999903</v>
      </c>
      <c r="S497">
        <v>-0.15414430000000001</v>
      </c>
      <c r="T497">
        <v>-0.25255139999999998</v>
      </c>
      <c r="U497">
        <v>-3.0392459999999999</v>
      </c>
      <c r="V497">
        <v>-2.3257389999999999E-2</v>
      </c>
      <c r="W497">
        <v>0.105147</v>
      </c>
      <c r="X497">
        <v>0.99418469999999903</v>
      </c>
      <c r="Y497">
        <v>4.5283570000000002E-2</v>
      </c>
      <c r="Z497">
        <v>8.2714410000000002E-2</v>
      </c>
      <c r="AA497">
        <v>0.99554399999999998</v>
      </c>
      <c r="AB497">
        <v>24</v>
      </c>
      <c r="AC497">
        <v>-4.3299999999987897E-2</v>
      </c>
      <c r="AD497">
        <v>-7.1399999999999894E-2</v>
      </c>
      <c r="AE497">
        <v>-0.63720000000000698</v>
      </c>
      <c r="AF497">
        <v>3.94913229872806E-2</v>
      </c>
      <c r="AG497">
        <v>-7.1399999999999894E-2</v>
      </c>
      <c r="AH497">
        <v>0.62954845218805899</v>
      </c>
      <c r="AI497">
        <v>96.4579445210708</v>
      </c>
      <c r="AJ497">
        <v>86.4105618524204</v>
      </c>
      <c r="AK497">
        <v>0.63481397136772799</v>
      </c>
    </row>
    <row r="498" spans="1:37" x14ac:dyDescent="0.2">
      <c r="A498" t="str">
        <f>"20200111150516082"</f>
        <v>20200111150516082</v>
      </c>
      <c r="B498" t="str">
        <f>"1578726316074903"</f>
        <v>1578726316074903</v>
      </c>
      <c r="C498" t="s">
        <v>37</v>
      </c>
      <c r="D498">
        <v>4.9523519999999897</v>
      </c>
      <c r="E498">
        <v>0.52543930000000005</v>
      </c>
      <c r="F498" t="s">
        <v>38</v>
      </c>
      <c r="G498">
        <v>-191.9786</v>
      </c>
      <c r="H498">
        <v>1.0325029999999999</v>
      </c>
      <c r="I498">
        <v>315.6619</v>
      </c>
      <c r="J498">
        <v>-191.93549999999999</v>
      </c>
      <c r="K498">
        <v>1.103945</v>
      </c>
      <c r="L498">
        <v>316.2679</v>
      </c>
      <c r="M498">
        <v>-4.4049129999999999E-3</v>
      </c>
      <c r="N498">
        <v>0</v>
      </c>
      <c r="O498">
        <v>-0.99990219999999896</v>
      </c>
      <c r="P498">
        <v>1.7167760000000001E-2</v>
      </c>
      <c r="Q498">
        <v>9.1711860000000006E-2</v>
      </c>
      <c r="R498">
        <v>-0.99563780000000002</v>
      </c>
      <c r="S498">
        <v>-0.15550229999999901</v>
      </c>
      <c r="T498">
        <v>-0.25613200000000003</v>
      </c>
      <c r="U498">
        <v>-3.0397029999999998</v>
      </c>
      <c r="V498">
        <v>-2.167645E-2</v>
      </c>
      <c r="W498">
        <v>0.10490139999999901</v>
      </c>
      <c r="X498">
        <v>0.99424639999999997</v>
      </c>
      <c r="Y498">
        <v>4.6510250000000003E-2</v>
      </c>
      <c r="Z498">
        <v>8.386354E-2</v>
      </c>
      <c r="AA498">
        <v>0.99539120000000003</v>
      </c>
      <c r="AB498">
        <v>24</v>
      </c>
      <c r="AC498">
        <v>-4.3100000000009603E-2</v>
      </c>
      <c r="AD498">
        <v>-7.1441999999999894E-2</v>
      </c>
      <c r="AE498">
        <v>-0.60599999999999399</v>
      </c>
      <c r="AF498">
        <v>3.9878514854763097E-2</v>
      </c>
      <c r="AG498">
        <v>-7.1441999999999894E-2</v>
      </c>
      <c r="AH498">
        <v>0.59791579330288702</v>
      </c>
      <c r="AI498">
        <v>96.798723278315194</v>
      </c>
      <c r="AJ498">
        <v>86.184259265318801</v>
      </c>
      <c r="AK498">
        <v>0.60348782190864703</v>
      </c>
    </row>
    <row r="499" spans="1:37" x14ac:dyDescent="0.2">
      <c r="A499" t="str">
        <f>"20200111150516106"</f>
        <v>20200111150516106</v>
      </c>
      <c r="B499" t="str">
        <f>"1578726316095400"</f>
        <v>1578726316095400</v>
      </c>
      <c r="C499" t="s">
        <v>37</v>
      </c>
      <c r="D499">
        <v>4.9955949999999998</v>
      </c>
      <c r="E499">
        <v>0.52538790000000002</v>
      </c>
      <c r="F499" t="s">
        <v>38</v>
      </c>
      <c r="G499">
        <v>-191.9776</v>
      </c>
      <c r="H499">
        <v>1.03403</v>
      </c>
      <c r="I499">
        <v>315.45030000000003</v>
      </c>
      <c r="J499">
        <v>-191.93559999999999</v>
      </c>
      <c r="K499">
        <v>1.1039429999999999</v>
      </c>
      <c r="L499">
        <v>316.02620000000002</v>
      </c>
      <c r="M499">
        <v>-3.6104539999999999E-3</v>
      </c>
      <c r="N499">
        <v>0</v>
      </c>
      <c r="O499">
        <v>-0.99990559999999995</v>
      </c>
      <c r="P499">
        <v>1.6073819999999999E-2</v>
      </c>
      <c r="Q499">
        <v>9.1429899999999995E-2</v>
      </c>
      <c r="R499">
        <v>-0.99568210000000001</v>
      </c>
      <c r="S499">
        <v>-0.15637210000000001</v>
      </c>
      <c r="T499">
        <v>-0.25998130000000003</v>
      </c>
      <c r="U499">
        <v>-3.039825</v>
      </c>
      <c r="V499">
        <v>-1.979154E-2</v>
      </c>
      <c r="W499">
        <v>0.1046188</v>
      </c>
      <c r="X499">
        <v>0.99431539999999996</v>
      </c>
      <c r="Y499">
        <v>4.7580480000000001E-2</v>
      </c>
      <c r="Z499">
        <v>8.5109080000000004E-2</v>
      </c>
      <c r="AA499">
        <v>0.99523490000000003</v>
      </c>
      <c r="AB499">
        <v>24</v>
      </c>
      <c r="AC499">
        <v>-4.2000000000001501E-2</v>
      </c>
      <c r="AD499">
        <v>-6.99130000000001E-2</v>
      </c>
      <c r="AE499">
        <v>-0.57589999999998998</v>
      </c>
      <c r="AF499">
        <v>3.9343528138752901E-2</v>
      </c>
      <c r="AG499">
        <v>-6.99130000000001E-2</v>
      </c>
      <c r="AH499">
        <v>0.56772535127212898</v>
      </c>
      <c r="AI499">
        <v>97.003759609877307</v>
      </c>
      <c r="AJ499">
        <v>86.035724278050594</v>
      </c>
      <c r="AK499">
        <v>0.57336534186543497</v>
      </c>
    </row>
    <row r="500" spans="1:37" x14ac:dyDescent="0.2">
      <c r="A500" t="str">
        <f>"20200111150516131"</f>
        <v>20200111150516131</v>
      </c>
      <c r="B500" t="str">
        <f>"1578726316125187"</f>
        <v>1578726316125187</v>
      </c>
      <c r="C500" t="s">
        <v>37</v>
      </c>
      <c r="D500">
        <v>5.099405</v>
      </c>
      <c r="E500">
        <v>0.52546029999999999</v>
      </c>
      <c r="F500" t="s">
        <v>38</v>
      </c>
      <c r="G500">
        <v>-191.977</v>
      </c>
      <c r="H500">
        <v>1.0347569999999999</v>
      </c>
      <c r="I500">
        <v>315.23930000000001</v>
      </c>
      <c r="J500">
        <v>-191.93549999999999</v>
      </c>
      <c r="K500">
        <v>1.103936</v>
      </c>
      <c r="L500">
        <v>315.76620000000003</v>
      </c>
      <c r="M500">
        <v>-2.7555739999999998E-3</v>
      </c>
      <c r="N500">
        <v>0</v>
      </c>
      <c r="O500">
        <v>-0.99990820000000002</v>
      </c>
      <c r="P500">
        <v>1.497942E-2</v>
      </c>
      <c r="Q500">
        <v>9.1806159999999998E-2</v>
      </c>
      <c r="R500">
        <v>-0.99566449999999995</v>
      </c>
      <c r="S500">
        <v>-0.15931699999999999</v>
      </c>
      <c r="T500">
        <v>-0.26751069999999999</v>
      </c>
      <c r="U500">
        <v>-3.0401609999999999</v>
      </c>
      <c r="V500">
        <v>-1.7845920000000001E-2</v>
      </c>
      <c r="W500">
        <v>0.1049934</v>
      </c>
      <c r="X500">
        <v>0.9943128</v>
      </c>
      <c r="Y500">
        <v>4.9379190000000003E-2</v>
      </c>
      <c r="Z500">
        <v>8.7540030000000005E-2</v>
      </c>
      <c r="AA500">
        <v>0.99493639999999905</v>
      </c>
      <c r="AB500">
        <v>24</v>
      </c>
      <c r="AC500">
        <v>-4.1500000000013401E-2</v>
      </c>
      <c r="AD500">
        <v>-6.9179000000000102E-2</v>
      </c>
      <c r="AE500">
        <v>-0.52690000000001103</v>
      </c>
      <c r="AF500">
        <v>3.9373262663614801E-2</v>
      </c>
      <c r="AG500">
        <v>-6.9179000000000102E-2</v>
      </c>
      <c r="AH500">
        <v>0.51813570045686996</v>
      </c>
      <c r="AI500">
        <v>97.583274366039404</v>
      </c>
      <c r="AJ500">
        <v>85.654430933869094</v>
      </c>
      <c r="AK500">
        <v>0.524214261482564</v>
      </c>
    </row>
    <row r="501" spans="1:37" x14ac:dyDescent="0.2">
      <c r="A501" t="str">
        <f>"20200111150516154"</f>
        <v>20200111150516154</v>
      </c>
      <c r="B501" t="str">
        <f>"1578726316144707"</f>
        <v>1578726316144707</v>
      </c>
      <c r="C501" t="s">
        <v>37</v>
      </c>
      <c r="D501">
        <v>5.0770850000000003</v>
      </c>
      <c r="E501">
        <v>0.52599910000000005</v>
      </c>
      <c r="F501" t="s">
        <v>38</v>
      </c>
      <c r="G501">
        <v>-191.9753</v>
      </c>
      <c r="H501">
        <v>1.037944</v>
      </c>
      <c r="I501">
        <v>315.02719999999999</v>
      </c>
      <c r="J501">
        <v>-191.93520000000001</v>
      </c>
      <c r="K501">
        <v>1.1039399999999999</v>
      </c>
      <c r="L501">
        <v>315.52319999999997</v>
      </c>
      <c r="M501">
        <v>-1.9565939999999999E-3</v>
      </c>
      <c r="N501">
        <v>0</v>
      </c>
      <c r="O501">
        <v>-0.99991010000000002</v>
      </c>
      <c r="P501">
        <v>1.341993E-2</v>
      </c>
      <c r="Q501">
        <v>9.1715679999999994E-2</v>
      </c>
      <c r="R501">
        <v>-0.99569490000000005</v>
      </c>
      <c r="S501">
        <v>-0.1630402</v>
      </c>
      <c r="T501">
        <v>-0.2717234</v>
      </c>
      <c r="U501">
        <v>-3.0405880000000001</v>
      </c>
      <c r="V501">
        <v>-1.549009E-2</v>
      </c>
      <c r="W501">
        <v>0.1049028</v>
      </c>
      <c r="X501">
        <v>0.99436179999999996</v>
      </c>
      <c r="Y501">
        <v>5.137833E-2</v>
      </c>
      <c r="Z501">
        <v>8.8888300000000003E-2</v>
      </c>
      <c r="AA501">
        <v>0.99471559999999903</v>
      </c>
      <c r="AB501">
        <v>24</v>
      </c>
      <c r="AC501">
        <v>-4.0099999999995299E-2</v>
      </c>
      <c r="AD501">
        <v>-6.5995999999999902E-2</v>
      </c>
      <c r="AE501">
        <v>-0.49599999999998001</v>
      </c>
      <c r="AF501">
        <v>3.8453015062840303E-2</v>
      </c>
      <c r="AG501">
        <v>-6.5995999999999902E-2</v>
      </c>
      <c r="AH501">
        <v>0.48750280373972399</v>
      </c>
      <c r="AI501">
        <v>97.685997511967102</v>
      </c>
      <c r="AJ501">
        <v>85.489988454696203</v>
      </c>
      <c r="AK501">
        <v>0.49345019002682999</v>
      </c>
    </row>
    <row r="502" spans="1:37" x14ac:dyDescent="0.2">
      <c r="A502" t="str">
        <f>"20200111150516173"</f>
        <v>20200111150516173</v>
      </c>
      <c r="B502" t="str">
        <f>"1578726316165203"</f>
        <v>1578726316165203</v>
      </c>
      <c r="C502" t="s">
        <v>37</v>
      </c>
      <c r="D502">
        <v>5.0415529999999897</v>
      </c>
      <c r="E502">
        <v>0.59170809999999996</v>
      </c>
      <c r="F502" t="s">
        <v>38</v>
      </c>
      <c r="G502">
        <v>-191.98679999999999</v>
      </c>
      <c r="H502">
        <v>1.022662</v>
      </c>
      <c r="I502">
        <v>314.61439999999999</v>
      </c>
      <c r="J502">
        <v>-191.9349</v>
      </c>
      <c r="K502">
        <v>1.103942</v>
      </c>
      <c r="L502">
        <v>315.31400000000002</v>
      </c>
      <c r="M502">
        <v>-1.2698729999999999E-3</v>
      </c>
      <c r="N502">
        <v>0</v>
      </c>
      <c r="O502">
        <v>-0.99991149999999995</v>
      </c>
      <c r="P502">
        <v>1.18122E-2</v>
      </c>
      <c r="Q502">
        <v>9.1787190000000005E-2</v>
      </c>
      <c r="R502">
        <v>-0.99570899999999996</v>
      </c>
      <c r="S502">
        <v>-0.1722717</v>
      </c>
      <c r="T502">
        <v>-0.27204309999999998</v>
      </c>
      <c r="U502">
        <v>-3.040375</v>
      </c>
      <c r="V502">
        <v>-1.3198390000000001E-2</v>
      </c>
      <c r="W502">
        <v>0.1049749</v>
      </c>
      <c r="X502">
        <v>0.99438729999999997</v>
      </c>
      <c r="Y502">
        <v>5.5078219999999997E-2</v>
      </c>
      <c r="Z502">
        <v>8.8982270000000002E-2</v>
      </c>
      <c r="AA502">
        <v>0.99450919999999898</v>
      </c>
      <c r="AB502">
        <v>24</v>
      </c>
      <c r="AC502">
        <v>-5.1899999999989101E-2</v>
      </c>
      <c r="AD502">
        <v>-8.1279999999999797E-2</v>
      </c>
      <c r="AE502">
        <v>-0.69960000000003197</v>
      </c>
      <c r="AF502">
        <v>5.0335766209486599E-2</v>
      </c>
      <c r="AG502">
        <v>-8.1279999999999797E-2</v>
      </c>
      <c r="AH502">
        <v>0.69039740461108001</v>
      </c>
      <c r="AI502">
        <v>96.696870869084705</v>
      </c>
      <c r="AJ502">
        <v>85.830034939574304</v>
      </c>
      <c r="AK502">
        <v>0.69698544034550103</v>
      </c>
    </row>
    <row r="503" spans="1:37" x14ac:dyDescent="0.2">
      <c r="A503" t="str">
        <f>"20200111150516195"</f>
        <v>20200111150516195</v>
      </c>
      <c r="B503" t="str">
        <f>"1578726316184723"</f>
        <v>1578726316184723</v>
      </c>
      <c r="C503" t="s">
        <v>37</v>
      </c>
      <c r="D503">
        <v>5.0449869999999999</v>
      </c>
      <c r="E503">
        <v>0.62988840000000001</v>
      </c>
      <c r="F503" t="s">
        <v>60</v>
      </c>
      <c r="G503">
        <v>-199.5599</v>
      </c>
      <c r="H503" s="1">
        <v>2.4734549999999999E-6</v>
      </c>
      <c r="I503">
        <v>282.27569999999997</v>
      </c>
      <c r="J503">
        <v>-191.93430000000001</v>
      </c>
      <c r="K503">
        <v>1.1039399999999999</v>
      </c>
      <c r="L503">
        <v>315.0883</v>
      </c>
      <c r="M503">
        <v>-5.3007919999999999E-4</v>
      </c>
      <c r="N503">
        <v>0</v>
      </c>
      <c r="O503">
        <v>-0.99991200000000002</v>
      </c>
      <c r="P503">
        <v>1.025736E-2</v>
      </c>
      <c r="Q503">
        <v>9.1324639999999999E-2</v>
      </c>
      <c r="R503">
        <v>-0.9957684</v>
      </c>
      <c r="S503">
        <v>-0.69943239999999995</v>
      </c>
      <c r="T503">
        <v>-0.10126259999999999</v>
      </c>
      <c r="U503">
        <v>-3.030548</v>
      </c>
      <c r="V503">
        <v>-1.0906330000000001E-2</v>
      </c>
      <c r="W503">
        <v>0.1045135</v>
      </c>
      <c r="X503">
        <v>0.99446369999999895</v>
      </c>
      <c r="Y503">
        <v>0.2242468</v>
      </c>
      <c r="Z503">
        <v>3.2542790000000002E-2</v>
      </c>
      <c r="AA503">
        <v>0.97398890000000005</v>
      </c>
      <c r="AB503">
        <v>24</v>
      </c>
      <c r="AC503">
        <v>-7.6255999999999897</v>
      </c>
      <c r="AD503">
        <v>-1.103937526545</v>
      </c>
      <c r="AE503">
        <v>-32.812600000000003</v>
      </c>
      <c r="AF503">
        <v>7.6000424470140198</v>
      </c>
      <c r="AG503">
        <v>-1.103937526545</v>
      </c>
      <c r="AH503">
        <v>32.781433974049797</v>
      </c>
      <c r="AI503">
        <v>91.878947835943293</v>
      </c>
      <c r="AJ503">
        <v>76.9471569613752</v>
      </c>
      <c r="AK503">
        <v>33.669002608540602</v>
      </c>
    </row>
    <row r="504" spans="1:37" x14ac:dyDescent="0.2">
      <c r="A504" t="str">
        <f>"20200111150516217"</f>
        <v>20200111150516217</v>
      </c>
      <c r="B504" t="str">
        <f>"1578726316214979"</f>
        <v>1578726316214979</v>
      </c>
      <c r="C504" t="s">
        <v>37</v>
      </c>
      <c r="D504">
        <v>5.0001449999999998</v>
      </c>
      <c r="E504">
        <v>0.62954270000000001</v>
      </c>
      <c r="F504" t="s">
        <v>39</v>
      </c>
      <c r="G504">
        <v>-195.4502</v>
      </c>
      <c r="H504" s="1">
        <v>-3.511561E-6</v>
      </c>
      <c r="I504">
        <v>304.46480000000003</v>
      </c>
      <c r="J504">
        <v>-191.93350000000001</v>
      </c>
      <c r="K504">
        <v>1.103934</v>
      </c>
      <c r="L504">
        <v>314.85230000000001</v>
      </c>
      <c r="M504">
        <v>2.397082E-4</v>
      </c>
      <c r="N504">
        <v>0</v>
      </c>
      <c r="O504">
        <v>-0.99991219999999903</v>
      </c>
      <c r="P504">
        <v>8.0672369999999997E-3</v>
      </c>
      <c r="Q504">
        <v>9.0835029999999997E-2</v>
      </c>
      <c r="R504">
        <v>-0.99583359999999999</v>
      </c>
      <c r="S504">
        <v>-1.010162</v>
      </c>
      <c r="T504">
        <v>-0.3171715</v>
      </c>
      <c r="U504">
        <v>-3.052216</v>
      </c>
      <c r="V504">
        <v>-7.9476990000000008E-3</v>
      </c>
      <c r="W504">
        <v>0.10402599999999999</v>
      </c>
      <c r="X504">
        <v>0.99454279999999995</v>
      </c>
      <c r="Y504">
        <v>0.3129093</v>
      </c>
      <c r="Z504">
        <v>9.8172209999999996E-2</v>
      </c>
      <c r="AA504">
        <v>0.94469570000000003</v>
      </c>
      <c r="AB504">
        <v>24</v>
      </c>
      <c r="AC504">
        <v>-3.5166999999999802</v>
      </c>
      <c r="AD504">
        <v>-1.103937511561</v>
      </c>
      <c r="AE504">
        <v>-10.3874999999999</v>
      </c>
      <c r="AF504">
        <v>3.4838875892419399</v>
      </c>
      <c r="AG504">
        <v>-1.103937511561</v>
      </c>
      <c r="AH504">
        <v>10.282463661469601</v>
      </c>
      <c r="AI504">
        <v>95.806062986507996</v>
      </c>
      <c r="AJ504">
        <v>71.282675553461701</v>
      </c>
      <c r="AK504">
        <v>10.912616996548</v>
      </c>
    </row>
    <row r="505" spans="1:37" x14ac:dyDescent="0.2">
      <c r="A505" t="str">
        <f>"20200111150516239"</f>
        <v>20200111150516239</v>
      </c>
      <c r="B505" t="str">
        <f>"1578726316235006"</f>
        <v>1578726316235006</v>
      </c>
      <c r="C505" t="s">
        <v>37</v>
      </c>
      <c r="D505">
        <v>5.0555149999999998</v>
      </c>
      <c r="E505">
        <v>0.62986589999999998</v>
      </c>
      <c r="F505" t="s">
        <v>39</v>
      </c>
      <c r="G505">
        <v>-195.81030000000001</v>
      </c>
      <c r="H505" s="1">
        <v>-3.0992950000000002E-6</v>
      </c>
      <c r="I505">
        <v>303.20999999999998</v>
      </c>
      <c r="J505">
        <v>-191.93260000000001</v>
      </c>
      <c r="K505">
        <v>1.1039270000000001</v>
      </c>
      <c r="L505">
        <v>314.62549999999999</v>
      </c>
      <c r="M505">
        <v>9.7457259999999895E-4</v>
      </c>
      <c r="N505">
        <v>0</v>
      </c>
      <c r="O505">
        <v>-0.99991169999999996</v>
      </c>
      <c r="P505">
        <v>6.2378850000000003E-3</v>
      </c>
      <c r="Q505">
        <v>9.0270500000000004E-2</v>
      </c>
      <c r="R505">
        <v>-0.995897899999999</v>
      </c>
      <c r="S505">
        <v>-1.014664</v>
      </c>
      <c r="T505">
        <v>-0.28893150000000001</v>
      </c>
      <c r="U505">
        <v>-3.0471189999999999</v>
      </c>
      <c r="V505">
        <v>-5.3847540000000003E-3</v>
      </c>
      <c r="W505">
        <v>0.1034625</v>
      </c>
      <c r="X505">
        <v>0.99461880000000003</v>
      </c>
      <c r="Y505">
        <v>0.31558959999999903</v>
      </c>
      <c r="Z505">
        <v>8.9588429999999997E-2</v>
      </c>
      <c r="AA505">
        <v>0.94465710000000003</v>
      </c>
      <c r="AB505">
        <v>23</v>
      </c>
      <c r="AC505">
        <v>-3.8776999999999999</v>
      </c>
      <c r="AD505">
        <v>-1.1039300992950001</v>
      </c>
      <c r="AE505">
        <v>-11.4155</v>
      </c>
      <c r="AF505">
        <v>3.8564903437173199</v>
      </c>
      <c r="AG505">
        <v>-1.1039300992950001</v>
      </c>
      <c r="AH505">
        <v>11.3168312813171</v>
      </c>
      <c r="AI505">
        <v>95.275368710980601</v>
      </c>
      <c r="AJ505">
        <v>71.182186046158407</v>
      </c>
      <c r="AK505">
        <v>12.006741843027701</v>
      </c>
    </row>
    <row r="506" spans="1:37" x14ac:dyDescent="0.2">
      <c r="A506" t="str">
        <f>"20200111150516262"</f>
        <v>20200111150516262</v>
      </c>
      <c r="B506" t="str">
        <f>"1578726316254526"</f>
        <v>1578726316254526</v>
      </c>
      <c r="C506" t="s">
        <v>37</v>
      </c>
      <c r="D506">
        <v>5.0189209999999997</v>
      </c>
      <c r="E506">
        <v>0.62989589999999995</v>
      </c>
      <c r="F506" t="s">
        <v>39</v>
      </c>
      <c r="G506">
        <v>-196.06569999999999</v>
      </c>
      <c r="H506" s="1">
        <v>-2.7874970000000001E-6</v>
      </c>
      <c r="I506">
        <v>302.32479999999998</v>
      </c>
      <c r="J506">
        <v>-191.9314</v>
      </c>
      <c r="K506">
        <v>1.103918</v>
      </c>
      <c r="L506">
        <v>314.3877</v>
      </c>
      <c r="M506">
        <v>1.7363529999999999E-3</v>
      </c>
      <c r="N506">
        <v>0</v>
      </c>
      <c r="O506">
        <v>-0.99991099999999999</v>
      </c>
      <c r="P506">
        <v>4.3001580000000001E-3</v>
      </c>
      <c r="Q506">
        <v>8.9657329999999993E-2</v>
      </c>
      <c r="R506">
        <v>-0.99596390000000001</v>
      </c>
      <c r="S506">
        <v>-1.022629</v>
      </c>
      <c r="T506">
        <v>-0.27313880000000001</v>
      </c>
      <c r="U506">
        <v>-3.043488</v>
      </c>
      <c r="V506">
        <v>-2.6858309999999901E-3</v>
      </c>
      <c r="W506">
        <v>0.102851199999999</v>
      </c>
      <c r="X506">
        <v>0.9946931</v>
      </c>
      <c r="Y506">
        <v>0.31900640000000002</v>
      </c>
      <c r="Z506">
        <v>8.4740999999999997E-2</v>
      </c>
      <c r="AA506">
        <v>0.94395649999999998</v>
      </c>
      <c r="AB506">
        <v>23</v>
      </c>
      <c r="AC506">
        <v>-4.1342999999999899</v>
      </c>
      <c r="AD506">
        <v>-1.1039207874969901</v>
      </c>
      <c r="AE506">
        <v>-12.062900000000001</v>
      </c>
      <c r="AF506">
        <v>4.1243314907624899</v>
      </c>
      <c r="AG506">
        <v>-1.1039207874969901</v>
      </c>
      <c r="AH506">
        <v>11.9660239136351</v>
      </c>
      <c r="AI506">
        <v>94.984680052205803</v>
      </c>
      <c r="AJ506">
        <v>70.9824551837754</v>
      </c>
      <c r="AK506">
        <v>12.704899828509101</v>
      </c>
    </row>
    <row r="507" spans="1:37" x14ac:dyDescent="0.2">
      <c r="A507" t="str">
        <f>"20200111150516286"</f>
        <v>20200111150516286</v>
      </c>
      <c r="B507" t="str">
        <f>"1578726316275022"</f>
        <v>1578726316275022</v>
      </c>
      <c r="C507" t="s">
        <v>37</v>
      </c>
      <c r="D507">
        <v>4.9869579999999996</v>
      </c>
      <c r="E507">
        <v>0.63014780000000004</v>
      </c>
      <c r="F507" t="s">
        <v>39</v>
      </c>
      <c r="G507">
        <v>-196.05369999999999</v>
      </c>
      <c r="H507" s="1">
        <v>-2.7304510000000001E-6</v>
      </c>
      <c r="I507">
        <v>302.19920000000002</v>
      </c>
      <c r="J507">
        <v>-191.93</v>
      </c>
      <c r="K507">
        <v>1.1039060000000001</v>
      </c>
      <c r="L507">
        <v>314.13350000000003</v>
      </c>
      <c r="M507">
        <v>2.5372279999999999E-3</v>
      </c>
      <c r="N507">
        <v>0</v>
      </c>
      <c r="O507">
        <v>-0.9999093</v>
      </c>
      <c r="P507">
        <v>2.9396240000000001E-3</v>
      </c>
      <c r="Q507">
        <v>8.9269970000000004E-2</v>
      </c>
      <c r="R507">
        <v>-0.99600349999999904</v>
      </c>
      <c r="S507">
        <v>-1.0286249999999999</v>
      </c>
      <c r="T507">
        <v>-0.27545759999999903</v>
      </c>
      <c r="U507">
        <v>-3.0413509999999899</v>
      </c>
      <c r="V507">
        <v>-5.2443219999999998E-4</v>
      </c>
      <c r="W507">
        <v>0.102464599999999</v>
      </c>
      <c r="X507">
        <v>0.99473650000000002</v>
      </c>
      <c r="Y507">
        <v>0.32161590000000001</v>
      </c>
      <c r="Z507">
        <v>8.5446350000000004E-2</v>
      </c>
      <c r="AA507">
        <v>0.94300689999999998</v>
      </c>
      <c r="AB507">
        <v>23</v>
      </c>
      <c r="AC507">
        <v>-4.1236999999999799</v>
      </c>
      <c r="AD507">
        <v>-1.103908730451</v>
      </c>
      <c r="AE507">
        <v>-11.9343</v>
      </c>
      <c r="AF507">
        <v>4.1224595801746</v>
      </c>
      <c r="AG507">
        <v>-1.103908730451</v>
      </c>
      <c r="AH507">
        <v>11.833350219289301</v>
      </c>
      <c r="AI507">
        <v>95.034480341686304</v>
      </c>
      <c r="AJ507">
        <v>70.792870724595403</v>
      </c>
      <c r="AK507">
        <v>12.5794063805767</v>
      </c>
    </row>
    <row r="508" spans="1:37" x14ac:dyDescent="0.2">
      <c r="A508" t="str">
        <f>"20200111150516308"</f>
        <v>20200111150516308</v>
      </c>
      <c r="B508" t="str">
        <f>"1578726316305278"</f>
        <v>1578726316305278</v>
      </c>
      <c r="C508" t="s">
        <v>37</v>
      </c>
      <c r="D508">
        <v>4.9142789999999996</v>
      </c>
      <c r="E508">
        <v>0.6299825</v>
      </c>
      <c r="F508" t="s">
        <v>39</v>
      </c>
      <c r="G508">
        <v>-196.1617</v>
      </c>
      <c r="H508" s="1">
        <v>-2.5432059999999998E-6</v>
      </c>
      <c r="I508">
        <v>301.69580000000002</v>
      </c>
      <c r="J508">
        <v>-191.92859999999999</v>
      </c>
      <c r="K508">
        <v>1.1038920000000001</v>
      </c>
      <c r="L508">
        <v>313.90379999999999</v>
      </c>
      <c r="M508">
        <v>3.2463329999999901E-3</v>
      </c>
      <c r="N508">
        <v>0</v>
      </c>
      <c r="O508">
        <v>-0.99990679999999998</v>
      </c>
      <c r="P508">
        <v>1.559181E-3</v>
      </c>
      <c r="Q508">
        <v>8.9324559999999997E-2</v>
      </c>
      <c r="R508">
        <v>-0.99600149999999998</v>
      </c>
      <c r="S508">
        <v>-1.034027</v>
      </c>
      <c r="T508">
        <v>-0.26974789999999998</v>
      </c>
      <c r="U508">
        <v>-3.0392459999999999</v>
      </c>
      <c r="V508">
        <v>1.564717E-3</v>
      </c>
      <c r="W508">
        <v>0.1025191</v>
      </c>
      <c r="X508">
        <v>0.9947298</v>
      </c>
      <c r="Y508">
        <v>0.32403539999999997</v>
      </c>
      <c r="Z508">
        <v>8.3684090000000003E-2</v>
      </c>
      <c r="AA508">
        <v>0.94233639999999996</v>
      </c>
      <c r="AB508">
        <v>23</v>
      </c>
      <c r="AC508">
        <v>-4.2331000000000003</v>
      </c>
      <c r="AD508">
        <v>-1.1038945432059999</v>
      </c>
      <c r="AE508">
        <v>-12.207999999999901</v>
      </c>
      <c r="AF508">
        <v>4.2417522906806102</v>
      </c>
      <c r="AG508">
        <v>-1.1038945432059999</v>
      </c>
      <c r="AH508">
        <v>12.1058331562327</v>
      </c>
      <c r="AI508">
        <v>94.918593872657496</v>
      </c>
      <c r="AJ508">
        <v>70.690094064179505</v>
      </c>
      <c r="AK508">
        <v>12.874868623196001</v>
      </c>
    </row>
    <row r="509" spans="1:37" x14ac:dyDescent="0.2">
      <c r="A509" t="str">
        <f>"20200111150516332"</f>
        <v>20200111150516332</v>
      </c>
      <c r="B509" t="str">
        <f>"1578726316325306"</f>
        <v>1578726316325306</v>
      </c>
      <c r="C509" t="s">
        <v>37</v>
      </c>
      <c r="D509">
        <v>4.9690890000000003</v>
      </c>
      <c r="E509">
        <v>0.62961129999999998</v>
      </c>
      <c r="F509" t="s">
        <v>39</v>
      </c>
      <c r="G509">
        <v>-196.16970000000001</v>
      </c>
      <c r="H509" s="1">
        <v>-2.4494639999999999E-6</v>
      </c>
      <c r="I509">
        <v>301.47230000000002</v>
      </c>
      <c r="J509">
        <v>-191.92699999999999</v>
      </c>
      <c r="K509">
        <v>1.1038729999999899</v>
      </c>
      <c r="L509">
        <v>313.65890000000002</v>
      </c>
      <c r="M509">
        <v>3.9845219999999999E-3</v>
      </c>
      <c r="N509">
        <v>0</v>
      </c>
      <c r="O509">
        <v>-0.99990449999999997</v>
      </c>
      <c r="P509">
        <v>-1.5392229999999999E-4</v>
      </c>
      <c r="Q509">
        <v>8.9631559999999999E-2</v>
      </c>
      <c r="R509">
        <v>-0.99597519999999995</v>
      </c>
      <c r="S509">
        <v>-1.0363770000000001</v>
      </c>
      <c r="T509">
        <v>-0.269756</v>
      </c>
      <c r="U509">
        <v>-3.0378720000000001</v>
      </c>
      <c r="V509">
        <v>4.0160580000000003E-3</v>
      </c>
      <c r="W509">
        <v>0.1028255</v>
      </c>
      <c r="X509">
        <v>0.99469129999999994</v>
      </c>
      <c r="Y509">
        <v>0.32551590000000002</v>
      </c>
      <c r="Z509">
        <v>8.3689819999999998E-2</v>
      </c>
      <c r="AA509">
        <v>0.94182559999999904</v>
      </c>
      <c r="AB509">
        <v>23</v>
      </c>
      <c r="AC509">
        <v>-4.2426999999999797</v>
      </c>
      <c r="AD509">
        <v>-1.103875449464</v>
      </c>
      <c r="AE509">
        <v>-12.1866</v>
      </c>
      <c r="AF509">
        <v>4.2600534355825799</v>
      </c>
      <c r="AG509">
        <v>-1.103875449464</v>
      </c>
      <c r="AH509">
        <v>12.0811869703067</v>
      </c>
      <c r="AI509">
        <v>94.925074083085406</v>
      </c>
      <c r="AJ509">
        <v>70.576392560039693</v>
      </c>
      <c r="AK509">
        <v>12.857747660203</v>
      </c>
    </row>
    <row r="510" spans="1:37" x14ac:dyDescent="0.2">
      <c r="A510" t="str">
        <f>"20200111150516353"</f>
        <v>20200111150516353</v>
      </c>
      <c r="B510" t="str">
        <f>"1578726316344826"</f>
        <v>1578726316344826</v>
      </c>
      <c r="C510" t="s">
        <v>37</v>
      </c>
      <c r="D510">
        <v>4.9282430000000002</v>
      </c>
      <c r="E510">
        <v>0.62969339999999996</v>
      </c>
      <c r="F510" t="s">
        <v>39</v>
      </c>
      <c r="G510">
        <v>-196.17789999999999</v>
      </c>
      <c r="H510" s="1">
        <v>-2.3479009999999998E-6</v>
      </c>
      <c r="I510">
        <v>301.23039999999997</v>
      </c>
      <c r="J510">
        <v>-191.92529999999999</v>
      </c>
      <c r="K510">
        <v>1.103858</v>
      </c>
      <c r="L510">
        <v>313.43540000000002</v>
      </c>
      <c r="M510">
        <v>4.6385699999999998E-3</v>
      </c>
      <c r="N510">
        <v>0</v>
      </c>
      <c r="O510">
        <v>-0.999901499999999</v>
      </c>
      <c r="P510">
        <v>-3.737523E-3</v>
      </c>
      <c r="Q510">
        <v>8.9442129999999995E-2</v>
      </c>
      <c r="R510">
        <v>-0.99598519999999902</v>
      </c>
      <c r="S510">
        <v>-1.038483</v>
      </c>
      <c r="T510">
        <v>-0.26967259999999998</v>
      </c>
      <c r="U510">
        <v>-3.0362239999999998</v>
      </c>
      <c r="V510">
        <v>8.254717E-3</v>
      </c>
      <c r="W510">
        <v>0.1026377</v>
      </c>
      <c r="X510">
        <v>0.99468459999999903</v>
      </c>
      <c r="Y510">
        <v>0.32687519999999998</v>
      </c>
      <c r="Z510">
        <v>8.3677189999999999E-2</v>
      </c>
      <c r="AA510">
        <v>0.94135579999999996</v>
      </c>
      <c r="AB510">
        <v>23</v>
      </c>
      <c r="AC510">
        <v>-4.2526000000000002</v>
      </c>
      <c r="AD510">
        <v>-1.1038603479009901</v>
      </c>
      <c r="AE510">
        <v>-12.205</v>
      </c>
      <c r="AF510">
        <v>4.2779676791530701</v>
      </c>
      <c r="AG510">
        <v>-1.1038603479009901</v>
      </c>
      <c r="AH510">
        <v>12.0969011267958</v>
      </c>
      <c r="AI510">
        <v>94.917069137397107</v>
      </c>
      <c r="AJ510">
        <v>70.524286139332105</v>
      </c>
      <c r="AK510">
        <v>12.878452236314001</v>
      </c>
    </row>
    <row r="511" spans="1:37" x14ac:dyDescent="0.2">
      <c r="A511" t="str">
        <f>"20200111150516375"</f>
        <v>20200111150516375</v>
      </c>
      <c r="B511" t="str">
        <f>"1578726316365322"</f>
        <v>1578726316365322</v>
      </c>
      <c r="C511" t="s">
        <v>37</v>
      </c>
      <c r="D511">
        <v>4.9444239999999997</v>
      </c>
      <c r="E511">
        <v>0.62984949999999995</v>
      </c>
      <c r="F511" t="s">
        <v>39</v>
      </c>
      <c r="G511">
        <v>-196.2664</v>
      </c>
      <c r="H511" s="1">
        <v>-2.2273179999999999E-6</v>
      </c>
      <c r="I511">
        <v>300.89449999999999</v>
      </c>
      <c r="J511">
        <v>-191.92349999999999</v>
      </c>
      <c r="K511">
        <v>1.103845</v>
      </c>
      <c r="L511">
        <v>313.21190000000001</v>
      </c>
      <c r="M511">
        <v>5.2721529999999999E-3</v>
      </c>
      <c r="N511">
        <v>0</v>
      </c>
      <c r="O511">
        <v>-0.99989839999999997</v>
      </c>
      <c r="P511">
        <v>-7.1844639999999998E-3</v>
      </c>
      <c r="Q511">
        <v>8.8796929999999996E-2</v>
      </c>
      <c r="R511">
        <v>-0.99602409999999997</v>
      </c>
      <c r="S511">
        <v>-1.0495760000000001</v>
      </c>
      <c r="T511">
        <v>-0.26688770000000001</v>
      </c>
      <c r="U511">
        <v>-3.0321039999999999</v>
      </c>
      <c r="V511">
        <v>1.2337040000000001E-2</v>
      </c>
      <c r="W511">
        <v>0.1019945</v>
      </c>
      <c r="X511">
        <v>0.994708499999999</v>
      </c>
      <c r="Y511">
        <v>0.3309647</v>
      </c>
      <c r="Z511">
        <v>8.2816269999999997E-2</v>
      </c>
      <c r="AA511">
        <v>0.940002</v>
      </c>
      <c r="AB511">
        <v>23</v>
      </c>
      <c r="AC511">
        <v>-4.34290000000001</v>
      </c>
      <c r="AD511">
        <v>-1.103847227318</v>
      </c>
      <c r="AE511">
        <v>-12.317399999999999</v>
      </c>
      <c r="AF511">
        <v>4.3765222254285998</v>
      </c>
      <c r="AG511">
        <v>-1.103847227318</v>
      </c>
      <c r="AH511">
        <v>12.2071325033245</v>
      </c>
      <c r="AI511">
        <v>94.865351869831301</v>
      </c>
      <c r="AJ511">
        <v>70.276140185958099</v>
      </c>
      <c r="AK511">
        <v>13.014857257943699</v>
      </c>
    </row>
    <row r="512" spans="1:37" x14ac:dyDescent="0.2">
      <c r="A512" t="str">
        <f>"20200111150516396"</f>
        <v>20200111150516396</v>
      </c>
      <c r="B512" t="str">
        <f>"1578726316384842"</f>
        <v>1578726316384842</v>
      </c>
      <c r="C512" t="s">
        <v>37</v>
      </c>
      <c r="D512">
        <v>4.9592330000000002</v>
      </c>
      <c r="E512">
        <v>0.63006509999999905</v>
      </c>
      <c r="F512" t="s">
        <v>39</v>
      </c>
      <c r="G512">
        <v>-196.32480000000001</v>
      </c>
      <c r="H512" s="1">
        <v>-2.1400810000000002E-6</v>
      </c>
      <c r="I512">
        <v>300.65480000000002</v>
      </c>
      <c r="J512">
        <v>-191.92150000000001</v>
      </c>
      <c r="K512">
        <v>1.1038299999999901</v>
      </c>
      <c r="L512">
        <v>312.98230000000001</v>
      </c>
      <c r="M512">
        <v>5.9058440000000004E-3</v>
      </c>
      <c r="N512">
        <v>0</v>
      </c>
      <c r="O512">
        <v>-0.99989499999999998</v>
      </c>
      <c r="P512">
        <v>-9.9170490000000007E-3</v>
      </c>
      <c r="Q512">
        <v>8.8198189999999996E-2</v>
      </c>
      <c r="R512">
        <v>-0.99605390000000005</v>
      </c>
      <c r="S512">
        <v>-1.061356</v>
      </c>
      <c r="T512">
        <v>-0.26618509999999901</v>
      </c>
      <c r="U512">
        <v>-3.0280459999999998</v>
      </c>
      <c r="V512">
        <v>1.5704849999999999E-2</v>
      </c>
      <c r="W512">
        <v>0.1013968</v>
      </c>
      <c r="X512">
        <v>0.99472209999999905</v>
      </c>
      <c r="Y512">
        <v>0.3352154</v>
      </c>
      <c r="Z512">
        <v>8.2588330000000001E-2</v>
      </c>
      <c r="AA512">
        <v>0.93851469999999904</v>
      </c>
      <c r="AB512">
        <v>23</v>
      </c>
      <c r="AC512">
        <v>-4.4032999999999998</v>
      </c>
      <c r="AD512">
        <v>-1.1038321400809901</v>
      </c>
      <c r="AE512">
        <v>-12.327499999999899</v>
      </c>
      <c r="AF512">
        <v>4.4444313082288698</v>
      </c>
      <c r="AG512">
        <v>-1.1038321400809901</v>
      </c>
      <c r="AH512">
        <v>12.2144256544127</v>
      </c>
      <c r="AI512">
        <v>94.854136438528101</v>
      </c>
      <c r="AJ512">
        <v>70.005202900024599</v>
      </c>
      <c r="AK512">
        <v>13.044677424689899</v>
      </c>
    </row>
    <row r="513" spans="1:37" x14ac:dyDescent="0.2">
      <c r="A513" t="str">
        <f>"20200111150516418"</f>
        <v>20200111150516418</v>
      </c>
      <c r="B513" t="str">
        <f>"1578726316415098"</f>
        <v>1578726316415098</v>
      </c>
      <c r="C513" t="s">
        <v>37</v>
      </c>
      <c r="D513">
        <v>4.953919</v>
      </c>
      <c r="E513">
        <v>0.63000849999999997</v>
      </c>
      <c r="F513" t="s">
        <v>39</v>
      </c>
      <c r="G513">
        <v>-196.38890000000001</v>
      </c>
      <c r="H513" s="1">
        <v>-2.034602E-6</v>
      </c>
      <c r="I513">
        <v>300.36930000000001</v>
      </c>
      <c r="J513">
        <v>-191.9195</v>
      </c>
      <c r="K513">
        <v>1.1038209999999999</v>
      </c>
      <c r="L513">
        <v>312.76150000000001</v>
      </c>
      <c r="M513">
        <v>6.4980400000000001E-3</v>
      </c>
      <c r="N513">
        <v>0</v>
      </c>
      <c r="O513">
        <v>-0.99989119999999998</v>
      </c>
      <c r="P513">
        <v>-1.29327E-2</v>
      </c>
      <c r="Q513">
        <v>8.774912E-2</v>
      </c>
      <c r="R513">
        <v>-0.99605880000000002</v>
      </c>
      <c r="S513">
        <v>-1.0712889999999999</v>
      </c>
      <c r="T513">
        <v>-0.26470279999999902</v>
      </c>
      <c r="U513">
        <v>-3.0246580000000001</v>
      </c>
      <c r="V513">
        <v>1.9313819999999999E-2</v>
      </c>
      <c r="W513">
        <v>0.1009481</v>
      </c>
      <c r="X513">
        <v>0.99470419999999904</v>
      </c>
      <c r="Y513">
        <v>0.33885310000000002</v>
      </c>
      <c r="Z513">
        <v>8.2119059999999994E-2</v>
      </c>
      <c r="AA513">
        <v>0.93724859999999899</v>
      </c>
      <c r="AB513">
        <v>23</v>
      </c>
      <c r="AC513">
        <v>-4.4694000000000003</v>
      </c>
      <c r="AD513">
        <v>-1.1038230346019999</v>
      </c>
      <c r="AE513">
        <v>-12.392200000000001</v>
      </c>
      <c r="AF513">
        <v>4.5181163706042797</v>
      </c>
      <c r="AG513">
        <v>-1.1038230346019999</v>
      </c>
      <c r="AH513">
        <v>12.2766997324683</v>
      </c>
      <c r="AI513">
        <v>94.823147498797098</v>
      </c>
      <c r="AJ513">
        <v>69.795189255877006</v>
      </c>
      <c r="AK513">
        <v>13.1281817915212</v>
      </c>
    </row>
    <row r="514" spans="1:37" x14ac:dyDescent="0.2">
      <c r="A514" t="str">
        <f>"20200111150516440"</f>
        <v>20200111150516440</v>
      </c>
      <c r="B514" t="str">
        <f>"1578726316435125"</f>
        <v>1578726316435125</v>
      </c>
      <c r="C514" t="s">
        <v>37</v>
      </c>
      <c r="D514">
        <v>5.0317749999999997</v>
      </c>
      <c r="E514">
        <v>0.63031890000000002</v>
      </c>
      <c r="F514" t="s">
        <v>39</v>
      </c>
      <c r="G514">
        <v>-196.429</v>
      </c>
      <c r="H514" s="1">
        <v>-1.9498840000000002E-6</v>
      </c>
      <c r="I514">
        <v>300.14690000000002</v>
      </c>
      <c r="J514">
        <v>-191.91730000000001</v>
      </c>
      <c r="K514">
        <v>1.1038019999999999</v>
      </c>
      <c r="L514">
        <v>312.53039999999999</v>
      </c>
      <c r="M514">
        <v>7.0944619999999898E-3</v>
      </c>
      <c r="N514">
        <v>0</v>
      </c>
      <c r="O514">
        <v>-0.99988729999999904</v>
      </c>
      <c r="P514">
        <v>-1.5044480000000001E-2</v>
      </c>
      <c r="Q514">
        <v>8.8215779999999994E-2</v>
      </c>
      <c r="R514">
        <v>-0.99598799999999899</v>
      </c>
      <c r="S514">
        <v>-1.0800019999999999</v>
      </c>
      <c r="T514">
        <v>-0.26436159999999997</v>
      </c>
      <c r="U514">
        <v>-3.0211489999999999</v>
      </c>
      <c r="V514">
        <v>2.2022320000000001E-2</v>
      </c>
      <c r="W514">
        <v>0.101413399999999</v>
      </c>
      <c r="X514">
        <v>0.99460059999999995</v>
      </c>
      <c r="Y514">
        <v>0.34215619999999902</v>
      </c>
      <c r="Z514">
        <v>8.2013749999999996E-2</v>
      </c>
      <c r="AA514">
        <v>0.93605709999999998</v>
      </c>
      <c r="AB514">
        <v>23</v>
      </c>
      <c r="AC514">
        <v>-4.5116999999999896</v>
      </c>
      <c r="AD514">
        <v>-1.103803949884</v>
      </c>
      <c r="AE514">
        <v>-12.3834999999999</v>
      </c>
      <c r="AF514">
        <v>4.56741241881085</v>
      </c>
      <c r="AG514">
        <v>-1.103803949884</v>
      </c>
      <c r="AH514">
        <v>12.265149256265699</v>
      </c>
      <c r="AI514">
        <v>94.820760249095798</v>
      </c>
      <c r="AJ514">
        <v>69.575199166835603</v>
      </c>
      <c r="AK514">
        <v>13.134440438852399</v>
      </c>
    </row>
    <row r="515" spans="1:37" x14ac:dyDescent="0.2">
      <c r="A515" t="str">
        <f>"20200111150516463"</f>
        <v>20200111150516463</v>
      </c>
      <c r="B515" t="str">
        <f>"1578726316454645"</f>
        <v>1578726316454645</v>
      </c>
      <c r="C515" t="s">
        <v>37</v>
      </c>
      <c r="D515">
        <v>4.914949</v>
      </c>
      <c r="E515">
        <v>0.63035529999999995</v>
      </c>
      <c r="F515" t="s">
        <v>39</v>
      </c>
      <c r="G515">
        <v>-196.5204</v>
      </c>
      <c r="H515" s="1">
        <v>-1.8132310000000001E-6</v>
      </c>
      <c r="I515">
        <v>299.77159999999998</v>
      </c>
      <c r="J515">
        <v>-191.91480000000001</v>
      </c>
      <c r="K515">
        <v>1.1037870000000001</v>
      </c>
      <c r="L515">
        <v>312.286</v>
      </c>
      <c r="M515">
        <v>7.6930239999999997E-3</v>
      </c>
      <c r="N515">
        <v>0</v>
      </c>
      <c r="O515">
        <v>-0.99988299999999997</v>
      </c>
      <c r="P515">
        <v>-1.673815E-2</v>
      </c>
      <c r="Q515">
        <v>8.848143E-2</v>
      </c>
      <c r="R515">
        <v>-0.99593759999999998</v>
      </c>
      <c r="S515">
        <v>-1.0891420000000001</v>
      </c>
      <c r="T515">
        <v>-0.26116729999999999</v>
      </c>
      <c r="U515">
        <v>-3.018799</v>
      </c>
      <c r="V515">
        <v>2.431647E-2</v>
      </c>
      <c r="W515">
        <v>0.10167619999999999</v>
      </c>
      <c r="X515">
        <v>0.99452030000000002</v>
      </c>
      <c r="Y515">
        <v>0.3454855</v>
      </c>
      <c r="Z515">
        <v>8.0997219999999995E-2</v>
      </c>
      <c r="AA515">
        <v>0.93492199999999903</v>
      </c>
      <c r="AB515">
        <v>23</v>
      </c>
      <c r="AC515">
        <v>-4.6055999999999804</v>
      </c>
      <c r="AD515">
        <v>-1.1037888132310001</v>
      </c>
      <c r="AE515">
        <v>-12.5144</v>
      </c>
      <c r="AF515">
        <v>4.6697507819698396</v>
      </c>
      <c r="AG515">
        <v>-1.1037888132310001</v>
      </c>
      <c r="AH515">
        <v>12.3936799493445</v>
      </c>
      <c r="AI515">
        <v>94.764080783167103</v>
      </c>
      <c r="AJ515">
        <v>69.354351234826495</v>
      </c>
      <c r="AK515">
        <v>13.2901551833192</v>
      </c>
    </row>
    <row r="516" spans="1:37" x14ac:dyDescent="0.2">
      <c r="A516" t="str">
        <f>"20200111150516487"</f>
        <v>20200111150516487</v>
      </c>
      <c r="B516" t="str">
        <f>"1578726316484901"</f>
        <v>1578726316484901</v>
      </c>
      <c r="C516" t="s">
        <v>37</v>
      </c>
      <c r="D516">
        <v>5.0284779999999998</v>
      </c>
      <c r="E516">
        <v>0.57420380000000004</v>
      </c>
      <c r="F516" t="s">
        <v>60</v>
      </c>
      <c r="G516">
        <v>-196.56309999999999</v>
      </c>
      <c r="H516" s="1">
        <v>2.3974700000000002E-8</v>
      </c>
      <c r="I516">
        <v>299.48020000000002</v>
      </c>
      <c r="J516">
        <v>-191.91229999999999</v>
      </c>
      <c r="K516">
        <v>1.1037629999999901</v>
      </c>
      <c r="L516">
        <v>312.04849999999999</v>
      </c>
      <c r="M516">
        <v>8.2359440000000003E-3</v>
      </c>
      <c r="N516">
        <v>0</v>
      </c>
      <c r="O516">
        <v>-0.99987859999999995</v>
      </c>
      <c r="P516">
        <v>-1.9241919999999999E-2</v>
      </c>
      <c r="Q516">
        <v>8.8165629999999995E-2</v>
      </c>
      <c r="R516">
        <v>-0.99592039999999904</v>
      </c>
      <c r="S516">
        <v>-1.095108</v>
      </c>
      <c r="T516">
        <v>-0.26004460000000001</v>
      </c>
      <c r="U516">
        <v>-3.0169679999999999</v>
      </c>
      <c r="V516">
        <v>2.7367430000000002E-2</v>
      </c>
      <c r="W516">
        <v>0.1013584</v>
      </c>
      <c r="X516">
        <v>0.99447350000000001</v>
      </c>
      <c r="Y516">
        <v>0.34781960000000001</v>
      </c>
      <c r="Z516">
        <v>8.0634600000000001E-2</v>
      </c>
      <c r="AA516">
        <v>0.93408760000000002</v>
      </c>
      <c r="AB516">
        <v>23</v>
      </c>
      <c r="AC516">
        <v>-4.6508000000000003</v>
      </c>
      <c r="AD516">
        <v>-1.1037629760252901</v>
      </c>
      <c r="AE516">
        <v>-12.568299999999899</v>
      </c>
      <c r="AF516">
        <v>4.7221297600537504</v>
      </c>
      <c r="AG516">
        <v>-1.1037629760252901</v>
      </c>
      <c r="AH516">
        <v>12.4451428977798</v>
      </c>
      <c r="AI516">
        <v>94.740220484879003</v>
      </c>
      <c r="AJ516">
        <v>69.221473677056096</v>
      </c>
      <c r="AK516">
        <v>13.3565857884486</v>
      </c>
    </row>
    <row r="517" spans="1:37" x14ac:dyDescent="0.2">
      <c r="A517" t="str">
        <f>"20200111150516510"</f>
        <v>20200111150516510</v>
      </c>
      <c r="B517" t="str">
        <f>"1578726316505397"</f>
        <v>1578726316505397</v>
      </c>
      <c r="C517" t="s">
        <v>37</v>
      </c>
      <c r="D517">
        <v>4.9067910000000001</v>
      </c>
      <c r="E517">
        <v>0.56617640000000002</v>
      </c>
      <c r="F517" t="s">
        <v>60</v>
      </c>
      <c r="G517">
        <v>-198.68469999999999</v>
      </c>
      <c r="H517" s="1">
        <v>2.7514909999999998E-6</v>
      </c>
      <c r="I517">
        <v>280.87110000000001</v>
      </c>
      <c r="J517">
        <v>-191.90979999999999</v>
      </c>
      <c r="K517">
        <v>1.1037269999999999</v>
      </c>
      <c r="L517">
        <v>311.81610000000001</v>
      </c>
      <c r="M517">
        <v>8.7194819999999902E-3</v>
      </c>
      <c r="N517">
        <v>0</v>
      </c>
      <c r="O517">
        <v>-0.99987479999999995</v>
      </c>
      <c r="P517">
        <v>-2.2252259999999999E-2</v>
      </c>
      <c r="Q517">
        <v>8.7669960000000005E-2</v>
      </c>
      <c r="R517">
        <v>-0.99590119999999904</v>
      </c>
      <c r="S517">
        <v>-0.65364069999999996</v>
      </c>
      <c r="T517">
        <v>-0.1065296</v>
      </c>
      <c r="U517">
        <v>-3.0090939999999899</v>
      </c>
      <c r="V517">
        <v>3.086757E-2</v>
      </c>
      <c r="W517">
        <v>0.100856</v>
      </c>
      <c r="X517">
        <v>0.99442209999999998</v>
      </c>
      <c r="Y517">
        <v>0.2206582</v>
      </c>
      <c r="Z517">
        <v>3.4540059999999997E-2</v>
      </c>
      <c r="AA517">
        <v>0.97473940000000003</v>
      </c>
      <c r="AB517">
        <v>23</v>
      </c>
      <c r="AC517">
        <v>-6.7748999999999997</v>
      </c>
      <c r="AD517">
        <v>-1.103724248509</v>
      </c>
      <c r="AE517">
        <v>-30.945</v>
      </c>
      <c r="AF517">
        <v>7.0359488861182502</v>
      </c>
      <c r="AG517">
        <v>-1.103724248509</v>
      </c>
      <c r="AH517">
        <v>30.847297017254501</v>
      </c>
      <c r="AI517">
        <v>91.997915062273407</v>
      </c>
      <c r="AJ517">
        <v>77.151235024895001</v>
      </c>
      <c r="AK517">
        <v>31.6587826237134</v>
      </c>
    </row>
    <row r="518" spans="1:37" x14ac:dyDescent="0.2">
      <c r="A518" t="str">
        <f>"20200111150516530"</f>
        <v>20200111150516530</v>
      </c>
      <c r="B518" t="str">
        <f>"1578726316525425"</f>
        <v>1578726316525425</v>
      </c>
      <c r="C518" t="s">
        <v>37</v>
      </c>
      <c r="D518">
        <v>4.9197050000000004</v>
      </c>
      <c r="E518">
        <v>0.56370799999999999</v>
      </c>
      <c r="F518" t="s">
        <v>60</v>
      </c>
      <c r="G518">
        <v>-195.36709999999999</v>
      </c>
      <c r="H518" s="1">
        <v>1.323274E-6</v>
      </c>
      <c r="I518">
        <v>294.41449999999998</v>
      </c>
      <c r="J518">
        <v>-191.9074</v>
      </c>
      <c r="K518">
        <v>1.103691</v>
      </c>
      <c r="L518">
        <v>311.59769999999997</v>
      </c>
      <c r="M518">
        <v>9.1152290000000007E-3</v>
      </c>
      <c r="N518">
        <v>0</v>
      </c>
      <c r="O518">
        <v>-0.99987109999999901</v>
      </c>
      <c r="P518">
        <v>-2.506502E-2</v>
      </c>
      <c r="Q518">
        <v>8.7980749999999996E-2</v>
      </c>
      <c r="R518">
        <v>-0.995807</v>
      </c>
      <c r="S518">
        <v>-0.59916689999999995</v>
      </c>
      <c r="T518">
        <v>-0.19128229999999999</v>
      </c>
      <c r="U518">
        <v>-3.0158079999999998</v>
      </c>
      <c r="V518">
        <v>3.4083009999999997E-2</v>
      </c>
      <c r="W518">
        <v>0.10115249999999899</v>
      </c>
      <c r="X518">
        <v>0.99428700000000003</v>
      </c>
      <c r="Y518">
        <v>0.20342449999999901</v>
      </c>
      <c r="Z518">
        <v>6.2029790000000001E-2</v>
      </c>
      <c r="AA518">
        <v>0.97712369999999904</v>
      </c>
      <c r="AB518">
        <v>23</v>
      </c>
      <c r="AC518">
        <v>-3.45969999999999</v>
      </c>
      <c r="AD518">
        <v>-1.103689676726</v>
      </c>
      <c r="AE518">
        <v>-17.183199999999999</v>
      </c>
      <c r="AF518">
        <v>3.60191763599037</v>
      </c>
      <c r="AG518">
        <v>-1.103689676726</v>
      </c>
      <c r="AH518">
        <v>17.083214767693001</v>
      </c>
      <c r="AI518">
        <v>93.617241023932095</v>
      </c>
      <c r="AJ518">
        <v>78.093835573502801</v>
      </c>
      <c r="AK518">
        <v>17.493660804934301</v>
      </c>
    </row>
    <row r="519" spans="1:37" x14ac:dyDescent="0.2">
      <c r="A519" t="str">
        <f>"20200111150516553"</f>
        <v>20200111150516553</v>
      </c>
      <c r="B519" t="str">
        <f>"1578726316544946"</f>
        <v>1578726316544946</v>
      </c>
      <c r="C519" t="s">
        <v>37</v>
      </c>
      <c r="D519">
        <v>4.8162010000000004</v>
      </c>
      <c r="E519">
        <v>0.56001109999999998</v>
      </c>
      <c r="F519" t="s">
        <v>60</v>
      </c>
      <c r="G519">
        <v>-194.8022</v>
      </c>
      <c r="H519" s="1">
        <v>5.8038019999999899E-7</v>
      </c>
      <c r="I519">
        <v>296.75909999999999</v>
      </c>
      <c r="J519">
        <v>-191.90479999999999</v>
      </c>
      <c r="K519">
        <v>1.103639</v>
      </c>
      <c r="L519">
        <v>311.36110000000002</v>
      </c>
      <c r="M519">
        <v>9.4575170000000004E-3</v>
      </c>
      <c r="N519">
        <v>0</v>
      </c>
      <c r="O519">
        <v>-0.99986799999999998</v>
      </c>
      <c r="P519">
        <v>-2.742491E-2</v>
      </c>
      <c r="Q519">
        <v>8.8038790000000006E-2</v>
      </c>
      <c r="R519">
        <v>-0.9957395</v>
      </c>
      <c r="S519">
        <v>-0.58869930000000004</v>
      </c>
      <c r="T519">
        <v>-0.22445000000000001</v>
      </c>
      <c r="U519">
        <v>-3.017639</v>
      </c>
      <c r="V519">
        <v>3.6796450000000001E-2</v>
      </c>
      <c r="W519">
        <v>0.1011928</v>
      </c>
      <c r="X519">
        <v>0.99418609999999896</v>
      </c>
      <c r="Y519">
        <v>0.2002438</v>
      </c>
      <c r="Z519">
        <v>7.2736350000000005E-2</v>
      </c>
      <c r="AA519">
        <v>0.97704239999999998</v>
      </c>
      <c r="AB519">
        <v>23</v>
      </c>
      <c r="AC519">
        <v>-2.8974000000000002</v>
      </c>
      <c r="AD519">
        <v>-1.1036384196197999</v>
      </c>
      <c r="AE519">
        <v>-14.602</v>
      </c>
      <c r="AF519">
        <v>3.0187894250557599</v>
      </c>
      <c r="AG519">
        <v>-1.1036384196197999</v>
      </c>
      <c r="AH519">
        <v>14.4942796530932</v>
      </c>
      <c r="AI519">
        <v>94.263138308966901</v>
      </c>
      <c r="AJ519">
        <v>78.234939599340393</v>
      </c>
      <c r="AK519">
        <v>14.846388450265</v>
      </c>
    </row>
    <row r="520" spans="1:37" x14ac:dyDescent="0.2">
      <c r="A520" t="str">
        <f>"20200111150516575"</f>
        <v>20200111150516575</v>
      </c>
      <c r="B520" t="str">
        <f>"1578726316564465"</f>
        <v>1578726316564465</v>
      </c>
      <c r="C520" t="s">
        <v>37</v>
      </c>
      <c r="D520">
        <v>4.8735080000000002</v>
      </c>
      <c r="E520">
        <v>0.55805530000000003</v>
      </c>
      <c r="F520" t="s">
        <v>60</v>
      </c>
      <c r="G520">
        <v>-194.41980000000001</v>
      </c>
      <c r="H520" s="1">
        <v>2.8770029999999999E-7</v>
      </c>
      <c r="I520">
        <v>297.98270000000002</v>
      </c>
      <c r="J520">
        <v>-191.9023</v>
      </c>
      <c r="K520">
        <v>1.1035729999999999</v>
      </c>
      <c r="L520">
        <v>311.1336</v>
      </c>
      <c r="M520">
        <v>9.6743750000000007E-3</v>
      </c>
      <c r="N520">
        <v>0</v>
      </c>
      <c r="O520">
        <v>-0.99986620000000004</v>
      </c>
      <c r="P520">
        <v>-3.088397E-2</v>
      </c>
      <c r="Q520">
        <v>8.9625239999999995E-2</v>
      </c>
      <c r="R520">
        <v>-0.99549669999999901</v>
      </c>
      <c r="S520">
        <v>-0.5675964</v>
      </c>
      <c r="T520">
        <v>-0.24906919999999999</v>
      </c>
      <c r="U520">
        <v>-3.01922599999999</v>
      </c>
      <c r="V520">
        <v>4.0485399999999998E-2</v>
      </c>
      <c r="W520">
        <v>0.102759199999999</v>
      </c>
      <c r="X520">
        <v>0.99388199999999904</v>
      </c>
      <c r="Y520">
        <v>0.1936542</v>
      </c>
      <c r="Z520">
        <v>8.0728720000000004E-2</v>
      </c>
      <c r="AA520">
        <v>0.97774280000000002</v>
      </c>
      <c r="AB520">
        <v>23</v>
      </c>
      <c r="AC520">
        <v>-2.5175000000000098</v>
      </c>
      <c r="AD520">
        <v>-1.1035727122996899</v>
      </c>
      <c r="AE520">
        <v>-13.150899999999901</v>
      </c>
      <c r="AF520">
        <v>2.6267763306138501</v>
      </c>
      <c r="AG520">
        <v>-1.1035727122996899</v>
      </c>
      <c r="AH520">
        <v>13.037364525364801</v>
      </c>
      <c r="AI520">
        <v>94.743503195836993</v>
      </c>
      <c r="AJ520">
        <v>78.608520160566997</v>
      </c>
      <c r="AK520">
        <v>13.3450627720384</v>
      </c>
    </row>
    <row r="521" spans="1:37" x14ac:dyDescent="0.2">
      <c r="A521" t="str">
        <f>"20200111150516597"</f>
        <v>20200111150516597</v>
      </c>
      <c r="B521" t="str">
        <f>"1578726316594722"</f>
        <v>1578726316594722</v>
      </c>
      <c r="C521" t="s">
        <v>37</v>
      </c>
      <c r="D521">
        <v>4.5334879999999904</v>
      </c>
      <c r="E521">
        <v>0.55516949999999998</v>
      </c>
      <c r="F521" t="s">
        <v>60</v>
      </c>
      <c r="G521">
        <v>-194.32669999999999</v>
      </c>
      <c r="H521" s="1">
        <v>2.6146429999999999E-7</v>
      </c>
      <c r="I521">
        <v>298.13170000000002</v>
      </c>
      <c r="J521">
        <v>-191.8999</v>
      </c>
      <c r="K521">
        <v>1.1035010000000001</v>
      </c>
      <c r="L521">
        <v>310.90929999999997</v>
      </c>
      <c r="M521">
        <v>9.7970920000000003E-3</v>
      </c>
      <c r="N521">
        <v>0</v>
      </c>
      <c r="O521">
        <v>-0.99986529999999996</v>
      </c>
      <c r="P521">
        <v>-3.4594989999999999E-2</v>
      </c>
      <c r="Q521">
        <v>9.1338440000000007E-2</v>
      </c>
      <c r="R521">
        <v>-0.99521919999999897</v>
      </c>
      <c r="S521">
        <v>-0.56295779999999995</v>
      </c>
      <c r="T521">
        <v>-0.25625749999999903</v>
      </c>
      <c r="U521">
        <v>-3.0191349999999999</v>
      </c>
      <c r="V521">
        <v>4.433318E-2</v>
      </c>
      <c r="W521">
        <v>0.104451399999999</v>
      </c>
      <c r="X521">
        <v>0.99354140000000002</v>
      </c>
      <c r="Y521">
        <v>0.1922932</v>
      </c>
      <c r="Z521">
        <v>8.3067550000000004E-2</v>
      </c>
      <c r="AA521">
        <v>0.97781549999999995</v>
      </c>
      <c r="AB521">
        <v>23</v>
      </c>
      <c r="AC521">
        <v>-2.4267999999999801</v>
      </c>
      <c r="AD521">
        <v>-1.1035007385357001</v>
      </c>
      <c r="AE521">
        <v>-12.7775999999999</v>
      </c>
      <c r="AF521">
        <v>2.5336386707689198</v>
      </c>
      <c r="AG521">
        <v>-1.1035007385357001</v>
      </c>
      <c r="AH521">
        <v>12.662058094751</v>
      </c>
      <c r="AI521">
        <v>94.884412582540605</v>
      </c>
      <c r="AJ521">
        <v>78.684728773328899</v>
      </c>
      <c r="AK521">
        <v>12.960121681096</v>
      </c>
    </row>
    <row r="522" spans="1:37" x14ac:dyDescent="0.2">
      <c r="A522" t="str">
        <f>"20200111150516621"</f>
        <v>20200111150516621</v>
      </c>
      <c r="B522" t="str">
        <f>"1578726316615217"</f>
        <v>1578726316615217</v>
      </c>
      <c r="C522" t="s">
        <v>37</v>
      </c>
      <c r="D522">
        <v>4.9323480000000002</v>
      </c>
      <c r="E522">
        <v>0.55383939999999998</v>
      </c>
      <c r="F522" t="s">
        <v>60</v>
      </c>
      <c r="G522">
        <v>-194.22460000000001</v>
      </c>
      <c r="H522" s="1">
        <v>2.5133730000000003E-7</v>
      </c>
      <c r="I522">
        <v>298.18920000000003</v>
      </c>
      <c r="J522">
        <v>-191.8973</v>
      </c>
      <c r="K522">
        <v>1.103423</v>
      </c>
      <c r="L522">
        <v>310.6551</v>
      </c>
      <c r="M522">
        <v>9.8135789999999994E-3</v>
      </c>
      <c r="N522">
        <v>0</v>
      </c>
      <c r="O522">
        <v>-0.99986529999999996</v>
      </c>
      <c r="P522">
        <v>-3.8375079999999999E-2</v>
      </c>
      <c r="Q522">
        <v>9.1856789999999994E-2</v>
      </c>
      <c r="R522">
        <v>-0.99503269999999899</v>
      </c>
      <c r="S522">
        <v>-0.55178830000000001</v>
      </c>
      <c r="T522">
        <v>-0.26193089999999902</v>
      </c>
      <c r="U522">
        <v>-3.0192869999999998</v>
      </c>
      <c r="V522">
        <v>4.8148389999999999E-2</v>
      </c>
      <c r="W522">
        <v>0.1049464</v>
      </c>
      <c r="X522">
        <v>0.99331159999999996</v>
      </c>
      <c r="Y522">
        <v>0.18877269999999999</v>
      </c>
      <c r="Z522">
        <v>8.4946359999999999E-2</v>
      </c>
      <c r="AA522">
        <v>0.97833989999999904</v>
      </c>
      <c r="AB522">
        <v>23</v>
      </c>
      <c r="AC522">
        <v>-2.3273000000000001</v>
      </c>
      <c r="AD522">
        <v>-1.1034227486627</v>
      </c>
      <c r="AE522">
        <v>-12.4658999999999</v>
      </c>
      <c r="AF522">
        <v>2.4311273546105299</v>
      </c>
      <c r="AG522">
        <v>-1.1034227486627</v>
      </c>
      <c r="AH522">
        <v>12.3489636044007</v>
      </c>
      <c r="AI522">
        <v>95.010349240794099</v>
      </c>
      <c r="AJ522">
        <v>78.862667679062696</v>
      </c>
      <c r="AK522">
        <v>12.634271806456301</v>
      </c>
    </row>
    <row r="523" spans="1:37" x14ac:dyDescent="0.2">
      <c r="A523" t="str">
        <f>"20200111150516641"</f>
        <v>20200111150516641</v>
      </c>
      <c r="B523" t="str">
        <f>"1578726316635243"</f>
        <v>1578726316635243</v>
      </c>
      <c r="C523" t="s">
        <v>37</v>
      </c>
      <c r="D523">
        <v>4.9834809999999896</v>
      </c>
      <c r="E523">
        <v>0.55264630000000003</v>
      </c>
      <c r="F523" t="s">
        <v>38</v>
      </c>
      <c r="G523">
        <v>-192.0515</v>
      </c>
      <c r="H523">
        <v>1.030062</v>
      </c>
      <c r="I523">
        <v>309.81650000000002</v>
      </c>
      <c r="J523">
        <v>-191.8954</v>
      </c>
      <c r="K523">
        <v>1.103348</v>
      </c>
      <c r="L523">
        <v>310.45639999999997</v>
      </c>
      <c r="M523">
        <v>9.7011990000000006E-3</v>
      </c>
      <c r="N523">
        <v>0</v>
      </c>
      <c r="O523">
        <v>-0.99986649999999999</v>
      </c>
      <c r="P523">
        <v>-4.2063549999999998E-2</v>
      </c>
      <c r="Q523">
        <v>9.1999860000000003E-2</v>
      </c>
      <c r="R523">
        <v>-0.99487039999999904</v>
      </c>
      <c r="S523">
        <v>-0.55380249999999998</v>
      </c>
      <c r="T523">
        <v>-0.2643144</v>
      </c>
      <c r="U523">
        <v>-3.018005</v>
      </c>
      <c r="V523">
        <v>5.1742629999999998E-2</v>
      </c>
      <c r="W523">
        <v>0.1050688</v>
      </c>
      <c r="X523">
        <v>0.9931179</v>
      </c>
      <c r="Y523">
        <v>0.1893552</v>
      </c>
      <c r="Z523">
        <v>8.5739330000000002E-2</v>
      </c>
      <c r="AA523">
        <v>0.97815819999999998</v>
      </c>
      <c r="AB523">
        <v>23</v>
      </c>
      <c r="AC523">
        <v>-0.15610000000000901</v>
      </c>
      <c r="AD523">
        <v>-7.3285999999999907E-2</v>
      </c>
      <c r="AE523">
        <v>-0.63989999999995395</v>
      </c>
      <c r="AF523">
        <v>0.16031630494248</v>
      </c>
      <c r="AG523">
        <v>-7.3285999999999907E-2</v>
      </c>
      <c r="AH523">
        <v>0.63054932715065204</v>
      </c>
      <c r="AI523">
        <v>96.426816901916695</v>
      </c>
      <c r="AJ523">
        <v>75.734877113966206</v>
      </c>
      <c r="AK523">
        <v>0.65472483487076505</v>
      </c>
    </row>
    <row r="524" spans="1:37" x14ac:dyDescent="0.2">
      <c r="A524" t="str">
        <f>"20200111150516664"</f>
        <v>20200111150516664</v>
      </c>
      <c r="B524" t="str">
        <f>"1578726316654764"</f>
        <v>1578726316654764</v>
      </c>
      <c r="C524" t="s">
        <v>37</v>
      </c>
      <c r="D524">
        <v>4.9301019999999998</v>
      </c>
      <c r="E524">
        <v>0.55193579999999998</v>
      </c>
      <c r="F524" t="s">
        <v>38</v>
      </c>
      <c r="G524">
        <v>-192.05019999999999</v>
      </c>
      <c r="H524">
        <v>1.0286280000000001</v>
      </c>
      <c r="I524">
        <v>309.61709999999999</v>
      </c>
      <c r="J524">
        <v>-191.89330000000001</v>
      </c>
      <c r="K524">
        <v>1.1032280000000001</v>
      </c>
      <c r="L524">
        <v>310.21550000000002</v>
      </c>
      <c r="M524">
        <v>9.3662439999999993E-3</v>
      </c>
      <c r="N524">
        <v>0</v>
      </c>
      <c r="O524">
        <v>-0.99986949999999997</v>
      </c>
      <c r="P524">
        <v>-4.55541E-2</v>
      </c>
      <c r="Q524">
        <v>9.1244459999999999E-2</v>
      </c>
      <c r="R524">
        <v>-0.99478599999999995</v>
      </c>
      <c r="S524">
        <v>-0.5558014</v>
      </c>
      <c r="T524">
        <v>-0.26871679999999998</v>
      </c>
      <c r="U524">
        <v>-3.0168149999999998</v>
      </c>
      <c r="V524">
        <v>5.4930550000000002E-2</v>
      </c>
      <c r="W524">
        <v>0.1042863</v>
      </c>
      <c r="X524">
        <v>0.99302919999999995</v>
      </c>
      <c r="Y524">
        <v>0.18969910000000001</v>
      </c>
      <c r="Z524">
        <v>8.7182389999999998E-2</v>
      </c>
      <c r="AA524">
        <v>0.97796399999999895</v>
      </c>
      <c r="AB524">
        <v>23</v>
      </c>
      <c r="AC524">
        <v>-0.156899999999978</v>
      </c>
      <c r="AD524">
        <v>-7.46E-2</v>
      </c>
      <c r="AE524">
        <v>-0.59840000000002602</v>
      </c>
      <c r="AF524">
        <v>0.16016920943892099</v>
      </c>
      <c r="AG524">
        <v>-7.46E-2</v>
      </c>
      <c r="AH524">
        <v>0.58834839500229796</v>
      </c>
      <c r="AI524">
        <v>96.975080113115396</v>
      </c>
      <c r="AJ524">
        <v>74.771120367810497</v>
      </c>
      <c r="AK524">
        <v>0.61430706454839801</v>
      </c>
    </row>
    <row r="525" spans="1:37" x14ac:dyDescent="0.2">
      <c r="A525" t="str">
        <f>"20200111150516687"</f>
        <v>20200111150516687</v>
      </c>
      <c r="B525" t="str">
        <f>"1578726316685020"</f>
        <v>1578726316685020</v>
      </c>
      <c r="C525" t="s">
        <v>37</v>
      </c>
      <c r="D525">
        <v>5.0201310000000001</v>
      </c>
      <c r="E525">
        <v>0.58671390000000001</v>
      </c>
      <c r="F525" t="s">
        <v>38</v>
      </c>
      <c r="G525">
        <v>-192.04310000000001</v>
      </c>
      <c r="H525">
        <v>1.030154</v>
      </c>
      <c r="I525">
        <v>309.41140000000001</v>
      </c>
      <c r="J525">
        <v>-191.89160000000001</v>
      </c>
      <c r="K525">
        <v>1.1030719999999901</v>
      </c>
      <c r="L525">
        <v>309.97899999999998</v>
      </c>
      <c r="M525">
        <v>8.7908869999999903E-3</v>
      </c>
      <c r="N525">
        <v>0</v>
      </c>
      <c r="O525">
        <v>-0.99987490000000001</v>
      </c>
      <c r="P525">
        <v>-4.81042E-2</v>
      </c>
      <c r="Q525">
        <v>9.0667200000000003E-2</v>
      </c>
      <c r="R525">
        <v>-0.99471880000000001</v>
      </c>
      <c r="S525">
        <v>-0.56108089999999999</v>
      </c>
      <c r="T525">
        <v>-0.2741498</v>
      </c>
      <c r="U525">
        <v>-3.0151979999999998</v>
      </c>
      <c r="V525">
        <v>5.6949130000000001E-2</v>
      </c>
      <c r="W525">
        <v>0.1036779</v>
      </c>
      <c r="X525">
        <v>0.99297919999999995</v>
      </c>
      <c r="Y525">
        <v>0.19085450000000001</v>
      </c>
      <c r="Z525">
        <v>8.8954249999999999E-2</v>
      </c>
      <c r="AA525">
        <v>0.97757950000000005</v>
      </c>
      <c r="AB525">
        <v>23</v>
      </c>
      <c r="AC525">
        <v>-0.151499999999998</v>
      </c>
      <c r="AD525">
        <v>-7.2917999999999802E-2</v>
      </c>
      <c r="AE525">
        <v>-0.56760000000002697</v>
      </c>
      <c r="AF525">
        <v>0.15411002678139399</v>
      </c>
      <c r="AG525">
        <v>-7.2917999999999802E-2</v>
      </c>
      <c r="AH525">
        <v>0.55765476259335001</v>
      </c>
      <c r="AI525">
        <v>97.183349982272105</v>
      </c>
      <c r="AJ525">
        <v>74.551658952386006</v>
      </c>
      <c r="AK525">
        <v>0.58313443503330098</v>
      </c>
    </row>
    <row r="526" spans="1:37" x14ac:dyDescent="0.2">
      <c r="A526" t="str">
        <f>"20200111150516709"</f>
        <v>20200111150516709</v>
      </c>
      <c r="B526" t="str">
        <f>"1578726316704539"</f>
        <v>1578726316704539</v>
      </c>
      <c r="C526" t="s">
        <v>37</v>
      </c>
      <c r="D526">
        <v>4.9522909999999998</v>
      </c>
      <c r="E526">
        <v>0.61489099999999997</v>
      </c>
      <c r="F526" t="s">
        <v>60</v>
      </c>
      <c r="G526">
        <v>-197.74529999999999</v>
      </c>
      <c r="H526" s="1">
        <v>2.1853780000000001E-6</v>
      </c>
      <c r="I526">
        <v>289.2527</v>
      </c>
      <c r="J526">
        <v>-191.8904</v>
      </c>
      <c r="K526">
        <v>1.102894</v>
      </c>
      <c r="L526">
        <v>309.75819999999999</v>
      </c>
      <c r="M526">
        <v>7.9918049999999994E-3</v>
      </c>
      <c r="N526">
        <v>0</v>
      </c>
      <c r="O526">
        <v>-0.99988189999999999</v>
      </c>
      <c r="P526">
        <v>-5.1277099999999999E-2</v>
      </c>
      <c r="Q526">
        <v>9.2562870000000005E-2</v>
      </c>
      <c r="R526">
        <v>-0.99438599999999999</v>
      </c>
      <c r="S526">
        <v>-0.84436039999999901</v>
      </c>
      <c r="T526">
        <v>-0.1591089</v>
      </c>
      <c r="U526">
        <v>-2.9895939999999999</v>
      </c>
      <c r="V526">
        <v>5.9374959999999997E-2</v>
      </c>
      <c r="W526">
        <v>0.1055354</v>
      </c>
      <c r="X526">
        <v>0.99264140000000001</v>
      </c>
      <c r="Y526">
        <v>0.2791283</v>
      </c>
      <c r="Z526">
        <v>5.1090419999999998E-2</v>
      </c>
      <c r="AA526">
        <v>0.95889369999999996</v>
      </c>
      <c r="AB526">
        <v>23</v>
      </c>
      <c r="AC526">
        <v>-5.8548999999999802</v>
      </c>
      <c r="AD526">
        <v>-1.1028918146219999</v>
      </c>
      <c r="AE526">
        <v>-20.505499999999898</v>
      </c>
      <c r="AF526">
        <v>6.0025475793190601</v>
      </c>
      <c r="AG526">
        <v>-1.1028918146219999</v>
      </c>
      <c r="AH526">
        <v>20.4034749977045</v>
      </c>
      <c r="AI526">
        <v>92.968505629696196</v>
      </c>
      <c r="AJ526">
        <v>73.606516944154194</v>
      </c>
      <c r="AK526">
        <v>21.296683774209999</v>
      </c>
    </row>
    <row r="527" spans="1:37" x14ac:dyDescent="0.2">
      <c r="A527" t="str">
        <f>"20200111150516731"</f>
        <v>20200111150516731</v>
      </c>
      <c r="B527" t="str">
        <f>"1578726316725035"</f>
        <v>1578726316725035</v>
      </c>
      <c r="C527" t="s">
        <v>37</v>
      </c>
      <c r="D527">
        <v>4.9994839999999998</v>
      </c>
      <c r="E527">
        <v>0.62529829999999997</v>
      </c>
      <c r="F527" t="s">
        <v>60</v>
      </c>
      <c r="G527">
        <v>-198.5395</v>
      </c>
      <c r="H527" s="1">
        <v>1.5716999999999999E-6</v>
      </c>
      <c r="I527">
        <v>291.40629999999999</v>
      </c>
      <c r="J527">
        <v>-191.8897</v>
      </c>
      <c r="K527">
        <v>1.1026849999999999</v>
      </c>
      <c r="L527">
        <v>309.52569999999997</v>
      </c>
      <c r="M527">
        <v>6.8381419999999898E-3</v>
      </c>
      <c r="N527">
        <v>0</v>
      </c>
      <c r="O527">
        <v>-0.99989030000000001</v>
      </c>
      <c r="P527">
        <v>-5.4529710000000002E-2</v>
      </c>
      <c r="Q527">
        <v>9.4299140000000004E-2</v>
      </c>
      <c r="R527">
        <v>-0.99404939999999997</v>
      </c>
      <c r="S527">
        <v>-1.0789340000000001</v>
      </c>
      <c r="T527">
        <v>-0.1789627</v>
      </c>
      <c r="U527">
        <v>-2.9779049999999998</v>
      </c>
      <c r="V527">
        <v>6.1539400000000001E-2</v>
      </c>
      <c r="W527">
        <v>0.1072285</v>
      </c>
      <c r="X527">
        <v>0.99232799999999999</v>
      </c>
      <c r="Y527">
        <v>0.3465242</v>
      </c>
      <c r="Z527">
        <v>5.6342259999999998E-2</v>
      </c>
      <c r="AA527">
        <v>0.93634740000000005</v>
      </c>
      <c r="AB527">
        <v>23</v>
      </c>
      <c r="AC527">
        <v>-6.6497999999999902</v>
      </c>
      <c r="AD527">
        <v>-1.1026834283</v>
      </c>
      <c r="AE527">
        <v>-18.119399999999899</v>
      </c>
      <c r="AF527">
        <v>6.7515218972249702</v>
      </c>
      <c r="AG527">
        <v>-1.1026834283</v>
      </c>
      <c r="AH527">
        <v>18.014701808109301</v>
      </c>
      <c r="AI527">
        <v>93.280436792843304</v>
      </c>
      <c r="AJ527">
        <v>69.4550848167775</v>
      </c>
      <c r="AK527">
        <v>19.2698842733124</v>
      </c>
    </row>
    <row r="528" spans="1:37" x14ac:dyDescent="0.2">
      <c r="A528" t="str">
        <f>"20200111150516755"</f>
        <v>20200111150516755</v>
      </c>
      <c r="B528" t="str">
        <f>"1578726316744555"</f>
        <v>1578726316744555</v>
      </c>
      <c r="C528" t="s">
        <v>37</v>
      </c>
      <c r="D528">
        <v>5.0055050000000003</v>
      </c>
      <c r="E528">
        <v>0.63095599999999996</v>
      </c>
      <c r="F528" t="s">
        <v>60</v>
      </c>
      <c r="G528">
        <v>-198.7038</v>
      </c>
      <c r="H528" s="1">
        <v>1.4103219999999901E-6</v>
      </c>
      <c r="I528">
        <v>292.2398</v>
      </c>
      <c r="J528">
        <v>-191.88980000000001</v>
      </c>
      <c r="K528">
        <v>1.102444</v>
      </c>
      <c r="L528">
        <v>309.28199999999998</v>
      </c>
      <c r="M528">
        <v>5.2118700000000004E-3</v>
      </c>
      <c r="N528">
        <v>0</v>
      </c>
      <c r="O528">
        <v>-0.99990000000000001</v>
      </c>
      <c r="P528">
        <v>-5.73153E-2</v>
      </c>
      <c r="Q528">
        <v>9.6306929999999999E-2</v>
      </c>
      <c r="R528">
        <v>-0.99370029999999998</v>
      </c>
      <c r="S528">
        <v>-1.1714169999999999</v>
      </c>
      <c r="T528">
        <v>-0.18956300000000001</v>
      </c>
      <c r="U528">
        <v>-2.971619</v>
      </c>
      <c r="V528">
        <v>6.2777059999999996E-2</v>
      </c>
      <c r="W528">
        <v>0.109192</v>
      </c>
      <c r="X528">
        <v>0.99203629999999998</v>
      </c>
      <c r="Y528">
        <v>0.37093690000000001</v>
      </c>
      <c r="Z528">
        <v>5.9182039999999998E-2</v>
      </c>
      <c r="AA528">
        <v>0.92677039999999999</v>
      </c>
      <c r="AB528">
        <v>23</v>
      </c>
      <c r="AC528">
        <v>-6.8139999999999903</v>
      </c>
      <c r="AD528">
        <v>-1.1024425896779999</v>
      </c>
      <c r="AE528">
        <v>-17.042199999999902</v>
      </c>
      <c r="AF528">
        <v>6.8779220592132697</v>
      </c>
      <c r="AG528">
        <v>-1.1024425896779999</v>
      </c>
      <c r="AH528">
        <v>16.945314913878999</v>
      </c>
      <c r="AI528">
        <v>93.449753697967907</v>
      </c>
      <c r="AJ528">
        <v>67.908292705834398</v>
      </c>
      <c r="AK528">
        <v>18.3211595988539</v>
      </c>
    </row>
    <row r="529" spans="1:37" x14ac:dyDescent="0.2">
      <c r="A529" t="str">
        <f>"20200111150516775"</f>
        <v>20200111150516775</v>
      </c>
      <c r="B529" t="str">
        <f>"1578726316765052"</f>
        <v>1578726316765052</v>
      </c>
      <c r="C529" t="s">
        <v>37</v>
      </c>
      <c r="D529">
        <v>5.0477749999999997</v>
      </c>
      <c r="E529">
        <v>0.63394930000000005</v>
      </c>
      <c r="F529" t="s">
        <v>60</v>
      </c>
      <c r="G529">
        <v>-198.79169999999999</v>
      </c>
      <c r="H529" s="1">
        <v>1.3439259999999901E-6</v>
      </c>
      <c r="I529">
        <v>292.57260000000002</v>
      </c>
      <c r="J529">
        <v>-191.8905</v>
      </c>
      <c r="K529">
        <v>1.102239</v>
      </c>
      <c r="L529">
        <v>309.06849999999997</v>
      </c>
      <c r="M529">
        <v>3.4645520000000001E-3</v>
      </c>
      <c r="N529">
        <v>0</v>
      </c>
      <c r="O529">
        <v>-0.99990759999999901</v>
      </c>
      <c r="P529">
        <v>-5.9837429999999997E-2</v>
      </c>
      <c r="Q529">
        <v>9.7418400000000002E-2</v>
      </c>
      <c r="R529">
        <v>-0.99344319999999897</v>
      </c>
      <c r="S529">
        <v>-1.2256769999999999</v>
      </c>
      <c r="T529">
        <v>-0.19577610000000001</v>
      </c>
      <c r="U529">
        <v>-2.9673159999999998</v>
      </c>
      <c r="V529">
        <v>6.3622239999999997E-2</v>
      </c>
      <c r="W529">
        <v>0.1102631</v>
      </c>
      <c r="X529">
        <v>0.99186399999999997</v>
      </c>
      <c r="Y529">
        <v>0.38426579999999999</v>
      </c>
      <c r="Z529">
        <v>6.0824530000000002E-2</v>
      </c>
      <c r="AA529">
        <v>0.9212167</v>
      </c>
      <c r="AB529">
        <v>23</v>
      </c>
      <c r="AC529">
        <v>-6.9011999999999798</v>
      </c>
      <c r="AD529">
        <v>-1.1022376560739999</v>
      </c>
      <c r="AE529">
        <v>-16.495899999999899</v>
      </c>
      <c r="AF529">
        <v>6.9319748414987696</v>
      </c>
      <c r="AG529">
        <v>-1.1022376560739999</v>
      </c>
      <c r="AH529">
        <v>16.409537674065401</v>
      </c>
      <c r="AI529">
        <v>93.540725485772597</v>
      </c>
      <c r="AJ529">
        <v>67.099067449114699</v>
      </c>
      <c r="AK529">
        <v>17.8476925603903</v>
      </c>
    </row>
    <row r="530" spans="1:37" x14ac:dyDescent="0.2">
      <c r="A530" t="str">
        <f>"20200111150516799"</f>
        <v>20200111150516799</v>
      </c>
      <c r="B530" t="str">
        <f>"1578726316795308"</f>
        <v>1578726316795308</v>
      </c>
      <c r="C530" t="s">
        <v>37</v>
      </c>
      <c r="D530">
        <v>5.050586</v>
      </c>
      <c r="E530">
        <v>0.63716319999999904</v>
      </c>
      <c r="F530" t="s">
        <v>60</v>
      </c>
      <c r="G530">
        <v>-198.9658</v>
      </c>
      <c r="H530" s="1">
        <v>1.3608789999999901E-6</v>
      </c>
      <c r="I530">
        <v>292.3886</v>
      </c>
      <c r="J530">
        <v>-191.8921</v>
      </c>
      <c r="K530">
        <v>1.102041</v>
      </c>
      <c r="L530">
        <v>308.83210000000003</v>
      </c>
      <c r="M530">
        <v>1.229738E-3</v>
      </c>
      <c r="N530">
        <v>0</v>
      </c>
      <c r="O530">
        <v>-0.99991299999999905</v>
      </c>
      <c r="P530">
        <v>-6.3023170000000003E-2</v>
      </c>
      <c r="Q530">
        <v>9.7748669999999996E-2</v>
      </c>
      <c r="R530">
        <v>-0.99321389999999998</v>
      </c>
      <c r="S530">
        <v>-1.2569889999999999</v>
      </c>
      <c r="T530">
        <v>-0.1958213</v>
      </c>
      <c r="U530">
        <v>-2.9633180000000001</v>
      </c>
      <c r="V530">
        <v>6.4642379999999999E-2</v>
      </c>
      <c r="W530">
        <v>0.11054939999999901</v>
      </c>
      <c r="X530">
        <v>0.99176620000000004</v>
      </c>
      <c r="Y530">
        <v>0.39091490000000001</v>
      </c>
      <c r="Z530">
        <v>6.0707469999999999E-2</v>
      </c>
      <c r="AA530">
        <v>0.91842259999999998</v>
      </c>
      <c r="AB530">
        <v>23</v>
      </c>
      <c r="AC530">
        <v>-7.0736999999999997</v>
      </c>
      <c r="AD530">
        <v>-1.1020396391209999</v>
      </c>
      <c r="AE530">
        <v>-16.4435</v>
      </c>
      <c r="AF530">
        <v>7.0671314623258503</v>
      </c>
      <c r="AG530">
        <v>-1.1020396391209999</v>
      </c>
      <c r="AH530">
        <v>16.372731424093001</v>
      </c>
      <c r="AI530">
        <v>93.536283271738895</v>
      </c>
      <c r="AJ530">
        <v>66.653023565550498</v>
      </c>
      <c r="AK530">
        <v>17.8668736145267</v>
      </c>
    </row>
    <row r="531" spans="1:37" x14ac:dyDescent="0.2">
      <c r="A531" t="str">
        <f>"20200111150516820"</f>
        <v>20200111150516820</v>
      </c>
      <c r="B531" t="str">
        <f>"1578726316814828"</f>
        <v>1578726316814828</v>
      </c>
      <c r="C531" t="s">
        <v>37</v>
      </c>
      <c r="D531">
        <v>5.0928089999999999</v>
      </c>
      <c r="E531">
        <v>0.63896699999999995</v>
      </c>
      <c r="F531" t="s">
        <v>60</v>
      </c>
      <c r="G531">
        <v>-198.8237</v>
      </c>
      <c r="H531" s="1">
        <v>1.2727070000000001E-6</v>
      </c>
      <c r="I531">
        <v>292.96089999999998</v>
      </c>
      <c r="J531">
        <v>-191.89429999999999</v>
      </c>
      <c r="K531">
        <v>1.1019000000000001</v>
      </c>
      <c r="L531">
        <v>308.61540000000002</v>
      </c>
      <c r="M531">
        <v>-1.045537E-3</v>
      </c>
      <c r="N531">
        <v>0</v>
      </c>
      <c r="O531">
        <v>-0.9999133</v>
      </c>
      <c r="P531">
        <v>-6.6184880000000001E-2</v>
      </c>
      <c r="Q531">
        <v>9.7403509999999999E-2</v>
      </c>
      <c r="R531">
        <v>-0.99304190000000003</v>
      </c>
      <c r="S531">
        <v>-1.2921910000000001</v>
      </c>
      <c r="T531">
        <v>-0.20544200000000001</v>
      </c>
      <c r="U531">
        <v>-2.95871</v>
      </c>
      <c r="V531">
        <v>6.5582219999999997E-2</v>
      </c>
      <c r="W531">
        <v>0.1101697</v>
      </c>
      <c r="X531">
        <v>0.99174669999999898</v>
      </c>
      <c r="Y531">
        <v>0.39846859999999901</v>
      </c>
      <c r="Z531">
        <v>6.3517669999999998E-2</v>
      </c>
      <c r="AA531">
        <v>0.91497989999999996</v>
      </c>
      <c r="AB531">
        <v>23</v>
      </c>
      <c r="AC531">
        <v>-6.92940000000001</v>
      </c>
      <c r="AD531">
        <v>-1.1018987272930001</v>
      </c>
      <c r="AE531">
        <v>-15.654500000000001</v>
      </c>
      <c r="AF531">
        <v>6.8845060954865502</v>
      </c>
      <c r="AG531">
        <v>-1.1018987272930001</v>
      </c>
      <c r="AH531">
        <v>15.597120770604</v>
      </c>
      <c r="AI531">
        <v>93.697967791550596</v>
      </c>
      <c r="AJ531">
        <v>66.183530439030903</v>
      </c>
      <c r="AK531">
        <v>17.084518761639401</v>
      </c>
    </row>
    <row r="532" spans="1:37" x14ac:dyDescent="0.2">
      <c r="A532" t="str">
        <f>"20200111150516843"</f>
        <v>20200111150516843</v>
      </c>
      <c r="B532" t="str">
        <f>"1578726316835323"</f>
        <v>1578726316835323</v>
      </c>
      <c r="C532" t="s">
        <v>37</v>
      </c>
      <c r="D532">
        <v>5.1085709999999898</v>
      </c>
      <c r="E532">
        <v>0.63977799999999996</v>
      </c>
      <c r="F532" t="s">
        <v>60</v>
      </c>
      <c r="G532">
        <v>-198.82749999999999</v>
      </c>
      <c r="H532" s="1">
        <v>1.2561689999999999E-6</v>
      </c>
      <c r="I532">
        <v>293.05290000000002</v>
      </c>
      <c r="J532">
        <v>-191.89750000000001</v>
      </c>
      <c r="K532">
        <v>1.1017840000000001</v>
      </c>
      <c r="L532">
        <v>308.38310000000001</v>
      </c>
      <c r="M532">
        <v>-3.6940379999999902E-3</v>
      </c>
      <c r="N532">
        <v>0</v>
      </c>
      <c r="O532">
        <v>-0.9999074</v>
      </c>
      <c r="P532">
        <v>-6.9717189999999998E-2</v>
      </c>
      <c r="Q532">
        <v>9.7538819999999998E-2</v>
      </c>
      <c r="R532">
        <v>-0.99278709999999903</v>
      </c>
      <c r="S532">
        <v>-1.3159479999999999</v>
      </c>
      <c r="T532">
        <v>-0.20914650000000001</v>
      </c>
      <c r="U532">
        <v>-2.9538570000000002</v>
      </c>
      <c r="V532">
        <v>6.651783E-2</v>
      </c>
      <c r="W532">
        <v>0.1102716</v>
      </c>
      <c r="X532">
        <v>0.99167309999999997</v>
      </c>
      <c r="Y532">
        <v>0.40271790000000002</v>
      </c>
      <c r="Z532">
        <v>6.4591499999999996E-2</v>
      </c>
      <c r="AA532">
        <v>0.91304229999999997</v>
      </c>
      <c r="AB532">
        <v>23</v>
      </c>
      <c r="AC532">
        <v>-6.9299999999999704</v>
      </c>
      <c r="AD532">
        <v>-1.1017827438309999</v>
      </c>
      <c r="AE532">
        <v>-15.3301999999999</v>
      </c>
      <c r="AF532">
        <v>6.8439645446301602</v>
      </c>
      <c r="AG532">
        <v>-1.1017827438309999</v>
      </c>
      <c r="AH532">
        <v>15.2901197258618</v>
      </c>
      <c r="AI532">
        <v>93.762949174454207</v>
      </c>
      <c r="AJ532">
        <v>65.886376756555293</v>
      </c>
      <c r="AK532">
        <v>16.788136797570701</v>
      </c>
    </row>
    <row r="533" spans="1:37" x14ac:dyDescent="0.2">
      <c r="A533" t="str">
        <f>"20200111150516865"</f>
        <v>20200111150516865</v>
      </c>
      <c r="B533" t="str">
        <f>"1578726316854843"</f>
        <v>1578726316854843</v>
      </c>
      <c r="C533" t="s">
        <v>37</v>
      </c>
      <c r="D533">
        <v>5.0781689999999999</v>
      </c>
      <c r="E533">
        <v>0.64087459999999996</v>
      </c>
      <c r="F533" t="s">
        <v>60</v>
      </c>
      <c r="G533">
        <v>-198.6806</v>
      </c>
      <c r="H533" s="1">
        <v>1.212006E-6</v>
      </c>
      <c r="I533">
        <v>293.37759999999997</v>
      </c>
      <c r="J533">
        <v>-191.9014</v>
      </c>
      <c r="K533">
        <v>1.1017139999999901</v>
      </c>
      <c r="L533">
        <v>308.15370000000001</v>
      </c>
      <c r="M533">
        <v>-6.4703340000000003E-3</v>
      </c>
      <c r="N533">
        <v>0</v>
      </c>
      <c r="O533">
        <v>-0.99989340000000004</v>
      </c>
      <c r="P533">
        <v>-7.4637750000000003E-2</v>
      </c>
      <c r="Q533">
        <v>9.9348060000000002E-2</v>
      </c>
      <c r="R533">
        <v>-0.99224979999999996</v>
      </c>
      <c r="S533">
        <v>-1.3332820000000001</v>
      </c>
      <c r="T533">
        <v>-0.216564799999999</v>
      </c>
      <c r="U533">
        <v>-2.9494630000000002</v>
      </c>
      <c r="V533">
        <v>6.8716369999999999E-2</v>
      </c>
      <c r="W533">
        <v>0.11203730000000001</v>
      </c>
      <c r="X533">
        <v>0.99132520000000002</v>
      </c>
      <c r="Y533">
        <v>0.405086</v>
      </c>
      <c r="Z533">
        <v>6.684764E-2</v>
      </c>
      <c r="AA533">
        <v>0.91183150000000002</v>
      </c>
      <c r="AB533">
        <v>23</v>
      </c>
      <c r="AC533">
        <v>-6.7792000000000003</v>
      </c>
      <c r="AD533">
        <v>-1.1017127879940001</v>
      </c>
      <c r="AE533">
        <v>-14.7761</v>
      </c>
      <c r="AF533">
        <v>6.6528897731684902</v>
      </c>
      <c r="AG533">
        <v>-1.1017127879940001</v>
      </c>
      <c r="AH533">
        <v>14.751909046540201</v>
      </c>
      <c r="AI533">
        <v>93.894667936763298</v>
      </c>
      <c r="AJ533">
        <v>65.725339244406499</v>
      </c>
      <c r="AK533">
        <v>16.220158258123</v>
      </c>
    </row>
    <row r="534" spans="1:37" x14ac:dyDescent="0.2">
      <c r="A534" t="str">
        <f>"20200111150516888"</f>
        <v>20200111150516888</v>
      </c>
      <c r="B534" t="str">
        <f>"1578726316885101"</f>
        <v>1578726316885101</v>
      </c>
      <c r="C534" t="s">
        <v>37</v>
      </c>
      <c r="D534">
        <v>5.1090349999999898</v>
      </c>
      <c r="E534">
        <v>0.64252540000000002</v>
      </c>
      <c r="F534" t="s">
        <v>60</v>
      </c>
      <c r="G534">
        <v>-198.84729999999999</v>
      </c>
      <c r="H534" s="1">
        <v>1.249236E-6</v>
      </c>
      <c r="I534">
        <v>293.08229999999998</v>
      </c>
      <c r="J534">
        <v>-191.90620000000001</v>
      </c>
      <c r="K534">
        <v>1.1016680000000001</v>
      </c>
      <c r="L534">
        <v>307.91879999999998</v>
      </c>
      <c r="M534">
        <v>-9.4173799999999995E-3</v>
      </c>
      <c r="N534">
        <v>0</v>
      </c>
      <c r="O534">
        <v>-0.99987019999999904</v>
      </c>
      <c r="P534">
        <v>-8.1225430000000001E-2</v>
      </c>
      <c r="Q534">
        <v>0.1015583</v>
      </c>
      <c r="R534">
        <v>-0.99150819999999995</v>
      </c>
      <c r="S534">
        <v>-1.3563229999999999</v>
      </c>
      <c r="T534">
        <v>-0.21513179999999901</v>
      </c>
      <c r="U534">
        <v>-2.942993</v>
      </c>
      <c r="V534">
        <v>7.2411859999999995E-2</v>
      </c>
      <c r="W534">
        <v>0.114195399999999</v>
      </c>
      <c r="X534">
        <v>0.99081580000000002</v>
      </c>
      <c r="Y534">
        <v>0.40905979999999997</v>
      </c>
      <c r="Z534">
        <v>6.6373390000000004E-2</v>
      </c>
      <c r="AA534">
        <v>0.91009039999999997</v>
      </c>
      <c r="AB534">
        <v>23</v>
      </c>
      <c r="AC534">
        <v>-6.9410999999999703</v>
      </c>
      <c r="AD534">
        <v>-1.1016667507639999</v>
      </c>
      <c r="AE534">
        <v>-14.836499999999999</v>
      </c>
      <c r="AF534">
        <v>6.7704328964872902</v>
      </c>
      <c r="AG534">
        <v>-1.1016667507639999</v>
      </c>
      <c r="AH534">
        <v>14.834111772511701</v>
      </c>
      <c r="AI534">
        <v>93.8651173767866</v>
      </c>
      <c r="AJ534">
        <v>65.467582728430102</v>
      </c>
      <c r="AK534">
        <v>16.343295362776399</v>
      </c>
    </row>
    <row r="535" spans="1:37" x14ac:dyDescent="0.2">
      <c r="A535" t="str">
        <f>"20200111150516910"</f>
        <v>20200111150516910</v>
      </c>
      <c r="B535" t="str">
        <f>"1578726316904620"</f>
        <v>1578726316904620</v>
      </c>
      <c r="C535" t="s">
        <v>37</v>
      </c>
      <c r="D535">
        <v>5.1203609999999999</v>
      </c>
      <c r="E535">
        <v>0.64375309999999997</v>
      </c>
      <c r="F535" t="s">
        <v>60</v>
      </c>
      <c r="G535">
        <v>-199.21510000000001</v>
      </c>
      <c r="H535" s="1">
        <v>1.322974E-6</v>
      </c>
      <c r="I535">
        <v>292.47829999999999</v>
      </c>
      <c r="J535">
        <v>-191.91159999999999</v>
      </c>
      <c r="K535">
        <v>1.1016619999999999</v>
      </c>
      <c r="L535">
        <v>307.6934</v>
      </c>
      <c r="M535">
        <v>-1.229706E-2</v>
      </c>
      <c r="N535">
        <v>0</v>
      </c>
      <c r="O535">
        <v>-0.99983919999999904</v>
      </c>
      <c r="P535">
        <v>-8.8476990000000005E-2</v>
      </c>
      <c r="Q535">
        <v>0.103194699999999</v>
      </c>
      <c r="R535">
        <v>-0.9907184</v>
      </c>
      <c r="S535">
        <v>-1.38855</v>
      </c>
      <c r="T535">
        <v>-0.20929400000000001</v>
      </c>
      <c r="U535">
        <v>-2.9333800000000001</v>
      </c>
      <c r="V535">
        <v>7.6830889999999999E-2</v>
      </c>
      <c r="W535">
        <v>0.1157831</v>
      </c>
      <c r="X535">
        <v>0.99029859999999903</v>
      </c>
      <c r="Y535">
        <v>0.41580980000000001</v>
      </c>
      <c r="Z535">
        <v>6.4522930000000006E-2</v>
      </c>
      <c r="AA535">
        <v>0.90715990000000002</v>
      </c>
      <c r="AB535">
        <v>23</v>
      </c>
      <c r="AC535">
        <v>-7.3035000000000103</v>
      </c>
      <c r="AD535">
        <v>-1.101660677026</v>
      </c>
      <c r="AE535">
        <v>-15.2151</v>
      </c>
      <c r="AF535">
        <v>7.0856400363660299</v>
      </c>
      <c r="AG535">
        <v>-1.101660677026</v>
      </c>
      <c r="AH535">
        <v>15.238838502975501</v>
      </c>
      <c r="AI535">
        <v>93.7505528973048</v>
      </c>
      <c r="AJ535">
        <v>65.062870341552198</v>
      </c>
      <c r="AK535">
        <v>16.841678951102999</v>
      </c>
    </row>
    <row r="536" spans="1:37" x14ac:dyDescent="0.2">
      <c r="A536" t="str">
        <f>"20200111150516932"</f>
        <v>20200111150516932</v>
      </c>
      <c r="B536" t="str">
        <f>"1578726316925115"</f>
        <v>1578726316925115</v>
      </c>
      <c r="C536" t="s">
        <v>37</v>
      </c>
      <c r="D536">
        <v>5.1219289999999997</v>
      </c>
      <c r="E536">
        <v>0.64480700000000002</v>
      </c>
      <c r="F536" t="s">
        <v>60</v>
      </c>
      <c r="G536">
        <v>-199.51140000000001</v>
      </c>
      <c r="H536" s="1">
        <v>1.3736619999999899E-6</v>
      </c>
      <c r="I536">
        <v>292.04129999999998</v>
      </c>
      <c r="J536">
        <v>-191.9179</v>
      </c>
      <c r="K536">
        <v>1.10168</v>
      </c>
      <c r="L536">
        <v>307.46089999999998</v>
      </c>
      <c r="M536">
        <v>-1.528201E-2</v>
      </c>
      <c r="N536">
        <v>0</v>
      </c>
      <c r="O536">
        <v>-0.99979819999999997</v>
      </c>
      <c r="P536">
        <v>-9.4781989999999997E-2</v>
      </c>
      <c r="Q536">
        <v>0.105645</v>
      </c>
      <c r="R536">
        <v>-0.98987669999999905</v>
      </c>
      <c r="S536">
        <v>-1.4191739999999999</v>
      </c>
      <c r="T536">
        <v>-0.20572070000000001</v>
      </c>
      <c r="U536">
        <v>-2.9228209999999999</v>
      </c>
      <c r="V536">
        <v>8.0199569999999998E-2</v>
      </c>
      <c r="W536">
        <v>0.11819449999999999</v>
      </c>
      <c r="X536">
        <v>0.98974649999999997</v>
      </c>
      <c r="Y536">
        <v>0.42210730000000002</v>
      </c>
      <c r="Z536">
        <v>6.3395530000000005E-2</v>
      </c>
      <c r="AA536">
        <v>0.90432649999999903</v>
      </c>
      <c r="AB536">
        <v>23</v>
      </c>
      <c r="AC536">
        <v>-7.5934999999999997</v>
      </c>
      <c r="AD536">
        <v>-1.1016786263380001</v>
      </c>
      <c r="AE536">
        <v>-15.419600000000001</v>
      </c>
      <c r="AF536">
        <v>7.3268496924006001</v>
      </c>
      <c r="AG536">
        <v>-1.1016786263380001</v>
      </c>
      <c r="AH536">
        <v>15.4702962338155</v>
      </c>
      <c r="AI536">
        <v>93.682440220047596</v>
      </c>
      <c r="AJ536">
        <v>64.657409759885795</v>
      </c>
      <c r="AK536">
        <v>17.1530314455715</v>
      </c>
    </row>
    <row r="537" spans="1:37" x14ac:dyDescent="0.2">
      <c r="A537" t="str">
        <f>"20200111150516955"</f>
        <v>20200111150516955</v>
      </c>
      <c r="B537" t="str">
        <f>"1578726316944636"</f>
        <v>1578726316944636</v>
      </c>
      <c r="C537" t="s">
        <v>37</v>
      </c>
      <c r="D537">
        <v>5.1929230000000004</v>
      </c>
      <c r="E537">
        <v>0.64566020000000002</v>
      </c>
      <c r="F537" t="s">
        <v>60</v>
      </c>
      <c r="G537">
        <v>-199.9606</v>
      </c>
      <c r="H537" s="1">
        <v>1.4726019999999999E-6</v>
      </c>
      <c r="I537">
        <v>291.26260000000002</v>
      </c>
      <c r="J537">
        <v>-191.92500000000001</v>
      </c>
      <c r="K537">
        <v>1.1017170000000001</v>
      </c>
      <c r="L537">
        <v>307.2276</v>
      </c>
      <c r="M537">
        <v>-1.827989E-2</v>
      </c>
      <c r="N537">
        <v>0</v>
      </c>
      <c r="O537">
        <v>-0.99974810000000003</v>
      </c>
      <c r="P537">
        <v>-9.9378179999999997E-2</v>
      </c>
      <c r="Q537">
        <v>0.108949</v>
      </c>
      <c r="R537">
        <v>-0.98906759999999905</v>
      </c>
      <c r="S537">
        <v>-1.4465330000000001</v>
      </c>
      <c r="T537">
        <v>-0.19814319999999999</v>
      </c>
      <c r="U537">
        <v>-2.9133610000000001</v>
      </c>
      <c r="V537">
        <v>8.1847939999999994E-2</v>
      </c>
      <c r="W537">
        <v>0.1214662</v>
      </c>
      <c r="X537">
        <v>0.98921530000000002</v>
      </c>
      <c r="Y537">
        <v>0.42743989999999998</v>
      </c>
      <c r="Z537">
        <v>6.1043310000000003E-2</v>
      </c>
      <c r="AA537">
        <v>0.90198049999999996</v>
      </c>
      <c r="AB537">
        <v>23</v>
      </c>
      <c r="AC537">
        <v>-8.0355999999999792</v>
      </c>
      <c r="AD537">
        <v>-1.1017155273979999</v>
      </c>
      <c r="AE537">
        <v>-15.9649999999999</v>
      </c>
      <c r="AF537">
        <v>7.71308757027903</v>
      </c>
      <c r="AG537">
        <v>-1.1017155273979999</v>
      </c>
      <c r="AH537">
        <v>16.048257973374302</v>
      </c>
      <c r="AI537">
        <v>93.540649378886798</v>
      </c>
      <c r="AJ537">
        <v>64.330205669343997</v>
      </c>
      <c r="AK537">
        <v>17.8396210988371</v>
      </c>
    </row>
    <row r="538" spans="1:37" x14ac:dyDescent="0.2">
      <c r="A538" t="str">
        <f>"20200111150516977"</f>
        <v>20200111150516977</v>
      </c>
      <c r="B538" t="str">
        <f>"1578726316974892"</f>
        <v>1578726316974892</v>
      </c>
      <c r="C538" t="s">
        <v>37</v>
      </c>
      <c r="D538">
        <v>5.1904059999999896</v>
      </c>
      <c r="E538">
        <v>0.64605679999999999</v>
      </c>
      <c r="F538" t="s">
        <v>60</v>
      </c>
      <c r="G538">
        <v>-200.49250000000001</v>
      </c>
      <c r="H538" s="1">
        <v>1.908307E-6</v>
      </c>
      <c r="I538">
        <v>290.26029999999997</v>
      </c>
      <c r="J538">
        <v>-191.93260000000001</v>
      </c>
      <c r="K538">
        <v>1.1017600000000001</v>
      </c>
      <c r="L538">
        <v>306.9982</v>
      </c>
      <c r="M538">
        <v>-2.121866E-2</v>
      </c>
      <c r="N538">
        <v>0</v>
      </c>
      <c r="O538">
        <v>-0.99969050000000004</v>
      </c>
      <c r="P538">
        <v>-0.1044725</v>
      </c>
      <c r="Q538">
        <v>0.113653</v>
      </c>
      <c r="R538">
        <v>-0.98801269999999997</v>
      </c>
      <c r="S538">
        <v>-1.4675750000000001</v>
      </c>
      <c r="T538">
        <v>-0.18871959999999999</v>
      </c>
      <c r="U538">
        <v>-2.9064329999999998</v>
      </c>
      <c r="V538">
        <v>8.4065619999999994E-2</v>
      </c>
      <c r="W538">
        <v>0.12612979999999999</v>
      </c>
      <c r="X538">
        <v>0.98844539999999903</v>
      </c>
      <c r="Y538">
        <v>0.43093329999999902</v>
      </c>
      <c r="Z538">
        <v>5.8129979999999998E-2</v>
      </c>
      <c r="AA538">
        <v>0.90050949999999996</v>
      </c>
      <c r="AB538">
        <v>23</v>
      </c>
      <c r="AC538">
        <v>-8.5598999999999901</v>
      </c>
      <c r="AD538">
        <v>-1.1017580916930001</v>
      </c>
      <c r="AE538">
        <v>-16.7379</v>
      </c>
      <c r="AF538">
        <v>8.1747102569011698</v>
      </c>
      <c r="AG538">
        <v>-1.1017580916930001</v>
      </c>
      <c r="AH538">
        <v>16.8578766494267</v>
      </c>
      <c r="AI538">
        <v>93.365478754962297</v>
      </c>
      <c r="AJ538">
        <v>64.130356742738002</v>
      </c>
      <c r="AK538">
        <v>18.767731983491799</v>
      </c>
    </row>
    <row r="539" spans="1:37" x14ac:dyDescent="0.2">
      <c r="A539" t="str">
        <f>"20200111150516999"</f>
        <v>20200111150516999</v>
      </c>
      <c r="B539" t="str">
        <f>"1578726316995387"</f>
        <v>1578726316995387</v>
      </c>
      <c r="C539" t="s">
        <v>37</v>
      </c>
      <c r="D539">
        <v>5.2008049999999999</v>
      </c>
      <c r="E539">
        <v>0.64632239999999996</v>
      </c>
      <c r="F539" t="s">
        <v>60</v>
      </c>
      <c r="G539">
        <v>-200.95769999999999</v>
      </c>
      <c r="H539" s="1">
        <v>2.2261970000000001E-6</v>
      </c>
      <c r="I539">
        <v>289.36919999999998</v>
      </c>
      <c r="J539">
        <v>-191.94040000000001</v>
      </c>
      <c r="K539">
        <v>1.1017969999999999</v>
      </c>
      <c r="L539">
        <v>306.78109999999998</v>
      </c>
      <c r="M539">
        <v>-2.3997499999999901E-2</v>
      </c>
      <c r="N539">
        <v>0</v>
      </c>
      <c r="O539">
        <v>-0.99962779999999996</v>
      </c>
      <c r="P539">
        <v>-0.1101333</v>
      </c>
      <c r="Q539">
        <v>0.1189423</v>
      </c>
      <c r="R539">
        <v>-0.98677429999999999</v>
      </c>
      <c r="S539">
        <v>-1.484772</v>
      </c>
      <c r="T539">
        <v>-0.18125579999999999</v>
      </c>
      <c r="U539">
        <v>-2.9002379999999999</v>
      </c>
      <c r="V539">
        <v>8.7020899999999998E-2</v>
      </c>
      <c r="W539">
        <v>0.1313753</v>
      </c>
      <c r="X539">
        <v>0.98750590000000005</v>
      </c>
      <c r="Y539">
        <v>0.43349840000000001</v>
      </c>
      <c r="Z539">
        <v>5.583287E-2</v>
      </c>
      <c r="AA539">
        <v>0.89942310000000003</v>
      </c>
      <c r="AB539">
        <v>23</v>
      </c>
      <c r="AC539">
        <v>-9.0172999999999703</v>
      </c>
      <c r="AD539">
        <v>-1.1017947738029901</v>
      </c>
      <c r="AE539">
        <v>-17.411899999999999</v>
      </c>
      <c r="AF539">
        <v>8.5697678496610692</v>
      </c>
      <c r="AG539">
        <v>-1.1017947738029901</v>
      </c>
      <c r="AH539">
        <v>17.567828175487399</v>
      </c>
      <c r="AI539">
        <v>93.226211395800604</v>
      </c>
      <c r="AJ539">
        <v>63.996402378515398</v>
      </c>
      <c r="AK539">
        <v>19.577626503846499</v>
      </c>
    </row>
    <row r="540" spans="1:37" x14ac:dyDescent="0.2">
      <c r="A540" t="str">
        <f>"20200111150517021"</f>
        <v>20200111150517021</v>
      </c>
      <c r="B540" t="str">
        <f>"1578726317014907"</f>
        <v>1578726317014907</v>
      </c>
      <c r="C540" t="s">
        <v>37</v>
      </c>
      <c r="D540">
        <v>5.1838670000000002</v>
      </c>
      <c r="E540">
        <v>0.64656499999999995</v>
      </c>
      <c r="F540" t="s">
        <v>60</v>
      </c>
      <c r="G540">
        <v>-201.64709999999999</v>
      </c>
      <c r="H540" s="1">
        <v>2.6437659999999999E-6</v>
      </c>
      <c r="I540">
        <v>288.08949999999999</v>
      </c>
      <c r="J540">
        <v>-191.94919999999999</v>
      </c>
      <c r="K540">
        <v>1.1018059999999901</v>
      </c>
      <c r="L540">
        <v>306.55549999999999</v>
      </c>
      <c r="M540">
        <v>-2.6901020000000001E-2</v>
      </c>
      <c r="N540">
        <v>0</v>
      </c>
      <c r="O540">
        <v>-0.99955430000000001</v>
      </c>
      <c r="P540">
        <v>-0.1162448</v>
      </c>
      <c r="Q540">
        <v>0.1199533</v>
      </c>
      <c r="R540">
        <v>-0.98595080000000002</v>
      </c>
      <c r="S540">
        <v>-1.5023959999999901</v>
      </c>
      <c r="T540">
        <v>-0.17053599999999999</v>
      </c>
      <c r="U540">
        <v>-2.893097</v>
      </c>
      <c r="V540">
        <v>9.0282299999999996E-2</v>
      </c>
      <c r="W540">
        <v>0.13234760000000001</v>
      </c>
      <c r="X540">
        <v>0.98708320000000005</v>
      </c>
      <c r="Y540">
        <v>0.43618839999999998</v>
      </c>
      <c r="Z540">
        <v>5.254528E-2</v>
      </c>
      <c r="AA540">
        <v>0.89831989999999995</v>
      </c>
      <c r="AB540">
        <v>23</v>
      </c>
      <c r="AC540">
        <v>-9.6979000000000006</v>
      </c>
      <c r="AD540">
        <v>-1.1018033562339999</v>
      </c>
      <c r="AE540">
        <v>-18.466000000000001</v>
      </c>
      <c r="AF540">
        <v>9.1719997650771798</v>
      </c>
      <c r="AG540">
        <v>-1.1018033562339999</v>
      </c>
      <c r="AH540">
        <v>18.668128572398199</v>
      </c>
      <c r="AI540">
        <v>93.032252691586606</v>
      </c>
      <c r="AJ540">
        <v>63.834252660721901</v>
      </c>
      <c r="AK540">
        <v>20.828791965017398</v>
      </c>
    </row>
    <row r="541" spans="1:37" x14ac:dyDescent="0.2">
      <c r="A541" t="str">
        <f>"20200111150517045"</f>
        <v>20200111150517045</v>
      </c>
      <c r="B541" t="str">
        <f>"1578726317035403"</f>
        <v>1578726317035403</v>
      </c>
      <c r="C541" t="s">
        <v>37</v>
      </c>
      <c r="D541">
        <v>5.1775190000000002</v>
      </c>
      <c r="E541">
        <v>0.64677649999999998</v>
      </c>
      <c r="F541" t="s">
        <v>60</v>
      </c>
      <c r="G541">
        <v>-201.72139999999999</v>
      </c>
      <c r="H541" s="1">
        <v>2.68211599999999E-6</v>
      </c>
      <c r="I541">
        <v>288.02780000000001</v>
      </c>
      <c r="J541">
        <v>-191.95959999999999</v>
      </c>
      <c r="K541">
        <v>1.101791</v>
      </c>
      <c r="L541">
        <v>306.31009999999998</v>
      </c>
      <c r="M541">
        <v>-3.0101329999999999E-2</v>
      </c>
      <c r="N541">
        <v>0</v>
      </c>
      <c r="O541">
        <v>-0.99946299999999899</v>
      </c>
      <c r="P541">
        <v>-0.12195549999999999</v>
      </c>
      <c r="Q541">
        <v>0.1189046</v>
      </c>
      <c r="R541">
        <v>-0.98538740000000002</v>
      </c>
      <c r="S541">
        <v>-1.521255</v>
      </c>
      <c r="T541">
        <v>-0.1715206</v>
      </c>
      <c r="U541">
        <v>-2.8842469999999998</v>
      </c>
      <c r="V541">
        <v>9.2842179999999996E-2</v>
      </c>
      <c r="W541">
        <v>0.1312632</v>
      </c>
      <c r="X541">
        <v>0.98699049999999999</v>
      </c>
      <c r="Y541">
        <v>0.439032799999999</v>
      </c>
      <c r="Z541">
        <v>5.2869670000000001E-2</v>
      </c>
      <c r="AA541">
        <v>0.89691409999999905</v>
      </c>
      <c r="AB541">
        <v>23</v>
      </c>
      <c r="AC541">
        <v>-9.7617999999999903</v>
      </c>
      <c r="AD541">
        <v>-1.101788317884</v>
      </c>
      <c r="AE541">
        <v>-18.2822999999999</v>
      </c>
      <c r="AF541">
        <v>9.1810608527576907</v>
      </c>
      <c r="AG541">
        <v>-1.101788317884</v>
      </c>
      <c r="AH541">
        <v>18.515553809412499</v>
      </c>
      <c r="AI541">
        <v>93.051659801904705</v>
      </c>
      <c r="AJ541">
        <v>63.625179664353801</v>
      </c>
      <c r="AK541">
        <v>20.6961723211978</v>
      </c>
    </row>
    <row r="542" spans="1:37" x14ac:dyDescent="0.2">
      <c r="A542" t="str">
        <f>"20200111150517067"</f>
        <v>20200111150517067</v>
      </c>
      <c r="B542" t="str">
        <f>"1578726317064683"</f>
        <v>1578726317064683</v>
      </c>
      <c r="C542" t="s">
        <v>37</v>
      </c>
      <c r="D542">
        <v>5.1687839999999996</v>
      </c>
      <c r="E542">
        <v>0.64714850000000002</v>
      </c>
      <c r="F542" t="s">
        <v>60</v>
      </c>
      <c r="G542">
        <v>-201.54769999999999</v>
      </c>
      <c r="H542" s="1">
        <v>2.5718410000000002E-6</v>
      </c>
      <c r="I542">
        <v>288.40800000000002</v>
      </c>
      <c r="J542">
        <v>-191.97</v>
      </c>
      <c r="K542">
        <v>1.101756</v>
      </c>
      <c r="L542">
        <v>306.08339999999998</v>
      </c>
      <c r="M542">
        <v>-3.3131550000000003E-2</v>
      </c>
      <c r="N542">
        <v>0</v>
      </c>
      <c r="O542">
        <v>-0.99936749999999996</v>
      </c>
      <c r="P542">
        <v>-0.1266668</v>
      </c>
      <c r="Q542">
        <v>0.1183221</v>
      </c>
      <c r="R542">
        <v>-0.98486340000000006</v>
      </c>
      <c r="S542">
        <v>-1.539963</v>
      </c>
      <c r="T542">
        <v>-0.17696120000000001</v>
      </c>
      <c r="U542">
        <v>-2.875305</v>
      </c>
      <c r="V542">
        <v>9.4580200000000003E-2</v>
      </c>
      <c r="W542">
        <v>0.13064769999999901</v>
      </c>
      <c r="X542">
        <v>0.98690719999999998</v>
      </c>
      <c r="Y542">
        <v>0.44196160000000001</v>
      </c>
      <c r="Z542">
        <v>5.4563019999999997E-2</v>
      </c>
      <c r="AA542">
        <v>0.89537299999999997</v>
      </c>
      <c r="AB542">
        <v>23</v>
      </c>
      <c r="AC542">
        <v>-9.5776999999999894</v>
      </c>
      <c r="AD542">
        <v>-1.101753428159</v>
      </c>
      <c r="AE542">
        <v>-17.6753999999999</v>
      </c>
      <c r="AF542">
        <v>8.9598679486368997</v>
      </c>
      <c r="AG542">
        <v>-1.101753428159</v>
      </c>
      <c r="AH542">
        <v>17.9291952223913</v>
      </c>
      <c r="AI542">
        <v>93.146300633387099</v>
      </c>
      <c r="AJ542">
        <v>63.447041648873999</v>
      </c>
      <c r="AK542">
        <v>20.073592991691498</v>
      </c>
    </row>
    <row r="543" spans="1:37" x14ac:dyDescent="0.2">
      <c r="A543" t="str">
        <f>"20200111150517091"</f>
        <v>20200111150517091</v>
      </c>
      <c r="B543" t="str">
        <f>"1578726317085180"</f>
        <v>1578726317085180</v>
      </c>
      <c r="C543" t="s">
        <v>37</v>
      </c>
      <c r="D543">
        <v>5.1980199999999996</v>
      </c>
      <c r="E543">
        <v>0.647482</v>
      </c>
      <c r="F543" t="s">
        <v>60</v>
      </c>
      <c r="G543">
        <v>-201.43960000000001</v>
      </c>
      <c r="H543" s="1">
        <v>2.5033249999999999E-6</v>
      </c>
      <c r="I543">
        <v>288.64359999999999</v>
      </c>
      <c r="J543">
        <v>-191.98159999999999</v>
      </c>
      <c r="K543">
        <v>1.1016999999999999</v>
      </c>
      <c r="L543">
        <v>305.8458</v>
      </c>
      <c r="M543">
        <v>-3.6430339999999999E-2</v>
      </c>
      <c r="N543">
        <v>0</v>
      </c>
      <c r="O543">
        <v>-0.99925299999999995</v>
      </c>
      <c r="P543">
        <v>-0.13166810000000001</v>
      </c>
      <c r="Q543">
        <v>0.11991540000000001</v>
      </c>
      <c r="R543">
        <v>-0.98401450000000001</v>
      </c>
      <c r="S543">
        <v>-1.5570979999999901</v>
      </c>
      <c r="T543">
        <v>-0.1811614</v>
      </c>
      <c r="U543">
        <v>-2.8676149999999998</v>
      </c>
      <c r="V543">
        <v>9.637532E-2</v>
      </c>
      <c r="W543">
        <v>0.1321987</v>
      </c>
      <c r="X543">
        <v>0.98652689999999998</v>
      </c>
      <c r="Y543">
        <v>0.44410739999999999</v>
      </c>
      <c r="Z543">
        <v>5.5869729999999999E-2</v>
      </c>
      <c r="AA543">
        <v>0.89422990000000002</v>
      </c>
      <c r="AB543">
        <v>23</v>
      </c>
      <c r="AC543">
        <v>-9.4580000000000197</v>
      </c>
      <c r="AD543">
        <v>-1.1016974966749999</v>
      </c>
      <c r="AE543">
        <v>-17.202200000000001</v>
      </c>
      <c r="AF543">
        <v>8.7972791824705503</v>
      </c>
      <c r="AG543">
        <v>-1.1016974966749999</v>
      </c>
      <c r="AH543">
        <v>17.480311017213101</v>
      </c>
      <c r="AI543">
        <v>93.222210012758396</v>
      </c>
      <c r="AJ543">
        <v>63.285355817100601</v>
      </c>
      <c r="AK543">
        <v>19.6001819289264</v>
      </c>
    </row>
    <row r="544" spans="1:37" x14ac:dyDescent="0.2">
      <c r="A544" t="str">
        <f>"20200111150517114"</f>
        <v>20200111150517114</v>
      </c>
      <c r="B544" t="str">
        <f>"1578726317104699"</f>
        <v>1578726317104699</v>
      </c>
      <c r="C544" t="s">
        <v>37</v>
      </c>
      <c r="D544">
        <v>5.1918699999999998</v>
      </c>
      <c r="E544">
        <v>0.64761159999999995</v>
      </c>
      <c r="F544" t="s">
        <v>60</v>
      </c>
      <c r="G544">
        <v>-201.67930000000001</v>
      </c>
      <c r="H544" s="1">
        <v>2.64583199999999E-6</v>
      </c>
      <c r="I544">
        <v>288.2294</v>
      </c>
      <c r="J544">
        <v>-191.9939</v>
      </c>
      <c r="K544">
        <v>1.1016139999999901</v>
      </c>
      <c r="L544">
        <v>305.61590000000001</v>
      </c>
      <c r="M544">
        <v>-3.9817110000000003E-2</v>
      </c>
      <c r="N544">
        <v>0</v>
      </c>
      <c r="O544">
        <v>-0.999123599999999</v>
      </c>
      <c r="P544">
        <v>-0.13471839999999999</v>
      </c>
      <c r="Q544">
        <v>0.1216125</v>
      </c>
      <c r="R544">
        <v>-0.98339279999999996</v>
      </c>
      <c r="S544">
        <v>-1.5743259999999999</v>
      </c>
      <c r="T544">
        <v>-0.17885019999999999</v>
      </c>
      <c r="U544">
        <v>-2.8598629999999998</v>
      </c>
      <c r="V544">
        <v>9.6140760000000006E-2</v>
      </c>
      <c r="W544">
        <v>0.13386129999999999</v>
      </c>
      <c r="X544">
        <v>0.98632559999999903</v>
      </c>
      <c r="Y544">
        <v>0.44624940000000002</v>
      </c>
      <c r="Z544">
        <v>5.5173590000000002E-2</v>
      </c>
      <c r="AA544">
        <v>0.89320619999999995</v>
      </c>
      <c r="AB544">
        <v>23</v>
      </c>
      <c r="AC544">
        <v>-9.6854000000000102</v>
      </c>
      <c r="AD544">
        <v>-1.1016113541679999</v>
      </c>
      <c r="AE544">
        <v>-17.386500000000002</v>
      </c>
      <c r="AF544">
        <v>8.9579352077921008</v>
      </c>
      <c r="AG544">
        <v>-1.1016113541679999</v>
      </c>
      <c r="AH544">
        <v>17.704145439410699</v>
      </c>
      <c r="AI544">
        <v>93.177846774422207</v>
      </c>
      <c r="AJ544">
        <v>63.161523369970901</v>
      </c>
      <c r="AK544">
        <v>19.871963076214701</v>
      </c>
    </row>
    <row r="545" spans="1:37" x14ac:dyDescent="0.2">
      <c r="A545" t="str">
        <f>"20200111150517135"</f>
        <v>20200111150517135</v>
      </c>
      <c r="B545" t="str">
        <f>"1578726317125196"</f>
        <v>1578726317125196</v>
      </c>
      <c r="C545" t="s">
        <v>37</v>
      </c>
      <c r="D545">
        <v>5.2272619999999996</v>
      </c>
      <c r="E545">
        <v>0.64764080000000002</v>
      </c>
      <c r="F545" t="s">
        <v>60</v>
      </c>
      <c r="G545">
        <v>-201.95660000000001</v>
      </c>
      <c r="H545" s="1">
        <v>2.8181169999999898E-6</v>
      </c>
      <c r="I545">
        <v>287.66539999999998</v>
      </c>
      <c r="J545">
        <v>-192.0069</v>
      </c>
      <c r="K545">
        <v>1.101502</v>
      </c>
      <c r="L545">
        <v>305.3922</v>
      </c>
      <c r="M545">
        <v>-4.3351580000000001E-2</v>
      </c>
      <c r="N545">
        <v>0</v>
      </c>
      <c r="O545">
        <v>-0.99897669999999905</v>
      </c>
      <c r="P545">
        <v>-0.1367003</v>
      </c>
      <c r="Q545">
        <v>0.123946</v>
      </c>
      <c r="R545">
        <v>-0.98282780000000003</v>
      </c>
      <c r="S545">
        <v>-1.584686</v>
      </c>
      <c r="T545">
        <v>-0.17522379999999901</v>
      </c>
      <c r="U545">
        <v>-2.8552249999999999</v>
      </c>
      <c r="V545">
        <v>9.4707970000000002E-2</v>
      </c>
      <c r="W545">
        <v>0.1361646</v>
      </c>
      <c r="X545">
        <v>0.98614889999999999</v>
      </c>
      <c r="Y545">
        <v>0.446208299999999</v>
      </c>
      <c r="Z545">
        <v>5.407911E-2</v>
      </c>
      <c r="AA545">
        <v>0.89329369999999997</v>
      </c>
      <c r="AB545">
        <v>23</v>
      </c>
      <c r="AC545">
        <v>-9.9497</v>
      </c>
      <c r="AD545">
        <v>-1.101499181883</v>
      </c>
      <c r="AE545">
        <v>-17.726800000000001</v>
      </c>
      <c r="AF545">
        <v>9.1449454240349599</v>
      </c>
      <c r="AG545">
        <v>-1.101499181883</v>
      </c>
      <c r="AH545">
        <v>18.088393683265501</v>
      </c>
      <c r="AI545">
        <v>93.110670557150996</v>
      </c>
      <c r="AJ545">
        <v>63.180217585822398</v>
      </c>
      <c r="AK545">
        <v>20.298603727770701</v>
      </c>
    </row>
    <row r="546" spans="1:37" x14ac:dyDescent="0.2">
      <c r="A546" t="str">
        <f>"20200111150517158"</f>
        <v>20200111150517158</v>
      </c>
      <c r="B546" t="str">
        <f>"1578726317154476"</f>
        <v>1578726317154476</v>
      </c>
      <c r="C546" t="s">
        <v>37</v>
      </c>
      <c r="D546">
        <v>5.1891920000000002</v>
      </c>
      <c r="E546">
        <v>0.64753289999999997</v>
      </c>
      <c r="F546" t="s">
        <v>60</v>
      </c>
      <c r="G546">
        <v>-202.5421</v>
      </c>
      <c r="H546" s="1">
        <v>3.1777129999999998E-6</v>
      </c>
      <c r="I546">
        <v>286.5222</v>
      </c>
      <c r="J546">
        <v>-192.02119999999999</v>
      </c>
      <c r="K546">
        <v>1.1013790000000001</v>
      </c>
      <c r="L546">
        <v>305.16379999999998</v>
      </c>
      <c r="M546">
        <v>-4.7186560000000002E-2</v>
      </c>
      <c r="N546">
        <v>0</v>
      </c>
      <c r="O546">
        <v>-0.99880279999999999</v>
      </c>
      <c r="P546">
        <v>-0.140787</v>
      </c>
      <c r="Q546">
        <v>0.12677089999999999</v>
      </c>
      <c r="R546">
        <v>-0.98188999999999904</v>
      </c>
      <c r="S546">
        <v>-1.5922700000000001</v>
      </c>
      <c r="T546">
        <v>-0.16647699999999899</v>
      </c>
      <c r="U546">
        <v>-2.8519589999999999</v>
      </c>
      <c r="V546">
        <v>9.5109230000000003E-2</v>
      </c>
      <c r="W546">
        <v>0.1389465</v>
      </c>
      <c r="X546">
        <v>0.98572209999999905</v>
      </c>
      <c r="Y546">
        <v>0.44508890000000001</v>
      </c>
      <c r="Z546">
        <v>5.1409199999999898E-2</v>
      </c>
      <c r="AA546">
        <v>0.89400949999999901</v>
      </c>
      <c r="AB546">
        <v>23</v>
      </c>
      <c r="AC546">
        <v>-10.520899999999999</v>
      </c>
      <c r="AD546">
        <v>-1.101375822287</v>
      </c>
      <c r="AE546">
        <v>-18.641599999999901</v>
      </c>
      <c r="AF546">
        <v>9.6040469611194208</v>
      </c>
      <c r="AG546">
        <v>-1.101375822287</v>
      </c>
      <c r="AH546">
        <v>19.066840643042202</v>
      </c>
      <c r="AI546">
        <v>92.953212427310305</v>
      </c>
      <c r="AJ546">
        <v>63.265414297129098</v>
      </c>
      <c r="AK546">
        <v>21.377445096186602</v>
      </c>
    </row>
    <row r="547" spans="1:37" x14ac:dyDescent="0.2">
      <c r="A547" t="str">
        <f>"20200111150517180"</f>
        <v>20200111150517180</v>
      </c>
      <c r="B547" t="str">
        <f>"1578726317174973"</f>
        <v>1578726317174973</v>
      </c>
      <c r="C547" t="s">
        <v>37</v>
      </c>
      <c r="D547">
        <v>5.1748089999999998</v>
      </c>
      <c r="E547">
        <v>0.6480321</v>
      </c>
      <c r="F547" t="s">
        <v>60</v>
      </c>
      <c r="G547">
        <v>-202.82919999999999</v>
      </c>
      <c r="H547" s="1">
        <v>3.3533289999999999E-6</v>
      </c>
      <c r="I547">
        <v>285.96940000000001</v>
      </c>
      <c r="J547">
        <v>-192.0367</v>
      </c>
      <c r="K547">
        <v>1.1012439999999999</v>
      </c>
      <c r="L547">
        <v>304.93419999999998</v>
      </c>
      <c r="M547">
        <v>-5.1310710000000002E-2</v>
      </c>
      <c r="N547">
        <v>0</v>
      </c>
      <c r="O547">
        <v>-0.99859929999999997</v>
      </c>
      <c r="P547">
        <v>-0.1468226</v>
      </c>
      <c r="Q547">
        <v>0.1295529</v>
      </c>
      <c r="R547">
        <v>-0.98064219999999902</v>
      </c>
      <c r="S547">
        <v>-1.602859</v>
      </c>
      <c r="T547">
        <v>-0.1633375</v>
      </c>
      <c r="U547">
        <v>-2.8465880000000001</v>
      </c>
      <c r="V547">
        <v>9.7197560000000002E-2</v>
      </c>
      <c r="W547">
        <v>0.14167060000000001</v>
      </c>
      <c r="X547">
        <v>0.98513050000000002</v>
      </c>
      <c r="Y547">
        <v>0.44466260000000002</v>
      </c>
      <c r="Z547">
        <v>5.0472110000000001E-2</v>
      </c>
      <c r="AA547">
        <v>0.89427500000000004</v>
      </c>
      <c r="AB547">
        <v>23</v>
      </c>
      <c r="AC547">
        <v>-10.792499999999899</v>
      </c>
      <c r="AD547">
        <v>-1.1012406466710001</v>
      </c>
      <c r="AE547">
        <v>-18.964799999999901</v>
      </c>
      <c r="AF547">
        <v>9.7801925213587406</v>
      </c>
      <c r="AG547">
        <v>-1.1012406466710001</v>
      </c>
      <c r="AH547">
        <v>19.444107145994298</v>
      </c>
      <c r="AI547">
        <v>92.896485192601403</v>
      </c>
      <c r="AJ547">
        <v>63.298058784955302</v>
      </c>
      <c r="AK547">
        <v>21.79307686908</v>
      </c>
    </row>
    <row r="548" spans="1:37" x14ac:dyDescent="0.2">
      <c r="A548" t="str">
        <f>"20200111150517203"</f>
        <v>20200111150517203</v>
      </c>
      <c r="B548" t="str">
        <f>"1578726317194491"</f>
        <v>1578726317194491</v>
      </c>
      <c r="C548" t="s">
        <v>37</v>
      </c>
      <c r="D548">
        <v>5.2077220000000004</v>
      </c>
      <c r="E548">
        <v>0.64827760000000001</v>
      </c>
      <c r="F548" t="s">
        <v>60</v>
      </c>
      <c r="G548">
        <v>-203.41929999999999</v>
      </c>
      <c r="H548" s="1">
        <v>3.6960549999999999E-6</v>
      </c>
      <c r="I548">
        <v>285.04230000000001</v>
      </c>
      <c r="J548">
        <v>-192.0532</v>
      </c>
      <c r="K548">
        <v>1.101094</v>
      </c>
      <c r="L548">
        <v>304.70909999999998</v>
      </c>
      <c r="M548">
        <v>-5.5674960000000003E-2</v>
      </c>
      <c r="N548">
        <v>0</v>
      </c>
      <c r="O548">
        <v>-0.99836559999999896</v>
      </c>
      <c r="P548">
        <v>-0.15248329999999999</v>
      </c>
      <c r="Q548">
        <v>0.13343540000000001</v>
      </c>
      <c r="R548">
        <v>-0.97925680000000004</v>
      </c>
      <c r="S548">
        <v>-1.623337</v>
      </c>
      <c r="T548">
        <v>-0.1570551</v>
      </c>
      <c r="U548">
        <v>-2.8369140000000002</v>
      </c>
      <c r="V548">
        <v>9.8704139999999996E-2</v>
      </c>
      <c r="W548">
        <v>0.14549339999999999</v>
      </c>
      <c r="X548">
        <v>0.9844233</v>
      </c>
      <c r="Y548">
        <v>0.44697539999999902</v>
      </c>
      <c r="Z548">
        <v>4.8551839999999999E-2</v>
      </c>
      <c r="AA548">
        <v>0.89322769999999996</v>
      </c>
      <c r="AB548">
        <v>23</v>
      </c>
      <c r="AC548">
        <v>-11.3660999999999</v>
      </c>
      <c r="AD548">
        <v>-1.101090303945</v>
      </c>
      <c r="AE548">
        <v>-19.666799999999899</v>
      </c>
      <c r="AF548">
        <v>10.2293917627747</v>
      </c>
      <c r="AG548">
        <v>-1.101090303945</v>
      </c>
      <c r="AH548">
        <v>20.221634842058201</v>
      </c>
      <c r="AI548">
        <v>92.781702560929901</v>
      </c>
      <c r="AJ548">
        <v>63.1668058224666</v>
      </c>
      <c r="AK548">
        <v>22.688485435993901</v>
      </c>
    </row>
    <row r="549" spans="1:37" x14ac:dyDescent="0.2">
      <c r="A549" t="str">
        <f>"20200111150517223"</f>
        <v>20200111150517223</v>
      </c>
      <c r="B549" t="str">
        <f>"1578726317214988"</f>
        <v>1578726317214988</v>
      </c>
      <c r="C549" t="s">
        <v>37</v>
      </c>
      <c r="D549">
        <v>5.1911389999999997</v>
      </c>
      <c r="E549">
        <v>0.64842529999999998</v>
      </c>
      <c r="F549" t="s">
        <v>60</v>
      </c>
      <c r="G549">
        <v>-204.44319999999999</v>
      </c>
      <c r="H549" s="1">
        <v>4.2958819999999997E-6</v>
      </c>
      <c r="I549">
        <v>283.37479999999999</v>
      </c>
      <c r="J549">
        <v>-192.0702</v>
      </c>
      <c r="K549">
        <v>1.100922</v>
      </c>
      <c r="L549">
        <v>304.49459999999999</v>
      </c>
      <c r="M549">
        <v>-6.0162819999999999E-2</v>
      </c>
      <c r="N549">
        <v>0</v>
      </c>
      <c r="O549">
        <v>-0.99810519999999903</v>
      </c>
      <c r="P549">
        <v>-0.158248</v>
      </c>
      <c r="Q549">
        <v>0.13858879999999901</v>
      </c>
      <c r="R549">
        <v>-0.97762499999999997</v>
      </c>
      <c r="S549">
        <v>-1.6422270000000001</v>
      </c>
      <c r="T549">
        <v>-0.1459442</v>
      </c>
      <c r="U549">
        <v>-2.8277589999999999</v>
      </c>
      <c r="V549">
        <v>0.100233</v>
      </c>
      <c r="W549">
        <v>0.1505775</v>
      </c>
      <c r="X549">
        <v>0.98350380000000004</v>
      </c>
      <c r="Y549">
        <v>0.44875490000000001</v>
      </c>
      <c r="Z549">
        <v>4.5141830000000001E-2</v>
      </c>
      <c r="AA549">
        <v>0.89251399999999903</v>
      </c>
      <c r="AB549">
        <v>23</v>
      </c>
      <c r="AC549">
        <v>-12.3729999999999</v>
      </c>
      <c r="AD549">
        <v>-1.1009177041180001</v>
      </c>
      <c r="AE549">
        <v>-21.119800000000001</v>
      </c>
      <c r="AF549">
        <v>11.057482394332</v>
      </c>
      <c r="AG549">
        <v>-1.1009177041180001</v>
      </c>
      <c r="AH549">
        <v>21.7819296735946</v>
      </c>
      <c r="AI549">
        <v>92.580466797147196</v>
      </c>
      <c r="AJ549">
        <v>63.085611559024997</v>
      </c>
      <c r="AK549">
        <v>24.452656236033398</v>
      </c>
    </row>
    <row r="550" spans="1:37" x14ac:dyDescent="0.2">
      <c r="A550" t="str">
        <f>"20200111150517247"</f>
        <v>20200111150517247</v>
      </c>
      <c r="B550" t="str">
        <f>"1578726317234508"</f>
        <v>1578726317234508</v>
      </c>
      <c r="C550" t="s">
        <v>37</v>
      </c>
      <c r="D550">
        <v>5.1785610000000002</v>
      </c>
      <c r="E550">
        <v>0.64865430000000002</v>
      </c>
      <c r="F550" t="s">
        <v>60</v>
      </c>
      <c r="G550">
        <v>-206.1901</v>
      </c>
      <c r="H550" s="1">
        <v>5.317187E-6</v>
      </c>
      <c r="I550">
        <v>280.5539</v>
      </c>
      <c r="J550">
        <v>-192.08959999999999</v>
      </c>
      <c r="K550">
        <v>1.1007069999999901</v>
      </c>
      <c r="L550">
        <v>304.26690000000002</v>
      </c>
      <c r="M550">
        <v>-6.5296980000000004E-2</v>
      </c>
      <c r="N550">
        <v>0</v>
      </c>
      <c r="O550">
        <v>-0.99778219999999995</v>
      </c>
      <c r="P550">
        <v>-0.165186</v>
      </c>
      <c r="Q550">
        <v>0.14241909999999999</v>
      </c>
      <c r="R550">
        <v>-0.9759253</v>
      </c>
      <c r="S550">
        <v>-1.6620029999999999</v>
      </c>
      <c r="T550">
        <v>-0.12958459999999999</v>
      </c>
      <c r="U550">
        <v>-2.8179630000000002</v>
      </c>
      <c r="V550">
        <v>0.1023173</v>
      </c>
      <c r="W550">
        <v>0.15432789999999999</v>
      </c>
      <c r="X550">
        <v>0.98270749999999996</v>
      </c>
      <c r="Y550">
        <v>0.45027429999999902</v>
      </c>
      <c r="Z550">
        <v>4.0108949999999997E-2</v>
      </c>
      <c r="AA550">
        <v>0.89198899999999903</v>
      </c>
      <c r="AB550">
        <v>23</v>
      </c>
      <c r="AC550">
        <v>-14.1005</v>
      </c>
      <c r="AD550">
        <v>-1.1007016828129901</v>
      </c>
      <c r="AE550">
        <v>-23.713000000000001</v>
      </c>
      <c r="AF550">
        <v>12.5019858777568</v>
      </c>
      <c r="AG550">
        <v>-1.1007016828129901</v>
      </c>
      <c r="AH550">
        <v>24.544113412704501</v>
      </c>
      <c r="AI550">
        <v>92.288349997291505</v>
      </c>
      <c r="AJ550">
        <v>63.007162467477499</v>
      </c>
      <c r="AK550">
        <v>27.566731730436999</v>
      </c>
    </row>
    <row r="551" spans="1:37" x14ac:dyDescent="0.2">
      <c r="A551" t="str">
        <f>"20200111150517268"</f>
        <v>20200111150517268</v>
      </c>
      <c r="B551" t="str">
        <f>"1578726317264763"</f>
        <v>1578726317264763</v>
      </c>
      <c r="C551" t="s">
        <v>37</v>
      </c>
      <c r="D551">
        <v>5.1998110000000004</v>
      </c>
      <c r="E551">
        <v>0.64902890000000002</v>
      </c>
      <c r="F551" t="s">
        <v>60</v>
      </c>
      <c r="G551">
        <v>-206.90029999999999</v>
      </c>
      <c r="H551">
        <v>6.0653520000000002E-2</v>
      </c>
      <c r="I551">
        <v>279.60570000000001</v>
      </c>
      <c r="J551">
        <v>-192.11019999999999</v>
      </c>
      <c r="K551">
        <v>1.1004659999999999</v>
      </c>
      <c r="L551">
        <v>304.04450000000003</v>
      </c>
      <c r="M551">
        <v>-7.0689429999999998E-2</v>
      </c>
      <c r="N551">
        <v>0</v>
      </c>
      <c r="O551">
        <v>-0.99741460000000004</v>
      </c>
      <c r="P551">
        <v>-0.17259179999999999</v>
      </c>
      <c r="Q551">
        <v>0.14569370000000001</v>
      </c>
      <c r="R551">
        <v>-0.97415910000000006</v>
      </c>
      <c r="S551">
        <v>-1.6852259999999999</v>
      </c>
      <c r="T551">
        <v>-0.118341899999999</v>
      </c>
      <c r="U551">
        <v>-2.8060610000000001</v>
      </c>
      <c r="V551">
        <v>0.10463019999999899</v>
      </c>
      <c r="W551">
        <v>0.1575175</v>
      </c>
      <c r="X551">
        <v>0.98195759999999899</v>
      </c>
      <c r="Y551">
        <v>0.45261469999999998</v>
      </c>
      <c r="Z551">
        <v>3.6652049999999999E-2</v>
      </c>
      <c r="AA551">
        <v>0.89095259999999998</v>
      </c>
      <c r="AB551">
        <v>23</v>
      </c>
      <c r="AC551">
        <v>-14.790099999999899</v>
      </c>
      <c r="AD551">
        <v>-1.0398124799999999</v>
      </c>
      <c r="AE551">
        <v>-24.438800000000001</v>
      </c>
      <c r="AF551">
        <v>13.008149366601099</v>
      </c>
      <c r="AG551">
        <v>-1.0398124799999999</v>
      </c>
      <c r="AH551">
        <v>25.389602670731499</v>
      </c>
      <c r="AI551">
        <v>92.087444300442598</v>
      </c>
      <c r="AJ551">
        <v>62.8720491020267</v>
      </c>
      <c r="AK551">
        <v>28.5468927155827</v>
      </c>
    </row>
    <row r="552" spans="1:37" x14ac:dyDescent="0.2">
      <c r="A552" t="str">
        <f>"20200111150517291"</f>
        <v>20200111150517291</v>
      </c>
      <c r="B552" t="str">
        <f>"1578726317285260"</f>
        <v>1578726317285260</v>
      </c>
      <c r="C552" t="s">
        <v>37</v>
      </c>
      <c r="D552">
        <v>5.1773769999999999</v>
      </c>
      <c r="E552">
        <v>0.6492848</v>
      </c>
      <c r="F552" t="s">
        <v>60</v>
      </c>
      <c r="G552">
        <v>-208.2296</v>
      </c>
      <c r="H552">
        <v>8.0000639999999998E-2</v>
      </c>
      <c r="I552">
        <v>277.73250000000002</v>
      </c>
      <c r="J552">
        <v>-192.1336</v>
      </c>
      <c r="K552">
        <v>1.100201</v>
      </c>
      <c r="L552">
        <v>303.81020000000001</v>
      </c>
      <c r="M552">
        <v>-7.6773090000000002E-2</v>
      </c>
      <c r="N552">
        <v>0</v>
      </c>
      <c r="O552">
        <v>-0.99696479999999998</v>
      </c>
      <c r="P552">
        <v>-0.1808737</v>
      </c>
      <c r="Q552">
        <v>0.14885770000000001</v>
      </c>
      <c r="R552">
        <v>-0.97217589999999998</v>
      </c>
      <c r="S552">
        <v>-1.710861</v>
      </c>
      <c r="T552">
        <v>-0.10830869999999999</v>
      </c>
      <c r="U552">
        <v>-2.7926639999999998</v>
      </c>
      <c r="V552">
        <v>0.10716920000000001</v>
      </c>
      <c r="W552">
        <v>0.16058639999999999</v>
      </c>
      <c r="X552">
        <v>0.98118639999999901</v>
      </c>
      <c r="Y552">
        <v>0.45508539999999997</v>
      </c>
      <c r="Z552">
        <v>3.3566289999999999E-2</v>
      </c>
      <c r="AA552">
        <v>0.88981489999999996</v>
      </c>
      <c r="AB552">
        <v>23</v>
      </c>
      <c r="AC552">
        <v>-16.096</v>
      </c>
      <c r="AD552">
        <v>-1.02020036</v>
      </c>
      <c r="AE552">
        <v>-26.0777</v>
      </c>
      <c r="AF552">
        <v>14.030703452056899</v>
      </c>
      <c r="AG552">
        <v>-1.02020036</v>
      </c>
      <c r="AH552">
        <v>27.206411960642001</v>
      </c>
      <c r="AI552">
        <v>91.908825038092203</v>
      </c>
      <c r="AJ552">
        <v>62.719248511714198</v>
      </c>
      <c r="AK552">
        <v>30.628259824976499</v>
      </c>
    </row>
    <row r="553" spans="1:37" x14ac:dyDescent="0.2">
      <c r="A553" t="str">
        <f>"20200111150517315"</f>
        <v>20200111150517315</v>
      </c>
      <c r="B553" t="str">
        <f>"1578726317304780"</f>
        <v>1578726317304780</v>
      </c>
      <c r="C553" t="s">
        <v>37</v>
      </c>
      <c r="D553">
        <v>5.2053279999999997</v>
      </c>
      <c r="E553">
        <v>0.66188440000000004</v>
      </c>
      <c r="F553" t="s">
        <v>63</v>
      </c>
      <c r="G553">
        <v>-210.19560000000001</v>
      </c>
      <c r="H553">
        <v>8.0001409999999995E-2</v>
      </c>
      <c r="I553">
        <v>274.94009999999997</v>
      </c>
      <c r="J553">
        <v>-192.15899999999999</v>
      </c>
      <c r="K553">
        <v>1.0999369999999999</v>
      </c>
      <c r="L553">
        <v>303.57670000000002</v>
      </c>
      <c r="M553">
        <v>-8.3273570000000005E-2</v>
      </c>
      <c r="N553">
        <v>0</v>
      </c>
      <c r="O553">
        <v>-0.99644270000000001</v>
      </c>
      <c r="P553">
        <v>-0.18959909999999999</v>
      </c>
      <c r="Q553">
        <v>0.15073159999999999</v>
      </c>
      <c r="R553">
        <v>-0.97022280000000005</v>
      </c>
      <c r="S553">
        <v>-1.73776199999999</v>
      </c>
      <c r="T553">
        <v>-9.8154539999999998E-2</v>
      </c>
      <c r="U553">
        <v>-2.7776179999999999</v>
      </c>
      <c r="V553">
        <v>0.109732</v>
      </c>
      <c r="W553">
        <v>0.16236900000000001</v>
      </c>
      <c r="X553">
        <v>0.98060959999999997</v>
      </c>
      <c r="Y553">
        <v>0.4576942</v>
      </c>
      <c r="Z553">
        <v>3.044475E-2</v>
      </c>
      <c r="AA553">
        <v>0.88858819999999905</v>
      </c>
      <c r="AB553">
        <v>23</v>
      </c>
      <c r="AC553">
        <v>-18.0366</v>
      </c>
      <c r="AD553">
        <v>-1.01993559</v>
      </c>
      <c r="AE553">
        <v>-28.636600000000001</v>
      </c>
      <c r="AF553">
        <v>15.574926107923</v>
      </c>
      <c r="AG553">
        <v>-1.01993559</v>
      </c>
      <c r="AH553">
        <v>30.011960443027998</v>
      </c>
      <c r="AI553">
        <v>91.727763725383397</v>
      </c>
      <c r="AJ553">
        <v>62.572614595788998</v>
      </c>
      <c r="AK553">
        <v>33.828041053375898</v>
      </c>
    </row>
    <row r="554" spans="1:37" x14ac:dyDescent="0.2">
      <c r="A554" t="str">
        <f>"20200111150517336"</f>
        <v>20200111150517336</v>
      </c>
      <c r="B554" t="str">
        <f>"1578726317325276"</f>
        <v>1578726317325276</v>
      </c>
      <c r="C554" t="s">
        <v>37</v>
      </c>
      <c r="D554">
        <v>5.1855539999999998</v>
      </c>
      <c r="E554">
        <v>0.65813859999999902</v>
      </c>
      <c r="F554" t="s">
        <v>60</v>
      </c>
      <c r="G554">
        <v>-201.738</v>
      </c>
      <c r="H554" s="1">
        <v>2.5680050000000002E-6</v>
      </c>
      <c r="I554">
        <v>289.41730000000001</v>
      </c>
      <c r="J554">
        <v>-192.18559999999999</v>
      </c>
      <c r="K554">
        <v>1.0997059999999901</v>
      </c>
      <c r="L554">
        <v>303.35019999999997</v>
      </c>
      <c r="M554">
        <v>-8.9952630000000006E-2</v>
      </c>
      <c r="N554">
        <v>0</v>
      </c>
      <c r="O554">
        <v>-0.99586189999999997</v>
      </c>
      <c r="P554">
        <v>-0.1977756</v>
      </c>
      <c r="Q554">
        <v>0.15111930000000001</v>
      </c>
      <c r="R554">
        <v>-0.96852890000000003</v>
      </c>
      <c r="S554">
        <v>-1.8674470000000001</v>
      </c>
      <c r="T554">
        <v>-0.21443490000000001</v>
      </c>
      <c r="U554">
        <v>-2.7604060000000001</v>
      </c>
      <c r="V554">
        <v>0.1115299</v>
      </c>
      <c r="W554">
        <v>0.16268650000000001</v>
      </c>
      <c r="X554">
        <v>0.98035409999999901</v>
      </c>
      <c r="Y554">
        <v>0.48235459999999902</v>
      </c>
      <c r="Z554">
        <v>6.5436419999999995E-2</v>
      </c>
      <c r="AA554">
        <v>0.87352849999999904</v>
      </c>
      <c r="AB554">
        <v>23</v>
      </c>
      <c r="AC554">
        <v>-9.5524000000000004</v>
      </c>
      <c r="AD554">
        <v>-1.0997034319949901</v>
      </c>
      <c r="AE554">
        <v>-13.932899999999901</v>
      </c>
      <c r="AF554">
        <v>8.2254051368752101</v>
      </c>
      <c r="AG554">
        <v>-1.0997034319949901</v>
      </c>
      <c r="AH554">
        <v>14.6735596090122</v>
      </c>
      <c r="AI554">
        <v>93.740330481294706</v>
      </c>
      <c r="AJ554">
        <v>60.726769922091201</v>
      </c>
      <c r="AK554">
        <v>16.8576388887444</v>
      </c>
    </row>
    <row r="555" spans="1:37" x14ac:dyDescent="0.2">
      <c r="A555" t="str">
        <f>"20200111150517359"</f>
        <v>20200111150517359</v>
      </c>
      <c r="B555" t="str">
        <f>"1578726317355533"</f>
        <v>1578726317355533</v>
      </c>
      <c r="C555" t="s">
        <v>37</v>
      </c>
      <c r="D555">
        <v>5.2198099999999998</v>
      </c>
      <c r="E555">
        <v>0.65771069999999998</v>
      </c>
      <c r="F555" t="s">
        <v>60</v>
      </c>
      <c r="G555">
        <v>-202.7509</v>
      </c>
      <c r="H555" s="1">
        <v>3.16266799999999E-6</v>
      </c>
      <c r="I555">
        <v>287.75310000000002</v>
      </c>
      <c r="J555">
        <v>-192.21369999999999</v>
      </c>
      <c r="K555">
        <v>1.099513</v>
      </c>
      <c r="L555">
        <v>303.12630000000001</v>
      </c>
      <c r="M555">
        <v>-9.6837199999999998E-2</v>
      </c>
      <c r="N555">
        <v>0</v>
      </c>
      <c r="O555">
        <v>-0.99521589999999904</v>
      </c>
      <c r="P555">
        <v>-0.20613770000000001</v>
      </c>
      <c r="Q555">
        <v>0.1492851</v>
      </c>
      <c r="R555">
        <v>-0.96706859999999994</v>
      </c>
      <c r="S555">
        <v>-1.8612519999999999</v>
      </c>
      <c r="T555">
        <v>-0.1937305</v>
      </c>
      <c r="U555">
        <v>-2.747681</v>
      </c>
      <c r="V555">
        <v>0.113249</v>
      </c>
      <c r="W555">
        <v>0.1607982</v>
      </c>
      <c r="X555">
        <v>0.98046860000000002</v>
      </c>
      <c r="Y555">
        <v>0.47702749999999899</v>
      </c>
      <c r="Z555">
        <v>5.9436610000000001E-2</v>
      </c>
      <c r="AA555">
        <v>0.87687630000000005</v>
      </c>
      <c r="AB555">
        <v>23</v>
      </c>
      <c r="AC555">
        <v>-10.5372</v>
      </c>
      <c r="AD555">
        <v>-1.099509837332</v>
      </c>
      <c r="AE555">
        <v>-15.373199999999899</v>
      </c>
      <c r="AF555">
        <v>8.9676371970260202</v>
      </c>
      <c r="AG555">
        <v>-1.099509837332</v>
      </c>
      <c r="AH555">
        <v>16.264810638280899</v>
      </c>
      <c r="AI555">
        <v>93.387889189716404</v>
      </c>
      <c r="AJ555">
        <v>61.129763401986402</v>
      </c>
      <c r="AK555">
        <v>18.605684719434802</v>
      </c>
    </row>
    <row r="556" spans="1:37" x14ac:dyDescent="0.2">
      <c r="A556" t="str">
        <f>"20200111150517381"</f>
        <v>20200111150517381</v>
      </c>
      <c r="B556" t="str">
        <f>"1578726317375051"</f>
        <v>1578726317375051</v>
      </c>
      <c r="C556" t="s">
        <v>37</v>
      </c>
      <c r="D556">
        <v>5.1414839999999904</v>
      </c>
      <c r="E556">
        <v>0.65813489999999997</v>
      </c>
      <c r="F556" t="s">
        <v>60</v>
      </c>
      <c r="G556">
        <v>-203.62559999999999</v>
      </c>
      <c r="H556" s="1">
        <v>3.6549840000000001E-6</v>
      </c>
      <c r="I556">
        <v>286.55869999999999</v>
      </c>
      <c r="J556">
        <v>-192.2448</v>
      </c>
      <c r="K556">
        <v>1.099353</v>
      </c>
      <c r="L556">
        <v>302.89429999999999</v>
      </c>
      <c r="M556">
        <v>-0.1042255</v>
      </c>
      <c r="N556">
        <v>0</v>
      </c>
      <c r="O556">
        <v>-0.99446919999999905</v>
      </c>
      <c r="P556">
        <v>-0.215607299999999</v>
      </c>
      <c r="Q556">
        <v>0.14639440000000001</v>
      </c>
      <c r="R556">
        <v>-0.96544399999999997</v>
      </c>
      <c r="S556">
        <v>-1.8800049999999999</v>
      </c>
      <c r="T556">
        <v>-0.1811343</v>
      </c>
      <c r="U556">
        <v>-2.7293699999999999</v>
      </c>
      <c r="V556">
        <v>0.11556130000000001</v>
      </c>
      <c r="W556">
        <v>0.15785460000000001</v>
      </c>
      <c r="X556">
        <v>0.98067709999999997</v>
      </c>
      <c r="Y556">
        <v>0.47745029999999999</v>
      </c>
      <c r="Z556">
        <v>5.5722939999999999E-2</v>
      </c>
      <c r="AA556">
        <v>0.87689010000000001</v>
      </c>
      <c r="AB556">
        <v>22</v>
      </c>
      <c r="AC556">
        <v>-11.380799999999899</v>
      </c>
      <c r="AD556">
        <v>-1.0993493450159999</v>
      </c>
      <c r="AE556">
        <v>-16.335599999999999</v>
      </c>
      <c r="AF556">
        <v>9.5868461861363397</v>
      </c>
      <c r="AG556">
        <v>-1.0993493450159999</v>
      </c>
      <c r="AH556">
        <v>17.3798932234928</v>
      </c>
      <c r="AI556">
        <v>93.1701820864252</v>
      </c>
      <c r="AJ556">
        <v>61.118625890607703</v>
      </c>
      <c r="AK556">
        <v>19.879056246186199</v>
      </c>
    </row>
    <row r="557" spans="1:37" x14ac:dyDescent="0.2">
      <c r="A557" t="str">
        <f>"20200111150517403"</f>
        <v>20200111150517403</v>
      </c>
      <c r="B557" t="str">
        <f>"1578726317394572"</f>
        <v>1578726317394572</v>
      </c>
      <c r="C557" t="s">
        <v>37</v>
      </c>
      <c r="D557">
        <v>5.1985080000000004</v>
      </c>
      <c r="E557">
        <v>0.65778359999999902</v>
      </c>
      <c r="F557" t="s">
        <v>60</v>
      </c>
      <c r="G557">
        <v>-202.9547</v>
      </c>
      <c r="H557" s="1">
        <v>3.260058E-6</v>
      </c>
      <c r="I557">
        <v>287.67309999999998</v>
      </c>
      <c r="J557">
        <v>-192.27520000000001</v>
      </c>
      <c r="K557">
        <v>1.099226</v>
      </c>
      <c r="L557">
        <v>302.68060000000003</v>
      </c>
      <c r="M557">
        <v>-0.11123669999999999</v>
      </c>
      <c r="N557">
        <v>0</v>
      </c>
      <c r="O557">
        <v>-0.99370930000000002</v>
      </c>
      <c r="P557">
        <v>-0.224518</v>
      </c>
      <c r="Q557">
        <v>0.14331240000000001</v>
      </c>
      <c r="R557">
        <v>-0.96387449999999997</v>
      </c>
      <c r="S557">
        <v>-1.907516</v>
      </c>
      <c r="T557">
        <v>-0.19580259999999999</v>
      </c>
      <c r="U557">
        <v>-2.7110289999999999</v>
      </c>
      <c r="V557">
        <v>0.1176644</v>
      </c>
      <c r="W557">
        <v>0.15473020000000001</v>
      </c>
      <c r="X557">
        <v>0.98092489999999999</v>
      </c>
      <c r="Y557">
        <v>0.47984890000000002</v>
      </c>
      <c r="Z557">
        <v>6.0278579999999998E-2</v>
      </c>
      <c r="AA557">
        <v>0.87527790000000005</v>
      </c>
      <c r="AB557">
        <v>22</v>
      </c>
      <c r="AC557">
        <v>-10.6794999999999</v>
      </c>
      <c r="AD557">
        <v>-1.099222739942</v>
      </c>
      <c r="AE557">
        <v>-15.0075</v>
      </c>
      <c r="AF557">
        <v>8.9119472409264002</v>
      </c>
      <c r="AG557">
        <v>-1.099222739942</v>
      </c>
      <c r="AH557">
        <v>16.045255999741599</v>
      </c>
      <c r="AI557">
        <v>93.427336700888404</v>
      </c>
      <c r="AJ557">
        <v>60.9510824620344</v>
      </c>
      <c r="AK557">
        <v>18.386988180621199</v>
      </c>
    </row>
    <row r="558" spans="1:37" x14ac:dyDescent="0.2">
      <c r="A558" t="str">
        <f>"20200111150517424"</f>
        <v>20200111150517424</v>
      </c>
      <c r="B558" t="str">
        <f>"1578726317415067"</f>
        <v>1578726317415067</v>
      </c>
      <c r="C558" t="s">
        <v>37</v>
      </c>
      <c r="D558">
        <v>5.1831969999999998</v>
      </c>
      <c r="E558">
        <v>0.65700009999999998</v>
      </c>
      <c r="F558" t="s">
        <v>60</v>
      </c>
      <c r="G558">
        <v>-202.46039999999999</v>
      </c>
      <c r="H558" s="1">
        <v>2.972665E-6</v>
      </c>
      <c r="I558">
        <v>288.45310000000001</v>
      </c>
      <c r="J558">
        <v>-192.30799999999999</v>
      </c>
      <c r="K558">
        <v>1.0991089999999999</v>
      </c>
      <c r="L558">
        <v>302.46269999999998</v>
      </c>
      <c r="M558">
        <v>-0.11855439999999901</v>
      </c>
      <c r="N558">
        <v>0</v>
      </c>
      <c r="O558">
        <v>-0.99286260000000004</v>
      </c>
      <c r="P558">
        <v>-0.23304130000000001</v>
      </c>
      <c r="Q558">
        <v>0.14017679999999999</v>
      </c>
      <c r="R558">
        <v>-0.96231100000000003</v>
      </c>
      <c r="S558">
        <v>-1.928696</v>
      </c>
      <c r="T558">
        <v>-0.20815159999999999</v>
      </c>
      <c r="U558">
        <v>-2.694153</v>
      </c>
      <c r="V558">
        <v>0.1190676</v>
      </c>
      <c r="W558">
        <v>0.15156549999999999</v>
      </c>
      <c r="X558">
        <v>0.98124959999999894</v>
      </c>
      <c r="Y558">
        <v>0.48039019999999999</v>
      </c>
      <c r="Z558">
        <v>6.4162049999999998E-2</v>
      </c>
      <c r="AA558">
        <v>0.87470479999999995</v>
      </c>
      <c r="AB558">
        <v>22</v>
      </c>
      <c r="AC558">
        <v>-10.1524</v>
      </c>
      <c r="AD558">
        <v>-1.099106027335</v>
      </c>
      <c r="AE558">
        <v>-14.009599999999899</v>
      </c>
      <c r="AF558">
        <v>8.3859061818269698</v>
      </c>
      <c r="AG558">
        <v>-1.099106027335</v>
      </c>
      <c r="AH558">
        <v>15.0537428781297</v>
      </c>
      <c r="AI558">
        <v>93.649564010444095</v>
      </c>
      <c r="AJ558">
        <v>60.879371421078403</v>
      </c>
      <c r="AK558">
        <v>17.266923037720701</v>
      </c>
    </row>
    <row r="559" spans="1:37" x14ac:dyDescent="0.2">
      <c r="A559" t="str">
        <f>"20200111150517447"</f>
        <v>20200111150517447</v>
      </c>
      <c r="B559" t="str">
        <f>"1578726317445323"</f>
        <v>1578726317445323</v>
      </c>
      <c r="C559" t="s">
        <v>37</v>
      </c>
      <c r="D559">
        <v>5.2027089999999996</v>
      </c>
      <c r="E559">
        <v>0.65598210000000001</v>
      </c>
      <c r="F559" t="s">
        <v>60</v>
      </c>
      <c r="G559">
        <v>-202.14240000000001</v>
      </c>
      <c r="H559" s="1">
        <v>2.7899160000000002E-6</v>
      </c>
      <c r="I559">
        <v>288.93020000000001</v>
      </c>
      <c r="J559">
        <v>-192.34379999999999</v>
      </c>
      <c r="K559">
        <v>1.0990089999999999</v>
      </c>
      <c r="L559">
        <v>302.23739999999998</v>
      </c>
      <c r="M559">
        <v>-0.12626789999999999</v>
      </c>
      <c r="N559">
        <v>0</v>
      </c>
      <c r="O559">
        <v>-0.99191109999999905</v>
      </c>
      <c r="P559">
        <v>-0.24092629999999901</v>
      </c>
      <c r="Q559">
        <v>0.13657159999999999</v>
      </c>
      <c r="R559">
        <v>-0.96088660000000004</v>
      </c>
      <c r="S559">
        <v>-1.9461059999999999</v>
      </c>
      <c r="T559">
        <v>-0.2175</v>
      </c>
      <c r="U559">
        <v>-2.6779169999999999</v>
      </c>
      <c r="V559">
        <v>0.1194127</v>
      </c>
      <c r="W559">
        <v>0.147949</v>
      </c>
      <c r="X559">
        <v>0.98175949999999901</v>
      </c>
      <c r="Y559">
        <v>0.47970020000000002</v>
      </c>
      <c r="Z559">
        <v>6.7155930000000003E-2</v>
      </c>
      <c r="AA559">
        <v>0.87485869999999999</v>
      </c>
      <c r="AB559">
        <v>22</v>
      </c>
      <c r="AC559">
        <v>-9.79860000000002</v>
      </c>
      <c r="AD559">
        <v>-1.0990062100839999</v>
      </c>
      <c r="AE559">
        <v>-13.3071999999999</v>
      </c>
      <c r="AF559">
        <v>8.0043455819741904</v>
      </c>
      <c r="AG559">
        <v>-1.0990062100839999</v>
      </c>
      <c r="AH559">
        <v>14.3744526068042</v>
      </c>
      <c r="AI559">
        <v>93.8215401961167</v>
      </c>
      <c r="AJ559">
        <v>60.888960834825497</v>
      </c>
      <c r="AK559">
        <v>16.4894587719164</v>
      </c>
    </row>
    <row r="560" spans="1:37" x14ac:dyDescent="0.2">
      <c r="A560" t="str">
        <f>"20200111150517470"</f>
        <v>20200111150517470</v>
      </c>
      <c r="B560" t="str">
        <f>"1578726317464843"</f>
        <v>1578726317464843</v>
      </c>
      <c r="C560" t="s">
        <v>37</v>
      </c>
      <c r="D560">
        <v>5.3594299999999997</v>
      </c>
      <c r="E560">
        <v>0.65530869999999997</v>
      </c>
      <c r="F560" t="s">
        <v>60</v>
      </c>
      <c r="G560">
        <v>-201.6413</v>
      </c>
      <c r="H560" s="1">
        <v>2.5095330000000001E-6</v>
      </c>
      <c r="I560">
        <v>289.59550000000002</v>
      </c>
      <c r="J560">
        <v>-192.3827</v>
      </c>
      <c r="K560">
        <v>1.0989180000000001</v>
      </c>
      <c r="L560">
        <v>302.00569999999999</v>
      </c>
      <c r="M560">
        <v>-0.13433210000000001</v>
      </c>
      <c r="N560">
        <v>0</v>
      </c>
      <c r="O560">
        <v>-0.99085100000000004</v>
      </c>
      <c r="P560">
        <v>-0.24881739999999999</v>
      </c>
      <c r="Q560">
        <v>0.1342045</v>
      </c>
      <c r="R560">
        <v>-0.95920749999999999</v>
      </c>
      <c r="S560">
        <v>-1.9590909999999999</v>
      </c>
      <c r="T560">
        <v>-0.23157449999999999</v>
      </c>
      <c r="U560">
        <v>-2.663818</v>
      </c>
      <c r="V560">
        <v>0.1194523</v>
      </c>
      <c r="W560">
        <v>0.14557500000000001</v>
      </c>
      <c r="X560">
        <v>0.98210949999999997</v>
      </c>
      <c r="Y560">
        <v>0.4773559</v>
      </c>
      <c r="Z560">
        <v>7.1618680000000004E-2</v>
      </c>
      <c r="AA560">
        <v>0.87578650000000002</v>
      </c>
      <c r="AB560">
        <v>22</v>
      </c>
      <c r="AC560">
        <v>-9.2585999999999995</v>
      </c>
      <c r="AD560">
        <v>-1.098915490467</v>
      </c>
      <c r="AE560">
        <v>-12.4101999999999</v>
      </c>
      <c r="AF560">
        <v>7.4698122640785698</v>
      </c>
      <c r="AG560">
        <v>-1.098915490467</v>
      </c>
      <c r="AH560">
        <v>13.4736609642327</v>
      </c>
      <c r="AI560">
        <v>94.0800797579966</v>
      </c>
      <c r="AJ560">
        <v>60.995966401478597</v>
      </c>
      <c r="AK560">
        <v>15.4449101743861</v>
      </c>
    </row>
    <row r="561" spans="1:37" x14ac:dyDescent="0.2">
      <c r="A561" t="str">
        <f>"20200111150517491"</f>
        <v>20200111150517491</v>
      </c>
      <c r="B561" t="str">
        <f>"1578726317485340"</f>
        <v>1578726317485340</v>
      </c>
      <c r="C561" t="s">
        <v>37</v>
      </c>
      <c r="D561">
        <v>5.1419249999999996</v>
      </c>
      <c r="E561">
        <v>0.654312</v>
      </c>
      <c r="F561" t="s">
        <v>60</v>
      </c>
      <c r="G561">
        <v>-201.3972</v>
      </c>
      <c r="H561" s="1">
        <v>2.3601859999999999E-6</v>
      </c>
      <c r="I561">
        <v>289.91340000000002</v>
      </c>
      <c r="J561">
        <v>-192.42019999999999</v>
      </c>
      <c r="K561">
        <v>1.0988549999999999</v>
      </c>
      <c r="L561">
        <v>301.79300000000001</v>
      </c>
      <c r="M561">
        <v>-0.14183889999999999</v>
      </c>
      <c r="N561">
        <v>0</v>
      </c>
      <c r="O561">
        <v>-0.98980409999999996</v>
      </c>
      <c r="P561">
        <v>-0.25370209999999999</v>
      </c>
      <c r="Q561">
        <v>0.13388169999999999</v>
      </c>
      <c r="R561">
        <v>-0.95797259999999995</v>
      </c>
      <c r="S561">
        <v>-1.974777</v>
      </c>
      <c r="T561">
        <v>-0.24073530000000001</v>
      </c>
      <c r="U561">
        <v>-2.64901699999999</v>
      </c>
      <c r="V561">
        <v>0.1170186</v>
      </c>
      <c r="W561">
        <v>0.1452783</v>
      </c>
      <c r="X561">
        <v>0.98244639999999905</v>
      </c>
      <c r="Y561">
        <v>0.47624629999999901</v>
      </c>
      <c r="Z561">
        <v>7.4551110000000004E-2</v>
      </c>
      <c r="AA561">
        <v>0.87614590000000003</v>
      </c>
      <c r="AB561">
        <v>22</v>
      </c>
      <c r="AC561">
        <v>-8.9770000000000003</v>
      </c>
      <c r="AD561">
        <v>-1.0988526398139999</v>
      </c>
      <c r="AE561">
        <v>-11.8795999999999</v>
      </c>
      <c r="AF561">
        <v>7.1620866703962802</v>
      </c>
      <c r="AG561">
        <v>-1.0988526398139999</v>
      </c>
      <c r="AH561">
        <v>12.9622749357111</v>
      </c>
      <c r="AI561">
        <v>94.243573654539404</v>
      </c>
      <c r="AJ561">
        <v>61.077894285823497</v>
      </c>
      <c r="AK561">
        <v>14.850034818385399</v>
      </c>
    </row>
    <row r="562" spans="1:37" x14ac:dyDescent="0.2">
      <c r="A562" t="str">
        <f>"20200111150517514"</f>
        <v>20200111150517514</v>
      </c>
      <c r="B562" t="str">
        <f>"1578726317504860"</f>
        <v>1578726317504860</v>
      </c>
      <c r="C562" t="s">
        <v>37</v>
      </c>
      <c r="D562">
        <v>5.1380179999999998</v>
      </c>
      <c r="E562">
        <v>0.65372540000000001</v>
      </c>
      <c r="F562" t="s">
        <v>60</v>
      </c>
      <c r="G562">
        <v>-201.5565</v>
      </c>
      <c r="H562" s="1">
        <v>2.469023E-6</v>
      </c>
      <c r="I562">
        <v>289.62470000000002</v>
      </c>
      <c r="J562">
        <v>-192.46270000000001</v>
      </c>
      <c r="K562">
        <v>1.0988059999999999</v>
      </c>
      <c r="L562">
        <v>301.5643</v>
      </c>
      <c r="M562">
        <v>-0.1500213</v>
      </c>
      <c r="N562">
        <v>0</v>
      </c>
      <c r="O562">
        <v>-0.9885969</v>
      </c>
      <c r="P562">
        <v>-0.25863199999999997</v>
      </c>
      <c r="Q562">
        <v>0.13456689999999999</v>
      </c>
      <c r="R562">
        <v>-0.9565572</v>
      </c>
      <c r="S562">
        <v>-1.9821930000000001</v>
      </c>
      <c r="T562">
        <v>-0.238404</v>
      </c>
      <c r="U562">
        <v>-2.640015</v>
      </c>
      <c r="V562">
        <v>0.1139867</v>
      </c>
      <c r="W562">
        <v>0.14599909999999999</v>
      </c>
      <c r="X562">
        <v>0.98269589999999996</v>
      </c>
      <c r="Y562">
        <v>0.47200710000000001</v>
      </c>
      <c r="Z562">
        <v>7.3929529999999993E-2</v>
      </c>
      <c r="AA562">
        <v>0.87848939999999998</v>
      </c>
      <c r="AB562">
        <v>22</v>
      </c>
      <c r="AC562">
        <v>-9.0937999999999803</v>
      </c>
      <c r="AD562">
        <v>-1.0988035309769999</v>
      </c>
      <c r="AE562">
        <v>-11.939599999999899</v>
      </c>
      <c r="AF562">
        <v>7.1611349654670198</v>
      </c>
      <c r="AG562">
        <v>-1.0988035309769999</v>
      </c>
      <c r="AH562">
        <v>13.0986232572522</v>
      </c>
      <c r="AI562">
        <v>94.209672041115695</v>
      </c>
      <c r="AJ562">
        <v>61.334176342483502</v>
      </c>
      <c r="AK562">
        <v>14.9687392397874</v>
      </c>
    </row>
    <row r="563" spans="1:37" x14ac:dyDescent="0.2">
      <c r="A563" t="str">
        <f>"20200111150517537"</f>
        <v>20200111150517537</v>
      </c>
      <c r="B563" t="str">
        <f>"1578726317525356"</f>
        <v>1578726317525356</v>
      </c>
      <c r="C563" t="s">
        <v>37</v>
      </c>
      <c r="D563">
        <v>5.1295029999999997</v>
      </c>
      <c r="E563">
        <v>0.653358199999999</v>
      </c>
      <c r="F563" t="s">
        <v>60</v>
      </c>
      <c r="G563">
        <v>-201.76349999999999</v>
      </c>
      <c r="H563" s="1">
        <v>2.59036099999999E-6</v>
      </c>
      <c r="I563">
        <v>289.29070000000002</v>
      </c>
      <c r="J563">
        <v>-192.50550000000001</v>
      </c>
      <c r="K563">
        <v>1.098757</v>
      </c>
      <c r="L563">
        <v>301.34460000000001</v>
      </c>
      <c r="M563">
        <v>-0.1579769</v>
      </c>
      <c r="N563">
        <v>0</v>
      </c>
      <c r="O563">
        <v>-0.98735669999999898</v>
      </c>
      <c r="P563">
        <v>-0.26459519999999997</v>
      </c>
      <c r="Q563">
        <v>0.133605</v>
      </c>
      <c r="R563">
        <v>-0.95505969999999996</v>
      </c>
      <c r="S563">
        <v>-1.99330099999999</v>
      </c>
      <c r="T563">
        <v>-0.2354907</v>
      </c>
      <c r="U563">
        <v>-2.6304319999999999</v>
      </c>
      <c r="V563">
        <v>0.11218259999999999</v>
      </c>
      <c r="W563">
        <v>0.14506169999999999</v>
      </c>
      <c r="X563">
        <v>0.98304230000000004</v>
      </c>
      <c r="Y563">
        <v>0.4688446</v>
      </c>
      <c r="Z563">
        <v>7.3084499999999997E-2</v>
      </c>
      <c r="AA563">
        <v>0.88025189999999998</v>
      </c>
      <c r="AB563">
        <v>22</v>
      </c>
      <c r="AC563">
        <v>-9.2579999999999796</v>
      </c>
      <c r="AD563">
        <v>-1.0987544096390001</v>
      </c>
      <c r="AE563">
        <v>-12.053900000000001</v>
      </c>
      <c r="AF563">
        <v>7.1996997376702803</v>
      </c>
      <c r="AG563">
        <v>-1.0987544096390001</v>
      </c>
      <c r="AH563">
        <v>13.295701075413801</v>
      </c>
      <c r="AI563">
        <v>94.156345472438204</v>
      </c>
      <c r="AJ563">
        <v>61.564196371148597</v>
      </c>
      <c r="AK563">
        <v>15.159769280964399</v>
      </c>
    </row>
    <row r="564" spans="1:37" x14ac:dyDescent="0.2">
      <c r="A564" t="str">
        <f>"20200111150517560"</f>
        <v>20200111150517560</v>
      </c>
      <c r="B564" t="str">
        <f>"1578726317555611"</f>
        <v>1578726317555611</v>
      </c>
      <c r="C564" t="s">
        <v>37</v>
      </c>
      <c r="D564">
        <v>5.180574</v>
      </c>
      <c r="E564">
        <v>0.65274129999999997</v>
      </c>
      <c r="F564" t="s">
        <v>60</v>
      </c>
      <c r="G564">
        <v>-201.66239999999999</v>
      </c>
      <c r="H564" s="1">
        <v>2.53615999999999E-6</v>
      </c>
      <c r="I564">
        <v>289.39780000000002</v>
      </c>
      <c r="J564">
        <v>-192.55369999999999</v>
      </c>
      <c r="K564">
        <v>1.098719</v>
      </c>
      <c r="L564">
        <v>301.10829999999999</v>
      </c>
      <c r="M564">
        <v>-0.16661049999999999</v>
      </c>
      <c r="N564">
        <v>0</v>
      </c>
      <c r="O564">
        <v>-0.98593649999999999</v>
      </c>
      <c r="P564">
        <v>-0.2734896</v>
      </c>
      <c r="Q564">
        <v>0.13066259999999999</v>
      </c>
      <c r="R564">
        <v>-0.95295909999999995</v>
      </c>
      <c r="S564">
        <v>-2.0072480000000001</v>
      </c>
      <c r="T564">
        <v>-0.2408544</v>
      </c>
      <c r="U564">
        <v>-2.618805</v>
      </c>
      <c r="V564">
        <v>0.112654399999999</v>
      </c>
      <c r="W564">
        <v>0.142119</v>
      </c>
      <c r="X564">
        <v>0.98341809999999996</v>
      </c>
      <c r="Y564">
        <v>0.46588109999999999</v>
      </c>
      <c r="Z564">
        <v>7.4790679999999998E-2</v>
      </c>
      <c r="AA564">
        <v>0.88168089999999999</v>
      </c>
      <c r="AB564">
        <v>22</v>
      </c>
      <c r="AC564">
        <v>-9.1087000000000007</v>
      </c>
      <c r="AD564">
        <v>-1.09871646384</v>
      </c>
      <c r="AE564">
        <v>-11.7104999999999</v>
      </c>
      <c r="AF564">
        <v>6.9917588641389203</v>
      </c>
      <c r="AG564">
        <v>-1.09871646384</v>
      </c>
      <c r="AH564">
        <v>12.993263504492001</v>
      </c>
      <c r="AI564">
        <v>94.258618162398903</v>
      </c>
      <c r="AJ564">
        <v>61.715018784337403</v>
      </c>
      <c r="AK564">
        <v>14.795836116264001</v>
      </c>
    </row>
    <row r="565" spans="1:37" x14ac:dyDescent="0.2">
      <c r="A565" t="str">
        <f>"20200111150517585"</f>
        <v>20200111150517585</v>
      </c>
      <c r="B565" t="str">
        <f>"1578726317575131"</f>
        <v>1578726317575131</v>
      </c>
      <c r="C565" t="s">
        <v>37</v>
      </c>
      <c r="D565">
        <v>5.1808420000000002</v>
      </c>
      <c r="E565">
        <v>0.65200659999999999</v>
      </c>
      <c r="F565" t="s">
        <v>60</v>
      </c>
      <c r="G565">
        <v>-201.3252</v>
      </c>
      <c r="H565" s="1">
        <v>2.3351910000000001E-6</v>
      </c>
      <c r="I565">
        <v>289.86099999999999</v>
      </c>
      <c r="J565">
        <v>-192.60820000000001</v>
      </c>
      <c r="K565">
        <v>1.098684</v>
      </c>
      <c r="L565">
        <v>300.8535</v>
      </c>
      <c r="M565">
        <v>-0.176002399999999</v>
      </c>
      <c r="N565">
        <v>0</v>
      </c>
      <c r="O565">
        <v>-0.98430319999999905</v>
      </c>
      <c r="P565">
        <v>-0.28631869999999998</v>
      </c>
      <c r="Q565">
        <v>0.12898189999999901</v>
      </c>
      <c r="R565">
        <v>-0.94941350000000002</v>
      </c>
      <c r="S565">
        <v>-2.028305</v>
      </c>
      <c r="T565">
        <v>-0.25406620000000002</v>
      </c>
      <c r="U565">
        <v>-2.60082999999999</v>
      </c>
      <c r="V565">
        <v>0.11649569999999999</v>
      </c>
      <c r="W565">
        <v>0.140390299999999</v>
      </c>
      <c r="X565">
        <v>0.98321879999999995</v>
      </c>
      <c r="Y565">
        <v>0.46464559999999999</v>
      </c>
      <c r="Z565">
        <v>7.8946139999999998E-2</v>
      </c>
      <c r="AA565">
        <v>0.88197049999999999</v>
      </c>
      <c r="AB565">
        <v>22</v>
      </c>
      <c r="AC565">
        <v>-8.7169999999999792</v>
      </c>
      <c r="AD565">
        <v>-1.0986816648090001</v>
      </c>
      <c r="AE565">
        <v>-10.9925</v>
      </c>
      <c r="AF565">
        <v>6.6055192050039597</v>
      </c>
      <c r="AG565">
        <v>-1.0986816648090001</v>
      </c>
      <c r="AH565">
        <v>12.279905848956099</v>
      </c>
      <c r="AI565">
        <v>94.505237228940302</v>
      </c>
      <c r="AJ565">
        <v>61.72362092601</v>
      </c>
      <c r="AK565">
        <v>13.9869965692242</v>
      </c>
    </row>
    <row r="566" spans="1:37" x14ac:dyDescent="0.2">
      <c r="A566" t="str">
        <f>"20200111150517625"</f>
        <v>20200111150517625</v>
      </c>
      <c r="B566" t="str">
        <f>"1578726317615148"</f>
        <v>1578726317615148</v>
      </c>
      <c r="C566" t="s">
        <v>37</v>
      </c>
      <c r="D566">
        <v>5.1719109999999997</v>
      </c>
      <c r="E566">
        <v>0.65098269999999903</v>
      </c>
      <c r="F566" t="s">
        <v>60</v>
      </c>
      <c r="G566">
        <v>-201.34829999999999</v>
      </c>
      <c r="H566" s="1">
        <v>2.338011E-6</v>
      </c>
      <c r="I566">
        <v>289.9171</v>
      </c>
      <c r="J566">
        <v>-192.69739999999999</v>
      </c>
      <c r="K566">
        <v>1.0986290000000001</v>
      </c>
      <c r="L566">
        <v>300.46069999999997</v>
      </c>
      <c r="M566">
        <v>-0.1906253</v>
      </c>
      <c r="N566">
        <v>0</v>
      </c>
      <c r="O566">
        <v>-0.9815758</v>
      </c>
      <c r="P566">
        <v>-0.31314369999999903</v>
      </c>
      <c r="Q566">
        <v>0.12851089999999901</v>
      </c>
      <c r="R566">
        <v>-0.94097090000000005</v>
      </c>
      <c r="S566">
        <v>-2.0575410000000001</v>
      </c>
      <c r="T566">
        <v>-0.25864389999999998</v>
      </c>
      <c r="U566">
        <v>-2.574554</v>
      </c>
      <c r="V566">
        <v>0.12977449999999999</v>
      </c>
      <c r="W566">
        <v>0.1397369</v>
      </c>
      <c r="X566">
        <v>0.98164769999999901</v>
      </c>
      <c r="Y566">
        <v>0.46190029999999999</v>
      </c>
      <c r="Z566">
        <v>8.0466410000000002E-2</v>
      </c>
      <c r="AA566">
        <v>0.88327420000000001</v>
      </c>
      <c r="AB566">
        <v>22</v>
      </c>
      <c r="AC566">
        <v>-8.6509</v>
      </c>
      <c r="AD566">
        <v>-1.0986266619889999</v>
      </c>
      <c r="AE566">
        <v>-10.5435999999999</v>
      </c>
      <c r="AF566">
        <v>6.4403998225889802</v>
      </c>
      <c r="AG566">
        <v>-1.0986266619889999</v>
      </c>
      <c r="AH566">
        <v>11.922086866941701</v>
      </c>
      <c r="AI566">
        <v>94.635215159555202</v>
      </c>
      <c r="AJ566">
        <v>61.621753157768502</v>
      </c>
      <c r="AK566">
        <v>13.594921319380299</v>
      </c>
    </row>
    <row r="567" spans="1:37" x14ac:dyDescent="0.2">
      <c r="A567" t="str">
        <f>"20200111150517648"</f>
        <v>20200111150517648</v>
      </c>
      <c r="B567" t="str">
        <f>"1578726317645403"</f>
        <v>1578726317645403</v>
      </c>
      <c r="C567" t="s">
        <v>37</v>
      </c>
      <c r="D567">
        <v>5.0796229999999998</v>
      </c>
      <c r="E567">
        <v>0.65080450000000001</v>
      </c>
      <c r="F567" t="s">
        <v>60</v>
      </c>
      <c r="G567">
        <v>-200.67160000000001</v>
      </c>
      <c r="H567">
        <v>7.9999890000000004E-2</v>
      </c>
      <c r="I567">
        <v>290.9699</v>
      </c>
      <c r="J567">
        <v>-192.75129999999999</v>
      </c>
      <c r="K567">
        <v>1.098587</v>
      </c>
      <c r="L567">
        <v>300.2355</v>
      </c>
      <c r="M567">
        <v>-0.1990712</v>
      </c>
      <c r="N567">
        <v>0</v>
      </c>
      <c r="O567">
        <v>-0.97989789999999999</v>
      </c>
      <c r="P567">
        <v>-0.32712859999999899</v>
      </c>
      <c r="Q567">
        <v>0.1262481</v>
      </c>
      <c r="R567">
        <v>-0.93650859999999903</v>
      </c>
      <c r="S567">
        <v>-2.11769099999999</v>
      </c>
      <c r="T567">
        <v>-0.27051439999999999</v>
      </c>
      <c r="U567">
        <v>-2.5204469999999999</v>
      </c>
      <c r="V567">
        <v>0.13586960000000001</v>
      </c>
      <c r="W567">
        <v>0.13739270000000001</v>
      </c>
      <c r="X567">
        <v>0.98115370000000002</v>
      </c>
      <c r="Y567">
        <v>0.47567549999999997</v>
      </c>
      <c r="Z567">
        <v>8.4399310000000005E-2</v>
      </c>
      <c r="AA567">
        <v>0.87556239999999996</v>
      </c>
      <c r="AB567">
        <v>22</v>
      </c>
      <c r="AC567">
        <v>-7.9203000000000197</v>
      </c>
      <c r="AD567">
        <v>-1.0185871099999999</v>
      </c>
      <c r="AE567">
        <v>-9.2655999999999992</v>
      </c>
      <c r="AF567">
        <v>5.8760452927057898</v>
      </c>
      <c r="AG567">
        <v>-1.0185871099999999</v>
      </c>
      <c r="AH567">
        <v>10.583056340023001</v>
      </c>
      <c r="AI567">
        <v>94.809912033998501</v>
      </c>
      <c r="AJ567">
        <v>60.959589801256399</v>
      </c>
      <c r="AK567">
        <v>12.1476956447998</v>
      </c>
    </row>
    <row r="568" spans="1:37" x14ac:dyDescent="0.2">
      <c r="A568" t="str">
        <f>"20200111150517670"</f>
        <v>20200111150517670</v>
      </c>
      <c r="B568" t="str">
        <f>"1578726317664923"</f>
        <v>1578726317664923</v>
      </c>
      <c r="C568" t="s">
        <v>37</v>
      </c>
      <c r="D568">
        <v>5.341329</v>
      </c>
      <c r="E568">
        <v>0.67885299999999904</v>
      </c>
      <c r="F568" t="s">
        <v>60</v>
      </c>
      <c r="G568">
        <v>-200.6097</v>
      </c>
      <c r="H568">
        <v>7.9999920000000002E-2</v>
      </c>
      <c r="I568">
        <v>291.13819999999998</v>
      </c>
      <c r="J568">
        <v>-192.80599999999899</v>
      </c>
      <c r="K568">
        <v>1.0985559999999901</v>
      </c>
      <c r="L568">
        <v>300.01560000000001</v>
      </c>
      <c r="M568">
        <v>-0.20736309999999999</v>
      </c>
      <c r="N568">
        <v>0</v>
      </c>
      <c r="O568">
        <v>-0.97817659999999995</v>
      </c>
      <c r="P568">
        <v>-0.33998590000000001</v>
      </c>
      <c r="Q568">
        <v>0.124858399999999</v>
      </c>
      <c r="R568">
        <v>-0.93210519999999997</v>
      </c>
      <c r="S568">
        <v>-2.1506810000000001</v>
      </c>
      <c r="T568">
        <v>-0.27876570000000001</v>
      </c>
      <c r="U568">
        <v>-2.4897459999999998</v>
      </c>
      <c r="V568">
        <v>0.14101759999999999</v>
      </c>
      <c r="W568">
        <v>0.13593259999999999</v>
      </c>
      <c r="X568">
        <v>0.98063060000000002</v>
      </c>
      <c r="Y568">
        <v>0.4800545</v>
      </c>
      <c r="Z568">
        <v>8.7087999999999999E-2</v>
      </c>
      <c r="AA568">
        <v>0.87290509999999999</v>
      </c>
      <c r="AB568">
        <v>22</v>
      </c>
      <c r="AC568">
        <v>-7.8037000000000099</v>
      </c>
      <c r="AD568">
        <v>-1.01855607999999</v>
      </c>
      <c r="AE568">
        <v>-8.8774000000000193</v>
      </c>
      <c r="AF568">
        <v>5.7503450571949601</v>
      </c>
      <c r="AG568">
        <v>-1.01855607999999</v>
      </c>
      <c r="AH568">
        <v>10.2268014996817</v>
      </c>
      <c r="AI568">
        <v>94.961645789320002</v>
      </c>
      <c r="AJ568">
        <v>60.651741377675698</v>
      </c>
      <c r="AK568">
        <v>11.7767310268513</v>
      </c>
    </row>
    <row r="569" spans="1:37" x14ac:dyDescent="0.2">
      <c r="A569" t="str">
        <f>"20200111150517693"</f>
        <v>20200111150517693</v>
      </c>
      <c r="B569" t="str">
        <f>"1578726317685419"</f>
        <v>1578726317685419</v>
      </c>
      <c r="C569" t="s">
        <v>37</v>
      </c>
      <c r="D569">
        <v>5.0358559999999999</v>
      </c>
      <c r="E569">
        <v>0.68154680000000001</v>
      </c>
      <c r="F569" t="s">
        <v>63</v>
      </c>
      <c r="G569">
        <v>-213.3723</v>
      </c>
      <c r="H569">
        <v>5.1652089999999998E-2</v>
      </c>
      <c r="I569">
        <v>279.61470000000003</v>
      </c>
      <c r="J569">
        <v>-192.86179999999999</v>
      </c>
      <c r="K569">
        <v>1.098533</v>
      </c>
      <c r="L569">
        <v>299.79919999999998</v>
      </c>
      <c r="M569">
        <v>-0.21557660000000001</v>
      </c>
      <c r="N569">
        <v>0</v>
      </c>
      <c r="O569">
        <v>-0.97639940000000003</v>
      </c>
      <c r="P569">
        <v>-0.35205999999999998</v>
      </c>
      <c r="Q569">
        <v>0.1241583</v>
      </c>
      <c r="R569">
        <v>-0.92770640000000004</v>
      </c>
      <c r="S569">
        <v>-2.384293</v>
      </c>
      <c r="T569">
        <v>-0.12136909999999999</v>
      </c>
      <c r="U569">
        <v>-2.3651119999999999</v>
      </c>
      <c r="V569">
        <v>0.1454917</v>
      </c>
      <c r="W569">
        <v>0.13516819999999999</v>
      </c>
      <c r="X569">
        <v>0.98008249999999997</v>
      </c>
      <c r="Y569">
        <v>0.54092620000000002</v>
      </c>
      <c r="Z569">
        <v>3.7555890000000001E-2</v>
      </c>
      <c r="AA569">
        <v>0.84023110000000001</v>
      </c>
      <c r="AB569">
        <v>22</v>
      </c>
      <c r="AC569">
        <v>-20.5105</v>
      </c>
      <c r="AD569">
        <v>-1.0468809100000001</v>
      </c>
      <c r="AE569">
        <v>-20.1844999999999</v>
      </c>
      <c r="AF569">
        <v>15.6557540023186</v>
      </c>
      <c r="AG569">
        <v>-1.0468809100000001</v>
      </c>
      <c r="AH569">
        <v>24.099884679960901</v>
      </c>
      <c r="AI569">
        <v>92.086230692583698</v>
      </c>
      <c r="AJ569">
        <v>56.991462702709597</v>
      </c>
      <c r="AK569">
        <v>28.7576604508826</v>
      </c>
    </row>
    <row r="570" spans="1:37" x14ac:dyDescent="0.2">
      <c r="A570" t="str">
        <f>"20200111150517715"</f>
        <v>20200111150517715</v>
      </c>
      <c r="B570" t="str">
        <f>"1578726317704940"</f>
        <v>1578726317704940</v>
      </c>
      <c r="C570" t="s">
        <v>37</v>
      </c>
      <c r="D570">
        <v>5.1521460000000001</v>
      </c>
      <c r="E570">
        <v>0.68736140000000001</v>
      </c>
      <c r="F570" t="s">
        <v>63</v>
      </c>
      <c r="G570">
        <v>-215.4256</v>
      </c>
      <c r="H570">
        <v>8.0001340000000004E-2</v>
      </c>
      <c r="I570">
        <v>278.22620000000001</v>
      </c>
      <c r="J570">
        <v>-192.92070000000001</v>
      </c>
      <c r="K570">
        <v>1.0984969999999901</v>
      </c>
      <c r="L570">
        <v>299.57900000000001</v>
      </c>
      <c r="M570">
        <v>-0.22399549999999999</v>
      </c>
      <c r="N570">
        <v>0</v>
      </c>
      <c r="O570">
        <v>-0.97450230000000004</v>
      </c>
      <c r="P570">
        <v>-0.3618325</v>
      </c>
      <c r="Q570">
        <v>0.1223291</v>
      </c>
      <c r="R570">
        <v>-0.92418250000000002</v>
      </c>
      <c r="S570">
        <v>-2.4322509999999999</v>
      </c>
      <c r="T570">
        <v>-0.10979179999999999</v>
      </c>
      <c r="U570">
        <v>-2.3254389999999998</v>
      </c>
      <c r="V570">
        <v>0.14731150000000001</v>
      </c>
      <c r="W570">
        <v>0.13331309999999999</v>
      </c>
      <c r="X570">
        <v>0.98006469999999901</v>
      </c>
      <c r="Y570">
        <v>0.54920419999999903</v>
      </c>
      <c r="Z570">
        <v>3.3967949999999997E-2</v>
      </c>
      <c r="AA570">
        <v>0.83499760000000001</v>
      </c>
      <c r="AB570">
        <v>22</v>
      </c>
      <c r="AC570">
        <v>-22.5048999999999</v>
      </c>
      <c r="AD570">
        <v>-1.0184956599999999</v>
      </c>
      <c r="AE570">
        <v>-21.352799999999998</v>
      </c>
      <c r="AF570">
        <v>17.1311497265451</v>
      </c>
      <c r="AG570">
        <v>-1.0184956599999999</v>
      </c>
      <c r="AH570">
        <v>25.823729078572899</v>
      </c>
      <c r="AI570">
        <v>91.882403492905695</v>
      </c>
      <c r="AJ570">
        <v>56.440185433357399</v>
      </c>
      <c r="AK570">
        <v>31.006105977472799</v>
      </c>
    </row>
    <row r="571" spans="1:37" x14ac:dyDescent="0.2">
      <c r="A571" t="str">
        <f>"20200111150517738"</f>
        <v>20200111150517738</v>
      </c>
      <c r="B571" t="str">
        <f>"1578726317735195"</f>
        <v>1578726317735195</v>
      </c>
      <c r="C571" t="s">
        <v>37</v>
      </c>
      <c r="D571">
        <v>5.1504070000000004</v>
      </c>
      <c r="E571">
        <v>0.69027340000000004</v>
      </c>
      <c r="F571" t="s">
        <v>63</v>
      </c>
      <c r="G571">
        <v>-211.34960000000001</v>
      </c>
      <c r="H571" s="1">
        <v>-8.1858180000000003E-7</v>
      </c>
      <c r="I571">
        <v>282.71719999999999</v>
      </c>
      <c r="J571">
        <v>-192.98240000000001</v>
      </c>
      <c r="K571">
        <v>1.098452</v>
      </c>
      <c r="L571">
        <v>299.3569</v>
      </c>
      <c r="M571">
        <v>-0.23254939999999999</v>
      </c>
      <c r="N571">
        <v>0</v>
      </c>
      <c r="O571">
        <v>-0.97249640000000004</v>
      </c>
      <c r="P571">
        <v>-0.37013109999999999</v>
      </c>
      <c r="Q571">
        <v>0.1206942</v>
      </c>
      <c r="R571">
        <v>-0.92110609999999904</v>
      </c>
      <c r="S571">
        <v>-2.499695</v>
      </c>
      <c r="T571">
        <v>-0.1490002</v>
      </c>
      <c r="U571">
        <v>-2.28714</v>
      </c>
      <c r="V571">
        <v>0.14745449999999999</v>
      </c>
      <c r="W571">
        <v>0.1316754</v>
      </c>
      <c r="X571">
        <v>0.98026469999999899</v>
      </c>
      <c r="Y571">
        <v>0.55977369999999904</v>
      </c>
      <c r="Z571">
        <v>4.5861289999999999E-2</v>
      </c>
      <c r="AA571">
        <v>0.82737549999999904</v>
      </c>
      <c r="AB571">
        <v>22</v>
      </c>
      <c r="AC571">
        <v>-18.3672</v>
      </c>
      <c r="AD571">
        <v>-1.0984528185818001</v>
      </c>
      <c r="AE571">
        <v>-16.639700000000001</v>
      </c>
      <c r="AF571">
        <v>13.966248583054</v>
      </c>
      <c r="AG571">
        <v>-1.0984528185818001</v>
      </c>
      <c r="AH571">
        <v>20.414980955009799</v>
      </c>
      <c r="AI571">
        <v>92.542753591461903</v>
      </c>
      <c r="AJ571">
        <v>55.623280430118697</v>
      </c>
      <c r="AK571">
        <v>24.759526357984299</v>
      </c>
    </row>
    <row r="572" spans="1:37" x14ac:dyDescent="0.2">
      <c r="A572" t="str">
        <f>"20200111150517760"</f>
        <v>20200111150517760</v>
      </c>
      <c r="B572" t="str">
        <f>"1578726317754715"</f>
        <v>1578726317754715</v>
      </c>
      <c r="C572" t="s">
        <v>37</v>
      </c>
      <c r="D572">
        <v>5.2608360000000003</v>
      </c>
      <c r="E572">
        <v>0.69082739999999998</v>
      </c>
      <c r="F572" t="s">
        <v>60</v>
      </c>
      <c r="G572">
        <v>-207.9042</v>
      </c>
      <c r="H572" s="1">
        <v>5.5934979999999901E-6</v>
      </c>
      <c r="I572">
        <v>286.0881</v>
      </c>
      <c r="J572">
        <v>-193.0437</v>
      </c>
      <c r="K572">
        <v>1.0984119999999999</v>
      </c>
      <c r="L572">
        <v>299.1429</v>
      </c>
      <c r="M572">
        <v>-0.24085189999999901</v>
      </c>
      <c r="N572">
        <v>0</v>
      </c>
      <c r="O572">
        <v>-0.97047349999999999</v>
      </c>
      <c r="P572">
        <v>-0.37554890000000002</v>
      </c>
      <c r="Q572">
        <v>0.1201306</v>
      </c>
      <c r="R572">
        <v>-0.91898419999999903</v>
      </c>
      <c r="S572">
        <v>-2.5417019999999999</v>
      </c>
      <c r="T572">
        <v>-0.187103399999999</v>
      </c>
      <c r="U572">
        <v>-2.260132</v>
      </c>
      <c r="V572">
        <v>0.1448303</v>
      </c>
      <c r="W572">
        <v>0.13114700000000001</v>
      </c>
      <c r="X572">
        <v>0.9807266</v>
      </c>
      <c r="Y572">
        <v>0.56398359999999903</v>
      </c>
      <c r="Z572">
        <v>5.7404419999999998E-2</v>
      </c>
      <c r="AA572">
        <v>0.82378830000000003</v>
      </c>
      <c r="AB572">
        <v>22</v>
      </c>
      <c r="AC572">
        <v>-14.8605</v>
      </c>
      <c r="AD572">
        <v>-1.0984064065020001</v>
      </c>
      <c r="AE572">
        <v>-13.0548</v>
      </c>
      <c r="AF572">
        <v>11.243744280272001</v>
      </c>
      <c r="AG572">
        <v>-1.0984064065020001</v>
      </c>
      <c r="AH572">
        <v>16.1999567879685</v>
      </c>
      <c r="AI572">
        <v>93.188161310074307</v>
      </c>
      <c r="AJ572">
        <v>55.237026402132798</v>
      </c>
      <c r="AK572">
        <v>19.7501109365502</v>
      </c>
    </row>
    <row r="573" spans="1:37" x14ac:dyDescent="0.2">
      <c r="A573" t="str">
        <f>"20200111150517804"</f>
        <v>20200111150517804</v>
      </c>
      <c r="B573" t="str">
        <f>"1578726317794731"</f>
        <v>1578726317794731</v>
      </c>
      <c r="C573" t="s">
        <v>37</v>
      </c>
      <c r="D573">
        <v>5.2727639999999996</v>
      </c>
      <c r="E573">
        <v>0.69016029999999995</v>
      </c>
      <c r="F573" t="s">
        <v>60</v>
      </c>
      <c r="G573">
        <v>-207.7003</v>
      </c>
      <c r="H573" s="1">
        <v>5.485789E-6</v>
      </c>
      <c r="I573">
        <v>286.28609999999998</v>
      </c>
      <c r="J573">
        <v>-193.1729</v>
      </c>
      <c r="K573">
        <v>1.098292</v>
      </c>
      <c r="L573">
        <v>298.714</v>
      </c>
      <c r="M573">
        <v>-0.25774809999999998</v>
      </c>
      <c r="N573">
        <v>0</v>
      </c>
      <c r="O573">
        <v>-0.96612299999999995</v>
      </c>
      <c r="P573">
        <v>-0.38751989999999997</v>
      </c>
      <c r="Q573">
        <v>0.1180213</v>
      </c>
      <c r="R573">
        <v>-0.91427539999999996</v>
      </c>
      <c r="S573">
        <v>-2.5582729999999998</v>
      </c>
      <c r="T573">
        <v>-0.19172410000000001</v>
      </c>
      <c r="U573">
        <v>-2.24411</v>
      </c>
      <c r="V573">
        <v>0.14044999999999999</v>
      </c>
      <c r="W573">
        <v>0.12909129999999999</v>
      </c>
      <c r="X573">
        <v>0.98163599999999995</v>
      </c>
      <c r="Y573">
        <v>0.55505729999999998</v>
      </c>
      <c r="Z573">
        <v>5.8750860000000002E-2</v>
      </c>
      <c r="AA573">
        <v>0.82973469999999905</v>
      </c>
      <c r="AB573">
        <v>22</v>
      </c>
      <c r="AC573">
        <v>-14.5274</v>
      </c>
      <c r="AD573">
        <v>-1.0982865142110001</v>
      </c>
      <c r="AE573">
        <v>-12.427899999999999</v>
      </c>
      <c r="AF573">
        <v>10.797287072032001</v>
      </c>
      <c r="AG573">
        <v>-1.0982865142110001</v>
      </c>
      <c r="AH573">
        <v>15.7008300666437</v>
      </c>
      <c r="AI573">
        <v>93.298727515311597</v>
      </c>
      <c r="AJ573">
        <v>55.484126963604098</v>
      </c>
      <c r="AK573">
        <v>19.086741632997299</v>
      </c>
    </row>
    <row r="574" spans="1:37" x14ac:dyDescent="0.2">
      <c r="A574" t="str">
        <f>"20200111150517827"</f>
        <v>20200111150517827</v>
      </c>
      <c r="B574" t="str">
        <f>"1578726317824987"</f>
        <v>1578726317824987</v>
      </c>
      <c r="C574" t="s">
        <v>37</v>
      </c>
      <c r="D574">
        <v>5.2564109999999999</v>
      </c>
      <c r="E574">
        <v>0.68957049999999998</v>
      </c>
      <c r="F574" t="s">
        <v>60</v>
      </c>
      <c r="G574">
        <v>-207.04300000000001</v>
      </c>
      <c r="H574" s="1">
        <v>5.1478269999999998E-6</v>
      </c>
      <c r="I574">
        <v>286.81760000000003</v>
      </c>
      <c r="J574">
        <v>-193.24209999999999</v>
      </c>
      <c r="K574">
        <v>1.0982209999999999</v>
      </c>
      <c r="L574">
        <v>298.49529999999999</v>
      </c>
      <c r="M574">
        <v>-0.26650380000000001</v>
      </c>
      <c r="N574">
        <v>0</v>
      </c>
      <c r="O574">
        <v>-0.9637445</v>
      </c>
      <c r="P574">
        <v>-0.39569670000000001</v>
      </c>
      <c r="Q574">
        <v>0.11537020000000001</v>
      </c>
      <c r="R574">
        <v>-0.91110599999999997</v>
      </c>
      <c r="S574">
        <v>-2.5809479999999998</v>
      </c>
      <c r="T574">
        <v>-0.20436969999999999</v>
      </c>
      <c r="U574">
        <v>-2.2136840000000002</v>
      </c>
      <c r="V574">
        <v>0.14023060000000001</v>
      </c>
      <c r="W574">
        <v>0.12643959999999899</v>
      </c>
      <c r="X574">
        <v>0.98201249999999995</v>
      </c>
      <c r="Y574">
        <v>0.55656079999999997</v>
      </c>
      <c r="Z574">
        <v>6.2698050000000005E-2</v>
      </c>
      <c r="AA574">
        <v>0.82843770000000005</v>
      </c>
      <c r="AB574">
        <v>22</v>
      </c>
      <c r="AC574">
        <v>-13.8009</v>
      </c>
      <c r="AD574">
        <v>-1.0982158521729899</v>
      </c>
      <c r="AE574">
        <v>-11.6776999999999</v>
      </c>
      <c r="AF574">
        <v>10.151805600915599</v>
      </c>
      <c r="AG574">
        <v>-1.0982158521729899</v>
      </c>
      <c r="AH574">
        <v>14.878692536863401</v>
      </c>
      <c r="AI574">
        <v>93.489067979854298</v>
      </c>
      <c r="AJ574">
        <v>55.6940882565141</v>
      </c>
      <c r="AK574">
        <v>18.045518186609701</v>
      </c>
    </row>
    <row r="575" spans="1:37" x14ac:dyDescent="0.2">
      <c r="A575" t="str">
        <f>"20200111150517850"</f>
        <v>20200111150517850</v>
      </c>
      <c r="B575" t="str">
        <f>"1578726317845483"</f>
        <v>1578726317845483</v>
      </c>
      <c r="C575" t="s">
        <v>37</v>
      </c>
      <c r="D575">
        <v>5.2287720000000002</v>
      </c>
      <c r="E575">
        <v>0.68894580000000005</v>
      </c>
      <c r="F575" t="s">
        <v>60</v>
      </c>
      <c r="G575">
        <v>-206.4494</v>
      </c>
      <c r="H575" s="1">
        <v>4.8391019999999996E-6</v>
      </c>
      <c r="I575">
        <v>287.3381</v>
      </c>
      <c r="J575">
        <v>-193.315</v>
      </c>
      <c r="K575">
        <v>1.0981449999999999</v>
      </c>
      <c r="L575">
        <v>298.2724</v>
      </c>
      <c r="M575">
        <v>-0.27552859999999901</v>
      </c>
      <c r="N575">
        <v>0</v>
      </c>
      <c r="O575">
        <v>-0.96120319999999904</v>
      </c>
      <c r="P575">
        <v>-0.40502349999999998</v>
      </c>
      <c r="Q575">
        <v>0.11322739999999901</v>
      </c>
      <c r="R575">
        <v>-0.90726849999999903</v>
      </c>
      <c r="S575">
        <v>-2.5957029999999999</v>
      </c>
      <c r="T575">
        <v>-0.21583809999999901</v>
      </c>
      <c r="U575">
        <v>-2.19278</v>
      </c>
      <c r="V575">
        <v>0.141014</v>
      </c>
      <c r="W575">
        <v>0.124280399999999</v>
      </c>
      <c r="X575">
        <v>0.98217589999999999</v>
      </c>
      <c r="Y575">
        <v>0.55480969999999996</v>
      </c>
      <c r="Z575">
        <v>6.6242259999999997E-2</v>
      </c>
      <c r="AA575">
        <v>0.82933599999999996</v>
      </c>
      <c r="AB575">
        <v>22</v>
      </c>
      <c r="AC575">
        <v>-13.134399999999999</v>
      </c>
      <c r="AD575">
        <v>-1.0981401608979999</v>
      </c>
      <c r="AE575">
        <v>-10.9343</v>
      </c>
      <c r="AF575">
        <v>9.5734166367914497</v>
      </c>
      <c r="AG575">
        <v>-1.0981401608979999</v>
      </c>
      <c r="AH575">
        <v>14.0721037984388</v>
      </c>
      <c r="AI575">
        <v>93.691677633677699</v>
      </c>
      <c r="AJ575">
        <v>55.7720880706689</v>
      </c>
      <c r="AK575">
        <v>17.055213960212001</v>
      </c>
    </row>
    <row r="576" spans="1:37" x14ac:dyDescent="0.2">
      <c r="A576" t="str">
        <f>"20200111150517872"</f>
        <v>20200111150517872</v>
      </c>
      <c r="B576" t="str">
        <f>"1578726317865003"</f>
        <v>1578726317865003</v>
      </c>
      <c r="C576" t="s">
        <v>37</v>
      </c>
      <c r="D576">
        <v>5.2975959999999898</v>
      </c>
      <c r="E576">
        <v>0.68745199999999995</v>
      </c>
      <c r="F576" t="s">
        <v>60</v>
      </c>
      <c r="G576">
        <v>-206.107</v>
      </c>
      <c r="H576" s="1">
        <v>4.6594389999999998E-6</v>
      </c>
      <c r="I576">
        <v>287.65640000000002</v>
      </c>
      <c r="J576">
        <v>-193.38669999999999</v>
      </c>
      <c r="K576">
        <v>1.0980889999999901</v>
      </c>
      <c r="L576">
        <v>298.06020000000001</v>
      </c>
      <c r="M576">
        <v>-0.28421879999999999</v>
      </c>
      <c r="N576">
        <v>0</v>
      </c>
      <c r="O576">
        <v>-0.95866929999999995</v>
      </c>
      <c r="P576">
        <v>-0.41393770000000002</v>
      </c>
      <c r="Q576">
        <v>0.112125399999999</v>
      </c>
      <c r="R576">
        <v>-0.90337350000000005</v>
      </c>
      <c r="S576">
        <v>-2.61267099999999</v>
      </c>
      <c r="T576">
        <v>-0.22428629999999999</v>
      </c>
      <c r="U576">
        <v>-2.1682429999999999</v>
      </c>
      <c r="V576">
        <v>0.14175739999999901</v>
      </c>
      <c r="W576">
        <v>0.1231614</v>
      </c>
      <c r="X576">
        <v>0.98220980000000002</v>
      </c>
      <c r="Y576">
        <v>0.55439859999999996</v>
      </c>
      <c r="Z576">
        <v>6.8882650000000004E-2</v>
      </c>
      <c r="AA576">
        <v>0.82939580000000002</v>
      </c>
      <c r="AB576">
        <v>22</v>
      </c>
      <c r="AC576">
        <v>-12.7203</v>
      </c>
      <c r="AD576">
        <v>-1.0980843405609999</v>
      </c>
      <c r="AE576">
        <v>-10.403799999999899</v>
      </c>
      <c r="AF576">
        <v>9.1973365959169904</v>
      </c>
      <c r="AG576">
        <v>-1.0980843405609999</v>
      </c>
      <c r="AH576">
        <v>13.529913675263501</v>
      </c>
      <c r="AI576">
        <v>93.839937441925301</v>
      </c>
      <c r="AJ576">
        <v>55.792999642826999</v>
      </c>
      <c r="AK576">
        <v>16.396809254780699</v>
      </c>
    </row>
    <row r="577" spans="1:37" x14ac:dyDescent="0.2">
      <c r="A577" t="str">
        <f>"20200111150517895"</f>
        <v>20200111150517895</v>
      </c>
      <c r="B577" t="str">
        <f>"1578726317885499"</f>
        <v>1578726317885499</v>
      </c>
      <c r="C577" t="s">
        <v>37</v>
      </c>
      <c r="D577">
        <v>5.5237239999999996</v>
      </c>
      <c r="E577">
        <v>0.68645400000000001</v>
      </c>
      <c r="F577" t="s">
        <v>60</v>
      </c>
      <c r="G577">
        <v>-206.07859999999999</v>
      </c>
      <c r="H577" s="1">
        <v>4.6461250000000003E-6</v>
      </c>
      <c r="I577">
        <v>287.6644</v>
      </c>
      <c r="J577">
        <v>-193.46039999999999</v>
      </c>
      <c r="K577">
        <v>1.0980479999999999</v>
      </c>
      <c r="L577">
        <v>297.84879999999998</v>
      </c>
      <c r="M577">
        <v>-0.2929561</v>
      </c>
      <c r="N577">
        <v>0</v>
      </c>
      <c r="O577">
        <v>-0.95603530000000003</v>
      </c>
      <c r="P577">
        <v>-0.423606499999999</v>
      </c>
      <c r="Q577">
        <v>0.1124569</v>
      </c>
      <c r="R577">
        <v>-0.89883880000000005</v>
      </c>
      <c r="S577">
        <v>-2.6219790000000001</v>
      </c>
      <c r="T577">
        <v>-0.226848999999999</v>
      </c>
      <c r="U577">
        <v>-2.1476139999999999</v>
      </c>
      <c r="V577">
        <v>0.1433632</v>
      </c>
      <c r="W577">
        <v>0.1234638</v>
      </c>
      <c r="X577">
        <v>0.98193869999999905</v>
      </c>
      <c r="Y577">
        <v>0.55210009999999998</v>
      </c>
      <c r="Z577">
        <v>6.9760139999999998E-2</v>
      </c>
      <c r="AA577">
        <v>0.83085439999999999</v>
      </c>
      <c r="AB577">
        <v>22</v>
      </c>
      <c r="AC577">
        <v>-12.6182</v>
      </c>
      <c r="AD577">
        <v>-1.0980433538750001</v>
      </c>
      <c r="AE577">
        <v>-10.184399999999901</v>
      </c>
      <c r="AF577">
        <v>9.0392003842707602</v>
      </c>
      <c r="AG577">
        <v>-1.0980433538750001</v>
      </c>
      <c r="AH577">
        <v>13.373066878774701</v>
      </c>
      <c r="AI577">
        <v>93.891627752320204</v>
      </c>
      <c r="AJ577">
        <v>55.944226251913797</v>
      </c>
      <c r="AK577">
        <v>16.178744096442401</v>
      </c>
    </row>
    <row r="578" spans="1:37" x14ac:dyDescent="0.2">
      <c r="A578" t="str">
        <f>"20200111150517939"</f>
        <v>20200111150517939</v>
      </c>
      <c r="B578" t="str">
        <f>"1578726317935275"</f>
        <v>1578726317935275</v>
      </c>
      <c r="C578" t="s">
        <v>37</v>
      </c>
      <c r="D578">
        <v>4.8785099999999897</v>
      </c>
      <c r="E578">
        <v>0.6662245</v>
      </c>
      <c r="F578" t="s">
        <v>60</v>
      </c>
      <c r="G578">
        <v>-206.37970000000001</v>
      </c>
      <c r="H578" s="1">
        <v>4.7983899999999998E-6</v>
      </c>
      <c r="I578">
        <v>287.44979999999998</v>
      </c>
      <c r="J578">
        <v>-193.61160000000001</v>
      </c>
      <c r="K578">
        <v>1.0980190000000001</v>
      </c>
      <c r="L578">
        <v>297.4341</v>
      </c>
      <c r="M578">
        <v>-0.31024990000000002</v>
      </c>
      <c r="N578">
        <v>0</v>
      </c>
      <c r="O578">
        <v>-0.95056369999999901</v>
      </c>
      <c r="P578">
        <v>-0.44457770000000002</v>
      </c>
      <c r="Q578">
        <v>0.1115712</v>
      </c>
      <c r="R578">
        <v>-0.88876469999999896</v>
      </c>
      <c r="S578">
        <v>-2.6372680000000002</v>
      </c>
      <c r="T578">
        <v>-0.22414899999999999</v>
      </c>
      <c r="U578">
        <v>-2.12280299999999</v>
      </c>
      <c r="V578">
        <v>0.14855989999999999</v>
      </c>
      <c r="W578">
        <v>0.12250080000000001</v>
      </c>
      <c r="X578">
        <v>0.98128660000000001</v>
      </c>
      <c r="Y578">
        <v>0.54410019999999903</v>
      </c>
      <c r="Z578">
        <v>6.8886409999999995E-2</v>
      </c>
      <c r="AA578">
        <v>0.83618749999999997</v>
      </c>
      <c r="AB578">
        <v>22</v>
      </c>
      <c r="AC578">
        <v>-12.7681</v>
      </c>
      <c r="AD578">
        <v>-1.0980142016100001</v>
      </c>
      <c r="AE578">
        <v>-9.9843000000000099</v>
      </c>
      <c r="AF578">
        <v>8.9987520499496298</v>
      </c>
      <c r="AG578">
        <v>-1.0980142016100001</v>
      </c>
      <c r="AH578">
        <v>13.391725543580099</v>
      </c>
      <c r="AI578">
        <v>93.8932398115344</v>
      </c>
      <c r="AJ578">
        <v>56.1003361925764</v>
      </c>
      <c r="AK578">
        <v>16.171625975083199</v>
      </c>
    </row>
    <row r="579" spans="1:37" x14ac:dyDescent="0.2">
      <c r="A579" t="str">
        <f>"20200111150517962"</f>
        <v>20200111150517962</v>
      </c>
      <c r="B579" t="str">
        <f>"1578726317954795"</f>
        <v>1578726317954795</v>
      </c>
      <c r="C579" t="s">
        <v>37</v>
      </c>
      <c r="D579">
        <v>4.7513309999999898</v>
      </c>
      <c r="E579">
        <v>0.66966840000000005</v>
      </c>
      <c r="F579" t="s">
        <v>63</v>
      </c>
      <c r="G579">
        <v>-214.9178</v>
      </c>
      <c r="H579">
        <v>5.7470899999999998E-2</v>
      </c>
      <c r="I579">
        <v>279.60890000000001</v>
      </c>
      <c r="J579">
        <v>-193.69730000000001</v>
      </c>
      <c r="K579">
        <v>1.0980270000000001</v>
      </c>
      <c r="L579">
        <v>297.20909999999998</v>
      </c>
      <c r="M579">
        <v>-0.31967040000000002</v>
      </c>
      <c r="N579">
        <v>0</v>
      </c>
      <c r="O579">
        <v>-0.94743719999999998</v>
      </c>
      <c r="P579">
        <v>-0.4539648</v>
      </c>
      <c r="Q579">
        <v>0.11103399999999999</v>
      </c>
      <c r="R579">
        <v>-0.88407459999999904</v>
      </c>
      <c r="S579">
        <v>-2.536591</v>
      </c>
      <c r="T579">
        <v>-0.12388159999999999</v>
      </c>
      <c r="U579">
        <v>-2.1221619999999999</v>
      </c>
      <c r="V579">
        <v>0.1491816</v>
      </c>
      <c r="W579">
        <v>0.12196129999999999</v>
      </c>
      <c r="X579">
        <v>0.98125949999999995</v>
      </c>
      <c r="Y579">
        <v>0.52099309999999999</v>
      </c>
      <c r="Z579">
        <v>3.8833779999999998E-2</v>
      </c>
      <c r="AA579">
        <v>0.85267700000000002</v>
      </c>
      <c r="AB579">
        <v>22</v>
      </c>
      <c r="AC579">
        <v>-21.220499999999902</v>
      </c>
      <c r="AD579">
        <v>-1.0405561000000001</v>
      </c>
      <c r="AE579">
        <v>-17.600199999999901</v>
      </c>
      <c r="AF579">
        <v>14.4594868955195</v>
      </c>
      <c r="AG579">
        <v>-1.0405561000000001</v>
      </c>
      <c r="AH579">
        <v>23.427313194672202</v>
      </c>
      <c r="AI579">
        <v>92.164566729290101</v>
      </c>
      <c r="AJ579">
        <v>58.3168511154608</v>
      </c>
      <c r="AK579">
        <v>27.549927800272201</v>
      </c>
    </row>
    <row r="580" spans="1:37" x14ac:dyDescent="0.2">
      <c r="A580" t="str">
        <f>"20200111150517984"</f>
        <v>20200111150517984</v>
      </c>
      <c r="B580" t="str">
        <f>"1578726317975291"</f>
        <v>1578726317975291</v>
      </c>
      <c r="C580" t="s">
        <v>37</v>
      </c>
      <c r="D580">
        <v>4.9339309999999896</v>
      </c>
      <c r="E580">
        <v>0.66878490000000002</v>
      </c>
      <c r="F580" t="s">
        <v>63</v>
      </c>
      <c r="G580">
        <v>-212.3184</v>
      </c>
      <c r="H580" s="1">
        <v>-3.0304570000000002E-7</v>
      </c>
      <c r="I580">
        <v>282.18490000000003</v>
      </c>
      <c r="J580">
        <v>-193.77629999999999</v>
      </c>
      <c r="K580">
        <v>1.09805</v>
      </c>
      <c r="L580">
        <v>297.00729999999999</v>
      </c>
      <c r="M580">
        <v>-0.32812249999999998</v>
      </c>
      <c r="N580">
        <v>0</v>
      </c>
      <c r="O580">
        <v>-0.94454319999999903</v>
      </c>
      <c r="P580">
        <v>-0.46197159999999898</v>
      </c>
      <c r="Q580">
        <v>0.1130336</v>
      </c>
      <c r="R580">
        <v>-0.87966239999999996</v>
      </c>
      <c r="S580">
        <v>-2.5846100000000001</v>
      </c>
      <c r="T580">
        <v>-0.15240599999999899</v>
      </c>
      <c r="U580">
        <v>-2.0853579999999998</v>
      </c>
      <c r="V580">
        <v>0.14942920000000001</v>
      </c>
      <c r="W580">
        <v>0.123961999999999</v>
      </c>
      <c r="X580">
        <v>0.98097109999999998</v>
      </c>
      <c r="Y580">
        <v>0.52820429999999996</v>
      </c>
      <c r="Z580">
        <v>4.7608530000000003E-2</v>
      </c>
      <c r="AA580">
        <v>0.84778169999999897</v>
      </c>
      <c r="AB580">
        <v>22</v>
      </c>
      <c r="AC580">
        <v>-18.542100000000001</v>
      </c>
      <c r="AD580">
        <v>-1.0980503030456901</v>
      </c>
      <c r="AE580">
        <v>-14.822399999999901</v>
      </c>
      <c r="AF580">
        <v>12.6243392448824</v>
      </c>
      <c r="AG580">
        <v>-1.0980503030456901</v>
      </c>
      <c r="AH580">
        <v>20.043337078068099</v>
      </c>
      <c r="AI580">
        <v>92.654057649058203</v>
      </c>
      <c r="AJ580">
        <v>57.795136352451401</v>
      </c>
      <c r="AK580">
        <v>23.713182347862102</v>
      </c>
    </row>
    <row r="581" spans="1:37" x14ac:dyDescent="0.2">
      <c r="A581" t="str">
        <f>"20200111150518006"</f>
        <v>20200111150518006</v>
      </c>
      <c r="B581" t="str">
        <f>"1578726317994813"</f>
        <v>1578726317994813</v>
      </c>
      <c r="C581" t="s">
        <v>37</v>
      </c>
      <c r="D581">
        <v>5.1901599999999997</v>
      </c>
      <c r="E581">
        <v>0.66519119999999998</v>
      </c>
      <c r="F581" t="s">
        <v>63</v>
      </c>
      <c r="G581">
        <v>-214.3459</v>
      </c>
      <c r="H581" s="1">
        <v>7.7590740000000001E-7</v>
      </c>
      <c r="I581">
        <v>280.66079999999999</v>
      </c>
      <c r="J581">
        <v>-193.86150000000001</v>
      </c>
      <c r="K581">
        <v>1.0980780000000001</v>
      </c>
      <c r="L581">
        <v>296.79500000000002</v>
      </c>
      <c r="M581">
        <v>-0.33700479999999999</v>
      </c>
      <c r="N581">
        <v>0</v>
      </c>
      <c r="O581">
        <v>-0.94141079999999999</v>
      </c>
      <c r="P581">
        <v>-0.47061369999999902</v>
      </c>
      <c r="Q581">
        <v>0.1162856</v>
      </c>
      <c r="R581">
        <v>-0.87464339999999996</v>
      </c>
      <c r="S581">
        <v>-2.5974270000000002</v>
      </c>
      <c r="T581">
        <v>-0.13865569999999999</v>
      </c>
      <c r="U581">
        <v>-2.0641479999999999</v>
      </c>
      <c r="V581">
        <v>0.15003379999999999</v>
      </c>
      <c r="W581">
        <v>0.12720819999999999</v>
      </c>
      <c r="X581">
        <v>0.98046309999999903</v>
      </c>
      <c r="Y581">
        <v>0.52664049999999996</v>
      </c>
      <c r="Z581">
        <v>4.3323760000000003E-2</v>
      </c>
      <c r="AA581">
        <v>0.84898340000000005</v>
      </c>
      <c r="AB581">
        <v>22</v>
      </c>
      <c r="AC581">
        <v>-20.484399999999901</v>
      </c>
      <c r="AD581">
        <v>-1.0980772240926</v>
      </c>
      <c r="AE581">
        <v>-16.1342</v>
      </c>
      <c r="AF581">
        <v>13.8236189540784</v>
      </c>
      <c r="AG581">
        <v>-1.0980772240926</v>
      </c>
      <c r="AH581">
        <v>22.055055308109999</v>
      </c>
      <c r="AI581">
        <v>92.415670462268295</v>
      </c>
      <c r="AJ581">
        <v>57.921427525758403</v>
      </c>
      <c r="AK581">
        <v>26.052325792938699</v>
      </c>
    </row>
    <row r="582" spans="1:37" x14ac:dyDescent="0.2">
      <c r="A582" t="str">
        <f>"20200111150518029"</f>
        <v>20200111150518029</v>
      </c>
      <c r="B582" t="str">
        <f>"1578726318025069"</f>
        <v>1578726318025069</v>
      </c>
      <c r="C582" t="s">
        <v>37</v>
      </c>
      <c r="D582">
        <v>5.0920860000000001</v>
      </c>
      <c r="E582">
        <v>0.66221109999999905</v>
      </c>
      <c r="F582" t="s">
        <v>63</v>
      </c>
      <c r="G582">
        <v>-216.2646</v>
      </c>
      <c r="H582">
        <v>8.0001089999999997E-2</v>
      </c>
      <c r="I582">
        <v>279.0684</v>
      </c>
      <c r="J582">
        <v>-193.94739999999999</v>
      </c>
      <c r="K582">
        <v>1.0981000000000001</v>
      </c>
      <c r="L582">
        <v>296.58690000000001</v>
      </c>
      <c r="M582">
        <v>-0.34569809999999901</v>
      </c>
      <c r="N582">
        <v>0</v>
      </c>
      <c r="O582">
        <v>-0.93825329999999996</v>
      </c>
      <c r="P582">
        <v>-0.47947899999999999</v>
      </c>
      <c r="Q582">
        <v>0.1181586</v>
      </c>
      <c r="R582">
        <v>-0.86956239999999996</v>
      </c>
      <c r="S582">
        <v>-2.592041</v>
      </c>
      <c r="T582">
        <v>-0.11779149999999999</v>
      </c>
      <c r="U582">
        <v>-2.050964</v>
      </c>
      <c r="V582">
        <v>0.15103729999999899</v>
      </c>
      <c r="W582">
        <v>0.1290714</v>
      </c>
      <c r="X582">
        <v>0.98006550000000003</v>
      </c>
      <c r="Y582">
        <v>0.52076639999999996</v>
      </c>
      <c r="Z582">
        <v>3.6880419999999997E-2</v>
      </c>
      <c r="AA582">
        <v>0.85290219999999894</v>
      </c>
      <c r="AB582">
        <v>22</v>
      </c>
      <c r="AC582">
        <v>-22.3172</v>
      </c>
      <c r="AD582">
        <v>-1.01809891</v>
      </c>
      <c r="AE582">
        <v>-17.5185</v>
      </c>
      <c r="AF582">
        <v>14.865224504534799</v>
      </c>
      <c r="AG582">
        <v>-1.01809891</v>
      </c>
      <c r="AH582">
        <v>24.122837830909798</v>
      </c>
      <c r="AI582">
        <v>92.057779423273104</v>
      </c>
      <c r="AJ582">
        <v>58.357364588592198</v>
      </c>
      <c r="AK582">
        <v>28.3535311729798</v>
      </c>
    </row>
    <row r="583" spans="1:37" x14ac:dyDescent="0.2">
      <c r="A583" t="str">
        <f>"20200111150518053"</f>
        <v>20200111150518053</v>
      </c>
      <c r="B583" t="str">
        <f>"1578726318044643"</f>
        <v>1578726318044643</v>
      </c>
      <c r="C583" t="s">
        <v>37</v>
      </c>
      <c r="D583">
        <v>5.7962930000000004</v>
      </c>
      <c r="E583">
        <v>0.66183819999999904</v>
      </c>
      <c r="F583" t="s">
        <v>63</v>
      </c>
      <c r="G583">
        <v>-221.6653</v>
      </c>
      <c r="H583">
        <v>8.0000970000000005E-2</v>
      </c>
      <c r="I583">
        <v>274.83</v>
      </c>
      <c r="J583">
        <v>-194.03980000000001</v>
      </c>
      <c r="K583">
        <v>1.098109</v>
      </c>
      <c r="L583">
        <v>296.36860000000001</v>
      </c>
      <c r="M583">
        <v>-0.35480129999999999</v>
      </c>
      <c r="N583">
        <v>0</v>
      </c>
      <c r="O583">
        <v>-0.93484899999999904</v>
      </c>
      <c r="P583">
        <v>-0.48878909999999998</v>
      </c>
      <c r="Q583">
        <v>0.118433199999999</v>
      </c>
      <c r="R583">
        <v>-0.86432600000000004</v>
      </c>
      <c r="S583">
        <v>-2.5914000000000001</v>
      </c>
      <c r="T583">
        <v>-9.5184089999999999E-2</v>
      </c>
      <c r="U583">
        <v>-2.0340880000000001</v>
      </c>
      <c r="V583">
        <v>0.15204799999999999</v>
      </c>
      <c r="W583">
        <v>0.12933620000000001</v>
      </c>
      <c r="X583">
        <v>0.97987429999999998</v>
      </c>
      <c r="Y583">
        <v>0.51597649999999995</v>
      </c>
      <c r="Z583">
        <v>2.9851369999999999E-2</v>
      </c>
      <c r="AA583">
        <v>0.85608240000000002</v>
      </c>
      <c r="AB583">
        <v>22</v>
      </c>
      <c r="AC583">
        <v>-27.625499999999899</v>
      </c>
      <c r="AD583">
        <v>-1.0181080300000001</v>
      </c>
      <c r="AE583">
        <v>-21.538599999999999</v>
      </c>
      <c r="AF583">
        <v>18.169975745466001</v>
      </c>
      <c r="AG583">
        <v>-1.0181080300000001</v>
      </c>
      <c r="AH583">
        <v>29.914228345788999</v>
      </c>
      <c r="AI583">
        <v>91.666189502117703</v>
      </c>
      <c r="AJ583">
        <v>58.725401783907898</v>
      </c>
      <c r="AK583">
        <v>35.014934243485001</v>
      </c>
    </row>
    <row r="584" spans="1:37" x14ac:dyDescent="0.2">
      <c r="A584" t="str">
        <f>"20200111150518072"</f>
        <v>20200111150518072</v>
      </c>
      <c r="B584" t="str">
        <f>"1578726318065139"</f>
        <v>1578726318065139</v>
      </c>
      <c r="C584" t="s">
        <v>37</v>
      </c>
      <c r="D584">
        <v>5.4519529999999996</v>
      </c>
      <c r="E584">
        <v>0.66472119999999901</v>
      </c>
      <c r="F584" t="s">
        <v>63</v>
      </c>
      <c r="G584">
        <v>-221.01509999999999</v>
      </c>
      <c r="H584">
        <v>8.0001160000000002E-2</v>
      </c>
      <c r="I584">
        <v>275.62119999999999</v>
      </c>
      <c r="J584">
        <v>-194.1225</v>
      </c>
      <c r="K584">
        <v>1.098114</v>
      </c>
      <c r="L584">
        <v>296.1782</v>
      </c>
      <c r="M584">
        <v>-0.36273030000000001</v>
      </c>
      <c r="N584">
        <v>0</v>
      </c>
      <c r="O584">
        <v>-0.93180099999999999</v>
      </c>
      <c r="P584">
        <v>-0.4971062</v>
      </c>
      <c r="Q584">
        <v>0.1154476</v>
      </c>
      <c r="R584">
        <v>-0.85997520000000005</v>
      </c>
      <c r="S584">
        <v>-2.6107480000000001</v>
      </c>
      <c r="T584">
        <v>-9.8535419999999999E-2</v>
      </c>
      <c r="U584">
        <v>-2.0079959999999999</v>
      </c>
      <c r="V584">
        <v>0.1529885</v>
      </c>
      <c r="W584">
        <v>0.12634589999999901</v>
      </c>
      <c r="X584">
        <v>0.98011800000000004</v>
      </c>
      <c r="Y584">
        <v>0.51711390000000002</v>
      </c>
      <c r="Z584">
        <v>3.0891040000000002E-2</v>
      </c>
      <c r="AA584">
        <v>0.85535899999999998</v>
      </c>
      <c r="AB584">
        <v>22</v>
      </c>
      <c r="AC584">
        <v>-26.892599999999899</v>
      </c>
      <c r="AD584">
        <v>-1.0181128399999999</v>
      </c>
      <c r="AE584">
        <v>-20.556999999999999</v>
      </c>
      <c r="AF584">
        <v>17.5875224567868</v>
      </c>
      <c r="AG584">
        <v>-1.0181128399999999</v>
      </c>
      <c r="AH584">
        <v>28.886172121935001</v>
      </c>
      <c r="AI584">
        <v>91.724349458570103</v>
      </c>
      <c r="AJ584">
        <v>58.664599389129798</v>
      </c>
      <c r="AK584">
        <v>33.834426842803303</v>
      </c>
    </row>
    <row r="585" spans="1:37" x14ac:dyDescent="0.2">
      <c r="A585" t="str">
        <f>"20200111150522003"</f>
        <v>20200111150522003</v>
      </c>
      <c r="B585" t="str">
        <f>"1578726321994644"</f>
        <v>1578726321994644</v>
      </c>
      <c r="C585" t="s">
        <v>37</v>
      </c>
      <c r="D585">
        <v>5.5154639999999997</v>
      </c>
      <c r="E585">
        <v>0.49688769999999999</v>
      </c>
      <c r="F585" t="s">
        <v>63</v>
      </c>
      <c r="G585">
        <v>-218.00640000000001</v>
      </c>
      <c r="H585">
        <v>8.0000580000000002E-2</v>
      </c>
      <c r="I585">
        <v>278.40370000000001</v>
      </c>
      <c r="J585">
        <v>-228.22450000000001</v>
      </c>
      <c r="K585">
        <v>1.1023160000000001</v>
      </c>
      <c r="L585">
        <v>283.49220000000003</v>
      </c>
      <c r="M585">
        <v>-0.99944390000000005</v>
      </c>
      <c r="N585">
        <v>0</v>
      </c>
      <c r="O585">
        <v>-3.20545E-2</v>
      </c>
      <c r="P585">
        <v>-0.9924674</v>
      </c>
      <c r="Q585">
        <v>9.995656E-2</v>
      </c>
      <c r="R585">
        <v>-7.0833880000000002E-2</v>
      </c>
      <c r="S585">
        <v>-2.64975</v>
      </c>
      <c r="T585">
        <v>-0.1129526</v>
      </c>
      <c r="U585">
        <v>-1.971954</v>
      </c>
      <c r="V585">
        <v>-3.8811930000000001E-2</v>
      </c>
      <c r="W585">
        <v>0.109156399999999</v>
      </c>
      <c r="X585">
        <v>0.993266599999999</v>
      </c>
      <c r="Y585">
        <v>-0.57068419999999997</v>
      </c>
      <c r="Z585">
        <v>-9.6124000000000001E-3</v>
      </c>
      <c r="AA585">
        <v>0.82111339999999999</v>
      </c>
      <c r="AB585">
        <v>24</v>
      </c>
      <c r="AC585">
        <v>10.2180999999999</v>
      </c>
      <c r="AD585">
        <v>-1.02231542</v>
      </c>
      <c r="AE585">
        <v>-5.0885000000000096</v>
      </c>
      <c r="AF585">
        <v>-5.37036026481716</v>
      </c>
      <c r="AG585">
        <v>-1.02231542</v>
      </c>
      <c r="AH585">
        <v>-9.9697670417457704</v>
      </c>
      <c r="AI585">
        <v>95.158520302227302</v>
      </c>
      <c r="AJ585">
        <v>-118.309773076504</v>
      </c>
      <c r="AK585">
        <v>11.370231002867801</v>
      </c>
    </row>
    <row r="586" spans="1:37" x14ac:dyDescent="0.2">
      <c r="A586" t="str">
        <f>"20200111150522025"</f>
        <v>20200111150522025</v>
      </c>
      <c r="B586" t="str">
        <f>"1578726322015140"</f>
        <v>1578726322015140</v>
      </c>
      <c r="C586" t="s">
        <v>37</v>
      </c>
      <c r="D586">
        <v>5.4863119999999999</v>
      </c>
      <c r="E586">
        <v>0.50228320000000004</v>
      </c>
      <c r="F586" t="s">
        <v>64</v>
      </c>
      <c r="G586">
        <v>-458.45</v>
      </c>
      <c r="H586">
        <v>24.64321</v>
      </c>
      <c r="I586">
        <v>265.12450000000001</v>
      </c>
      <c r="J586">
        <v>-228.47299999999899</v>
      </c>
      <c r="K586">
        <v>1.10233</v>
      </c>
      <c r="L586">
        <v>283.4853</v>
      </c>
      <c r="M586">
        <v>-0.99947350000000001</v>
      </c>
      <c r="N586">
        <v>0</v>
      </c>
      <c r="O586">
        <v>-3.1106399999999999E-2</v>
      </c>
      <c r="P586">
        <v>-0.99243599999999998</v>
      </c>
      <c r="Q586">
        <v>0.10005029999999999</v>
      </c>
      <c r="R586">
        <v>-7.1140040000000002E-2</v>
      </c>
      <c r="S586">
        <v>-2.9752040000000002</v>
      </c>
      <c r="T586">
        <v>0.30421969999999998</v>
      </c>
      <c r="U586">
        <v>-0.23736570000000001</v>
      </c>
      <c r="V586">
        <v>-4.0064089999999997E-2</v>
      </c>
      <c r="W586">
        <v>0.1092825</v>
      </c>
      <c r="X586">
        <v>0.99320299999999995</v>
      </c>
      <c r="Y586">
        <v>-4.8391410000000003E-2</v>
      </c>
      <c r="Z586">
        <v>-7.0245559999999895E-4</v>
      </c>
      <c r="AA586">
        <v>0.99882819999999894</v>
      </c>
      <c r="AB586">
        <v>24</v>
      </c>
      <c r="AC586">
        <v>-229.977</v>
      </c>
      <c r="AD586">
        <v>23.540880000000001</v>
      </c>
      <c r="AE586">
        <v>-18.360799999999902</v>
      </c>
      <c r="AF586">
        <v>-11.082466919241501</v>
      </c>
      <c r="AG586">
        <v>23.540880000000001</v>
      </c>
      <c r="AH586">
        <v>228.06237006092999</v>
      </c>
      <c r="AI586">
        <v>84.113626828028998</v>
      </c>
      <c r="AJ586">
        <v>92.782043699586495</v>
      </c>
      <c r="AK586">
        <v>229.54180173118601</v>
      </c>
    </row>
    <row r="587" spans="1:37" x14ac:dyDescent="0.2">
      <c r="A587" t="str">
        <f>"20200111150522092"</f>
        <v>20200111150522092</v>
      </c>
      <c r="B587" t="str">
        <f>"1578726322085412"</f>
        <v>1578726322085412</v>
      </c>
      <c r="C587" t="s">
        <v>37</v>
      </c>
      <c r="D587">
        <v>5.4483189999999997</v>
      </c>
      <c r="E587">
        <v>0.50145759999999995</v>
      </c>
      <c r="F587" t="s">
        <v>65</v>
      </c>
      <c r="G587">
        <v>-512.83330000000001</v>
      </c>
      <c r="H587">
        <v>24.533570000000001</v>
      </c>
      <c r="I587">
        <v>264.964</v>
      </c>
      <c r="J587">
        <v>-229.19220000000001</v>
      </c>
      <c r="K587">
        <v>1.1023579999999999</v>
      </c>
      <c r="L587">
        <v>283.4665</v>
      </c>
      <c r="M587">
        <v>-0.999552</v>
      </c>
      <c r="N587">
        <v>0</v>
      </c>
      <c r="O587">
        <v>-2.844961E-2</v>
      </c>
      <c r="P587">
        <v>-0.99251060000000002</v>
      </c>
      <c r="Q587">
        <v>0.10085619999999999</v>
      </c>
      <c r="R587">
        <v>-6.8927760000000005E-2</v>
      </c>
      <c r="S587">
        <v>-2.984146</v>
      </c>
      <c r="T587">
        <v>0.24589369999999999</v>
      </c>
      <c r="U587">
        <v>-0.1943665</v>
      </c>
      <c r="V587">
        <v>-4.0497270000000002E-2</v>
      </c>
      <c r="W587">
        <v>0.110157899999999</v>
      </c>
      <c r="X587">
        <v>0.99308869999999905</v>
      </c>
      <c r="Y587">
        <v>-3.6550970000000002E-2</v>
      </c>
      <c r="Z587">
        <v>-8.3537330000000003E-4</v>
      </c>
      <c r="AA587">
        <v>0.99933139999999998</v>
      </c>
      <c r="AB587">
        <v>24</v>
      </c>
      <c r="AC587">
        <v>-283.64109999999999</v>
      </c>
      <c r="AD587">
        <v>23.431211999999999</v>
      </c>
      <c r="AE587">
        <v>-18.502500000000001</v>
      </c>
      <c r="AF587">
        <v>-10.354818832295701</v>
      </c>
      <c r="AG587">
        <v>23.431211999999999</v>
      </c>
      <c r="AH587">
        <v>282.13550319068702</v>
      </c>
      <c r="AI587">
        <v>85.255688717854397</v>
      </c>
      <c r="AJ587">
        <v>92.101902234417395</v>
      </c>
      <c r="AK587">
        <v>283.29611033245902</v>
      </c>
    </row>
    <row r="588" spans="1:37" x14ac:dyDescent="0.2">
      <c r="A588" t="str">
        <f>"20200111150522115"</f>
        <v>20200111150522115</v>
      </c>
      <c r="B588" t="str">
        <f>"1578726322104932"</f>
        <v>1578726322104932</v>
      </c>
      <c r="C588" t="s">
        <v>37</v>
      </c>
      <c r="D588">
        <v>5.4701820000000003</v>
      </c>
      <c r="E588">
        <v>0.458742599999999</v>
      </c>
      <c r="F588" t="s">
        <v>65</v>
      </c>
      <c r="G588">
        <v>-512.83259999999996</v>
      </c>
      <c r="H588">
        <v>22.410229999999999</v>
      </c>
      <c r="I588">
        <v>265.06099999999998</v>
      </c>
      <c r="J588">
        <v>-229.43950000000001</v>
      </c>
      <c r="K588">
        <v>1.1023609999999999</v>
      </c>
      <c r="L588">
        <v>283.46050000000002</v>
      </c>
      <c r="M588">
        <v>-0.99957700000000005</v>
      </c>
      <c r="N588">
        <v>0</v>
      </c>
      <c r="O588">
        <v>-2.7553049999999999E-2</v>
      </c>
      <c r="P588">
        <v>-0.99255439999999995</v>
      </c>
      <c r="Q588">
        <v>0.1015672</v>
      </c>
      <c r="R588">
        <v>-6.7232799999999995E-2</v>
      </c>
      <c r="S588">
        <v>-2.9863740000000001</v>
      </c>
      <c r="T588">
        <v>0.22434560000000001</v>
      </c>
      <c r="U588">
        <v>-0.1937866</v>
      </c>
      <c r="V588">
        <v>-3.9693270000000003E-2</v>
      </c>
      <c r="W588">
        <v>0.1108854</v>
      </c>
      <c r="X588">
        <v>0.99304020000000004</v>
      </c>
      <c r="Y588">
        <v>-3.7206000000000003E-2</v>
      </c>
      <c r="Z588">
        <v>-6.7014009999999998E-4</v>
      </c>
      <c r="AA588">
        <v>0.99930739999999996</v>
      </c>
      <c r="AB588">
        <v>24</v>
      </c>
      <c r="AC588">
        <v>-283.39309999999898</v>
      </c>
      <c r="AD588">
        <v>21.307869</v>
      </c>
      <c r="AE588">
        <v>-18.3995</v>
      </c>
      <c r="AF588">
        <v>-10.524582520612</v>
      </c>
      <c r="AG588">
        <v>21.307869</v>
      </c>
      <c r="AH588">
        <v>282.20379881463998</v>
      </c>
      <c r="AI588">
        <v>85.685049233028707</v>
      </c>
      <c r="AJ588">
        <v>92.135813994517804</v>
      </c>
      <c r="AK588">
        <v>283.20271217622297</v>
      </c>
    </row>
    <row r="589" spans="1:37" x14ac:dyDescent="0.2">
      <c r="A589" t="str">
        <f>"20200111150522138"</f>
        <v>20200111150522138</v>
      </c>
      <c r="B589" t="str">
        <f>"1578726322125428"</f>
        <v>1578726322125428</v>
      </c>
      <c r="C589" t="s">
        <v>37</v>
      </c>
      <c r="D589">
        <v>5.4653330000000002</v>
      </c>
      <c r="E589">
        <v>0.45861179999999901</v>
      </c>
      <c r="F589" t="s">
        <v>66</v>
      </c>
      <c r="G589">
        <v>-300.25569999999999</v>
      </c>
      <c r="H589" s="1">
        <v>7.3567100000000001E-6</v>
      </c>
      <c r="I589">
        <v>271.05399999999997</v>
      </c>
      <c r="J589">
        <v>-229.6885</v>
      </c>
      <c r="K589">
        <v>1.102363</v>
      </c>
      <c r="L589">
        <v>283.4547</v>
      </c>
      <c r="M589">
        <v>-0.99960119999999897</v>
      </c>
      <c r="N589">
        <v>0</v>
      </c>
      <c r="O589">
        <v>-2.6651350000000001E-2</v>
      </c>
      <c r="P589">
        <v>-0.99259129999999995</v>
      </c>
      <c r="Q589">
        <v>0.1023121</v>
      </c>
      <c r="R589">
        <v>-6.5535019999999999E-2</v>
      </c>
      <c r="S589">
        <v>-2.99177599999999</v>
      </c>
      <c r="T589">
        <v>-4.6571139999999997E-2</v>
      </c>
      <c r="U589">
        <v>-0.52413940000000003</v>
      </c>
      <c r="V589">
        <v>-3.8891580000000002E-2</v>
      </c>
      <c r="W589">
        <v>0.11164549999999999</v>
      </c>
      <c r="X589">
        <v>0.99298679999999995</v>
      </c>
      <c r="Y589">
        <v>-0.14623720000000001</v>
      </c>
      <c r="Z589">
        <v>-7.1807469999999999E-4</v>
      </c>
      <c r="AA589">
        <v>0.9892493</v>
      </c>
      <c r="AB589">
        <v>24</v>
      </c>
      <c r="AC589">
        <v>-70.5671999999999</v>
      </c>
      <c r="AD589">
        <v>-1.1023556432899999</v>
      </c>
      <c r="AE589">
        <v>-12.400699999999899</v>
      </c>
      <c r="AF589">
        <v>-10.5130130516654</v>
      </c>
      <c r="AG589">
        <v>-1.1023556432899999</v>
      </c>
      <c r="AH589">
        <v>70.855868632536499</v>
      </c>
      <c r="AI589">
        <v>90.881669447251497</v>
      </c>
      <c r="AJ589">
        <v>98.4395079385381</v>
      </c>
      <c r="AK589">
        <v>71.640021992319703</v>
      </c>
    </row>
    <row r="590" spans="1:37" x14ac:dyDescent="0.2">
      <c r="A590" t="str">
        <f>"20200111150522159"</f>
        <v>20200111150522159</v>
      </c>
      <c r="B590" t="str">
        <f>"1578726322155684"</f>
        <v>1578726322155684</v>
      </c>
      <c r="C590" t="s">
        <v>37</v>
      </c>
      <c r="D590">
        <v>5.4678779999999998</v>
      </c>
      <c r="E590">
        <v>0.457910499999999</v>
      </c>
      <c r="F590" t="s">
        <v>67</v>
      </c>
      <c r="G590">
        <v>-320.69979999999998</v>
      </c>
      <c r="H590">
        <v>5.6755069999999998E-2</v>
      </c>
      <c r="I590">
        <v>267.63060000000002</v>
      </c>
      <c r="J590">
        <v>-229.9282</v>
      </c>
      <c r="K590">
        <v>1.1023780000000001</v>
      </c>
      <c r="L590">
        <v>283.44929999999999</v>
      </c>
      <c r="M590">
        <v>-0.99962399999999996</v>
      </c>
      <c r="N590">
        <v>0</v>
      </c>
      <c r="O590">
        <v>-2.578372E-2</v>
      </c>
      <c r="P590">
        <v>-0.99254709999999902</v>
      </c>
      <c r="Q590">
        <v>0.1031651</v>
      </c>
      <c r="R590">
        <v>-6.4867030000000006E-2</v>
      </c>
      <c r="S590">
        <v>-2.9915769999999999</v>
      </c>
      <c r="T590">
        <v>-3.4368040000000002E-2</v>
      </c>
      <c r="U590">
        <v>-0.52014159999999998</v>
      </c>
      <c r="V590">
        <v>-3.9086599999999999E-2</v>
      </c>
      <c r="W590">
        <v>0.1125126</v>
      </c>
      <c r="X590">
        <v>0.99288120000000002</v>
      </c>
      <c r="Y590">
        <v>-0.1458304</v>
      </c>
      <c r="Z590">
        <v>-5.3758509999999996E-4</v>
      </c>
      <c r="AA590">
        <v>0.98930949999999995</v>
      </c>
      <c r="AB590">
        <v>24</v>
      </c>
      <c r="AC590">
        <v>-90.771599999999907</v>
      </c>
      <c r="AD590">
        <v>-1.04562293</v>
      </c>
      <c r="AE590">
        <v>-15.8186999999999</v>
      </c>
      <c r="AF590">
        <v>-13.4711742757043</v>
      </c>
      <c r="AG590">
        <v>-1.04562293</v>
      </c>
      <c r="AH590">
        <v>91.137565622481404</v>
      </c>
      <c r="AI590">
        <v>90.650262132071703</v>
      </c>
      <c r="AJ590">
        <v>98.408090138332497</v>
      </c>
      <c r="AK590">
        <v>92.133716582314406</v>
      </c>
    </row>
    <row r="591" spans="1:37" x14ac:dyDescent="0.2">
      <c r="A591" t="str">
        <f>"20200111150522182"</f>
        <v>20200111150522182</v>
      </c>
      <c r="B591" t="str">
        <f>"1578726322175204"</f>
        <v>1578726322175204</v>
      </c>
      <c r="C591" t="s">
        <v>37</v>
      </c>
      <c r="D591">
        <v>5.4281160000000002</v>
      </c>
      <c r="E591">
        <v>0.45754489999999998</v>
      </c>
      <c r="F591" t="s">
        <v>63</v>
      </c>
      <c r="G591">
        <v>-275.48520000000002</v>
      </c>
      <c r="H591">
        <v>8.0001729999999993E-2</v>
      </c>
      <c r="I591">
        <v>275.4914</v>
      </c>
      <c r="J591">
        <v>-230.1755</v>
      </c>
      <c r="K591">
        <v>1.1023860000000001</v>
      </c>
      <c r="L591">
        <v>283.44400000000002</v>
      </c>
      <c r="M591">
        <v>-0.99964640000000005</v>
      </c>
      <c r="N591">
        <v>0</v>
      </c>
      <c r="O591">
        <v>-2.4886869999999998E-2</v>
      </c>
      <c r="P591">
        <v>-0.9925001</v>
      </c>
      <c r="Q591">
        <v>0.10397199999999999</v>
      </c>
      <c r="R591">
        <v>-6.4292169999999996E-2</v>
      </c>
      <c r="S591">
        <v>-2.9953159999999999</v>
      </c>
      <c r="T591">
        <v>-6.7219970000000004E-2</v>
      </c>
      <c r="U591">
        <v>-0.52322389999999996</v>
      </c>
      <c r="V591">
        <v>-3.9403899999999999E-2</v>
      </c>
      <c r="W591">
        <v>0.11333219999999999</v>
      </c>
      <c r="X591">
        <v>0.99277549999999903</v>
      </c>
      <c r="Y591">
        <v>-0.1474752</v>
      </c>
      <c r="Z591">
        <v>-1.088239E-3</v>
      </c>
      <c r="AA591">
        <v>0.98906519999999998</v>
      </c>
      <c r="AB591">
        <v>24</v>
      </c>
      <c r="AC591">
        <v>-45.309699999999999</v>
      </c>
      <c r="AD591">
        <v>-1.0223842700000001</v>
      </c>
      <c r="AE591">
        <v>-7.9526000000000101</v>
      </c>
      <c r="AF591">
        <v>-6.8191023955377101</v>
      </c>
      <c r="AG591">
        <v>-1.0223842700000001</v>
      </c>
      <c r="AH591">
        <v>45.471129434416603</v>
      </c>
      <c r="AI591">
        <v>91.2737964295777</v>
      </c>
      <c r="AJ591">
        <v>98.528834530218802</v>
      </c>
      <c r="AK591">
        <v>45.990966929581298</v>
      </c>
    </row>
    <row r="592" spans="1:37" x14ac:dyDescent="0.2">
      <c r="A592" t="str">
        <f>"20200111150522205"</f>
        <v>20200111150522205</v>
      </c>
      <c r="B592" t="str">
        <f>"1578726322195700"</f>
        <v>1578726322195700</v>
      </c>
      <c r="C592" t="s">
        <v>37</v>
      </c>
      <c r="D592">
        <v>5.4894169999999898</v>
      </c>
      <c r="E592">
        <v>0.45622279999999998</v>
      </c>
      <c r="F592" t="s">
        <v>63</v>
      </c>
      <c r="G592">
        <v>-269.71899999999999</v>
      </c>
      <c r="H592">
        <v>8.0000070000000006E-2</v>
      </c>
      <c r="I592">
        <v>276.51929999999999</v>
      </c>
      <c r="J592">
        <v>-230.42769999999999</v>
      </c>
      <c r="K592">
        <v>1.102393</v>
      </c>
      <c r="L592">
        <v>283.43869999999998</v>
      </c>
      <c r="M592">
        <v>-0.99966880000000002</v>
      </c>
      <c r="N592">
        <v>0</v>
      </c>
      <c r="O592">
        <v>-2.3971180000000002E-2</v>
      </c>
      <c r="P592">
        <v>-0.99254019999999998</v>
      </c>
      <c r="Q592">
        <v>0.1044831</v>
      </c>
      <c r="R592">
        <v>-6.2830769999999994E-2</v>
      </c>
      <c r="S592">
        <v>-2.9967959999999998</v>
      </c>
      <c r="T592">
        <v>-7.7481270000000005E-2</v>
      </c>
      <c r="U592">
        <v>-0.52478029999999998</v>
      </c>
      <c r="V592">
        <v>-3.8851950000000003E-2</v>
      </c>
      <c r="W592">
        <v>0.11385480000000001</v>
      </c>
      <c r="X592">
        <v>0.99273739999999999</v>
      </c>
      <c r="Y592">
        <v>-0.14878620000000001</v>
      </c>
      <c r="Z592">
        <v>-1.2939259999999999E-3</v>
      </c>
      <c r="AA592">
        <v>0.98886849999999904</v>
      </c>
      <c r="AB592">
        <v>24</v>
      </c>
      <c r="AC592">
        <v>-39.2913</v>
      </c>
      <c r="AD592">
        <v>-1.0223929300000001</v>
      </c>
      <c r="AE592">
        <v>-6.9193999999999898</v>
      </c>
      <c r="AF592">
        <v>-5.9715897719815798</v>
      </c>
      <c r="AG592">
        <v>-1.0223929300000001</v>
      </c>
      <c r="AH592">
        <v>39.419994300010103</v>
      </c>
      <c r="AI592">
        <v>91.468932854628207</v>
      </c>
      <c r="AJ592">
        <v>98.614033184447806</v>
      </c>
      <c r="AK592">
        <v>39.882842455383901</v>
      </c>
    </row>
    <row r="593" spans="1:37" x14ac:dyDescent="0.2">
      <c r="A593" t="str">
        <f>"20200111150522227"</f>
        <v>20200111150522227</v>
      </c>
      <c r="B593" t="str">
        <f>"1578726322215220"</f>
        <v>1578726322215220</v>
      </c>
      <c r="C593" t="s">
        <v>37</v>
      </c>
      <c r="D593">
        <v>5.4586119999999996</v>
      </c>
      <c r="E593">
        <v>0.45573409999999898</v>
      </c>
      <c r="F593" t="s">
        <v>63</v>
      </c>
      <c r="G593">
        <v>-263.2756</v>
      </c>
      <c r="H593">
        <v>8.0000489999999994E-2</v>
      </c>
      <c r="I593">
        <v>277.61099999999999</v>
      </c>
      <c r="J593">
        <v>-230.6747</v>
      </c>
      <c r="K593">
        <v>1.1024039999999999</v>
      </c>
      <c r="L593">
        <v>283.43380000000002</v>
      </c>
      <c r="M593">
        <v>-0.99968979999999996</v>
      </c>
      <c r="N593">
        <v>0</v>
      </c>
      <c r="O593">
        <v>-2.3073110000000001E-2</v>
      </c>
      <c r="P593">
        <v>-0.99265439999999905</v>
      </c>
      <c r="Q593">
        <v>0.104199</v>
      </c>
      <c r="R593">
        <v>-6.1478360000000003E-2</v>
      </c>
      <c r="S593">
        <v>-2.998688</v>
      </c>
      <c r="T593">
        <v>-9.3334440000000005E-2</v>
      </c>
      <c r="U593">
        <v>-0.53201290000000001</v>
      </c>
      <c r="V593">
        <v>-3.8390180000000003E-2</v>
      </c>
      <c r="W593">
        <v>0.113581399999999</v>
      </c>
      <c r="X593">
        <v>0.99278670000000002</v>
      </c>
      <c r="Y593">
        <v>-0.151861</v>
      </c>
      <c r="Z593">
        <v>-1.632437E-3</v>
      </c>
      <c r="AA593">
        <v>0.98840049999999902</v>
      </c>
      <c r="AB593">
        <v>25</v>
      </c>
      <c r="AC593">
        <v>-32.600900000000003</v>
      </c>
      <c r="AD593">
        <v>-1.02240351</v>
      </c>
      <c r="AE593">
        <v>-5.8228000000000204</v>
      </c>
      <c r="AF593">
        <v>-5.0641857181532002</v>
      </c>
      <c r="AG593">
        <v>-1.02240351</v>
      </c>
      <c r="AH593">
        <v>32.695413606609399</v>
      </c>
      <c r="AI593">
        <v>91.769994459960003</v>
      </c>
      <c r="AJ593">
        <v>98.804566413304499</v>
      </c>
      <c r="AK593">
        <v>33.101077880221098</v>
      </c>
    </row>
    <row r="594" spans="1:37" x14ac:dyDescent="0.2">
      <c r="A594" t="str">
        <f>"20200111150522250"</f>
        <v>20200111150522250</v>
      </c>
      <c r="B594" t="str">
        <f>"1578726322245476"</f>
        <v>1578726322245476</v>
      </c>
      <c r="C594" t="s">
        <v>37</v>
      </c>
      <c r="D594">
        <v>5.4565650000000003</v>
      </c>
      <c r="E594">
        <v>0.45504299999999998</v>
      </c>
      <c r="F594" t="s">
        <v>63</v>
      </c>
      <c r="G594">
        <v>-257.99740000000003</v>
      </c>
      <c r="H594">
        <v>8.0000580000000002E-2</v>
      </c>
      <c r="I594">
        <v>278.59550000000002</v>
      </c>
      <c r="J594">
        <v>-230.92009999999999</v>
      </c>
      <c r="K594">
        <v>1.1024039999999999</v>
      </c>
      <c r="L594">
        <v>283.42910000000001</v>
      </c>
      <c r="M594">
        <v>-0.99970990000000004</v>
      </c>
      <c r="N594">
        <v>0</v>
      </c>
      <c r="O594">
        <v>-2.2180269999999998E-2</v>
      </c>
      <c r="P594">
        <v>-0.99275329999999995</v>
      </c>
      <c r="Q594">
        <v>0.10380779999999901</v>
      </c>
      <c r="R594">
        <v>-6.0541119999999997E-2</v>
      </c>
      <c r="S594">
        <v>-3.0010829999999999</v>
      </c>
      <c r="T594">
        <v>-0.11229929999999901</v>
      </c>
      <c r="U594">
        <v>-0.53143309999999999</v>
      </c>
      <c r="V594">
        <v>-3.8338369999999997E-2</v>
      </c>
      <c r="W594">
        <v>0.1132005</v>
      </c>
      <c r="X594">
        <v>0.99283220000000005</v>
      </c>
      <c r="Y594">
        <v>-0.152395</v>
      </c>
      <c r="Z594">
        <v>-2.0054309999999998E-3</v>
      </c>
      <c r="AA594">
        <v>0.98831759999999902</v>
      </c>
      <c r="AB594">
        <v>25</v>
      </c>
      <c r="AC594">
        <v>-27.077300000000001</v>
      </c>
      <c r="AD594">
        <v>-1.0224034200000001</v>
      </c>
      <c r="AE594">
        <v>-4.8335999999999899</v>
      </c>
      <c r="AF594">
        <v>-4.2259635020528501</v>
      </c>
      <c r="AG594">
        <v>-1.0224034200000001</v>
      </c>
      <c r="AH594">
        <v>27.140353795242302</v>
      </c>
      <c r="AI594">
        <v>92.131704796570503</v>
      </c>
      <c r="AJ594">
        <v>98.850328604529693</v>
      </c>
      <c r="AK594">
        <v>27.486412650704899</v>
      </c>
    </row>
    <row r="595" spans="1:37" x14ac:dyDescent="0.2">
      <c r="A595" t="str">
        <f>"20200111150522272"</f>
        <v>20200111150522272</v>
      </c>
      <c r="B595" t="str">
        <f>"1578726322264996"</f>
        <v>1578726322264996</v>
      </c>
      <c r="C595" t="s">
        <v>37</v>
      </c>
      <c r="D595">
        <v>5.3550570000000004</v>
      </c>
      <c r="E595">
        <v>0.45465479999999903</v>
      </c>
      <c r="F595" t="s">
        <v>63</v>
      </c>
      <c r="G595">
        <v>-254.8751</v>
      </c>
      <c r="H595">
        <v>8.0000039999999994E-2</v>
      </c>
      <c r="I595">
        <v>279.17419999999998</v>
      </c>
      <c r="J595">
        <v>-231.17420000000001</v>
      </c>
      <c r="K595">
        <v>1.1023940000000001</v>
      </c>
      <c r="L595">
        <v>283.42450000000002</v>
      </c>
      <c r="M595">
        <v>-0.99972999999999901</v>
      </c>
      <c r="N595">
        <v>0</v>
      </c>
      <c r="O595">
        <v>-2.125548E-2</v>
      </c>
      <c r="P595">
        <v>-0.99282590000000004</v>
      </c>
      <c r="Q595">
        <v>0.1040658</v>
      </c>
      <c r="R595">
        <v>-5.8885020000000003E-2</v>
      </c>
      <c r="S595">
        <v>-3.0027619999999899</v>
      </c>
      <c r="T595">
        <v>-0.12815860000000001</v>
      </c>
      <c r="U595">
        <v>-0.53335569999999999</v>
      </c>
      <c r="V595">
        <v>-3.7599630000000002E-2</v>
      </c>
      <c r="W595">
        <v>0.1134672</v>
      </c>
      <c r="X595">
        <v>0.99282999999999899</v>
      </c>
      <c r="Y595">
        <v>-0.1537992</v>
      </c>
      <c r="Z595">
        <v>-2.355846E-3</v>
      </c>
      <c r="AA595">
        <v>0.98809930000000001</v>
      </c>
      <c r="AB595">
        <v>25</v>
      </c>
      <c r="AC595">
        <v>-23.700899999999901</v>
      </c>
      <c r="AD595">
        <v>-1.02239396</v>
      </c>
      <c r="AE595">
        <v>-4.2503000000000304</v>
      </c>
      <c r="AF595">
        <v>-3.73880295915593</v>
      </c>
      <c r="AG595">
        <v>-1.02239396</v>
      </c>
      <c r="AH595">
        <v>23.743085824306402</v>
      </c>
      <c r="AI595">
        <v>92.435696638448803</v>
      </c>
      <c r="AJ595">
        <v>98.948832483685806</v>
      </c>
      <c r="AK595">
        <v>24.057390993979801</v>
      </c>
    </row>
    <row r="596" spans="1:37" x14ac:dyDescent="0.2">
      <c r="A596" t="str">
        <f>"20200111150522296"</f>
        <v>20200111150522296</v>
      </c>
      <c r="B596" t="str">
        <f>"1578726322285493"</f>
        <v>1578726322285493</v>
      </c>
      <c r="C596" t="s">
        <v>37</v>
      </c>
      <c r="D596">
        <v>5.3972980000000002</v>
      </c>
      <c r="E596">
        <v>0.45432869999999997</v>
      </c>
      <c r="F596" t="s">
        <v>63</v>
      </c>
      <c r="G596">
        <v>-252.95949999999999</v>
      </c>
      <c r="H596">
        <v>8.0000589999999996E-2</v>
      </c>
      <c r="I596">
        <v>279.57150000000001</v>
      </c>
      <c r="J596">
        <v>-231.43090000000001</v>
      </c>
      <c r="K596">
        <v>1.102395</v>
      </c>
      <c r="L596">
        <v>283.42020000000002</v>
      </c>
      <c r="M596">
        <v>-0.9997492</v>
      </c>
      <c r="N596">
        <v>0</v>
      </c>
      <c r="O596">
        <v>-2.032043E-2</v>
      </c>
      <c r="P596">
        <v>-0.9928321</v>
      </c>
      <c r="Q596">
        <v>0.10436819999999999</v>
      </c>
      <c r="R596">
        <v>-5.8237419999999998E-2</v>
      </c>
      <c r="S596">
        <v>-3.0049589999999999</v>
      </c>
      <c r="T596">
        <v>-0.14102400000000001</v>
      </c>
      <c r="U596">
        <v>-0.53146359999999904</v>
      </c>
      <c r="V596">
        <v>-3.7880419999999998E-2</v>
      </c>
      <c r="W596">
        <v>0.1137785</v>
      </c>
      <c r="X596">
        <v>0.99278369999999905</v>
      </c>
      <c r="Y596">
        <v>-0.15397</v>
      </c>
      <c r="Z596">
        <v>-2.6378259999999998E-3</v>
      </c>
      <c r="AA596">
        <v>0.98807199999999995</v>
      </c>
      <c r="AB596">
        <v>25</v>
      </c>
      <c r="AC596">
        <v>-21.528599999999901</v>
      </c>
      <c r="AD596">
        <v>-1.02239441</v>
      </c>
      <c r="AE596">
        <v>-3.8487</v>
      </c>
      <c r="AF596">
        <v>-3.4029783786610301</v>
      </c>
      <c r="AG596">
        <v>-1.02239441</v>
      </c>
      <c r="AH596">
        <v>21.555256912157901</v>
      </c>
      <c r="AI596">
        <v>92.682406999803504</v>
      </c>
      <c r="AJ596">
        <v>98.971373362837397</v>
      </c>
      <c r="AK596">
        <v>21.846158763598801</v>
      </c>
    </row>
    <row r="597" spans="1:37" x14ac:dyDescent="0.2">
      <c r="A597" t="str">
        <f>"20200111150522317"</f>
        <v>20200111150522317</v>
      </c>
      <c r="B597" t="str">
        <f>"1578726322305013"</f>
        <v>1578726322305013</v>
      </c>
      <c r="C597" t="s">
        <v>37</v>
      </c>
      <c r="D597">
        <v>5.4348320000000001</v>
      </c>
      <c r="E597">
        <v>0.4540804</v>
      </c>
      <c r="F597" t="s">
        <v>63</v>
      </c>
      <c r="G597">
        <v>-252.9195</v>
      </c>
      <c r="H597">
        <v>4.7816280000000003E-2</v>
      </c>
      <c r="I597">
        <v>279.61630000000002</v>
      </c>
      <c r="J597">
        <v>-231.6679</v>
      </c>
      <c r="K597">
        <v>1.10239</v>
      </c>
      <c r="L597">
        <v>283.41629999999998</v>
      </c>
      <c r="M597">
        <v>-0.99976620000000005</v>
      </c>
      <c r="N597">
        <v>0</v>
      </c>
      <c r="O597">
        <v>-1.945798E-2</v>
      </c>
      <c r="P597">
        <v>-0.99288829999999995</v>
      </c>
      <c r="Q597">
        <v>0.1040276</v>
      </c>
      <c r="R597">
        <v>-5.7889199999999898E-2</v>
      </c>
      <c r="S597">
        <v>-3.005951</v>
      </c>
      <c r="T597">
        <v>-0.14752109999999999</v>
      </c>
      <c r="U597">
        <v>-0.53210449999999998</v>
      </c>
      <c r="V597">
        <v>-3.8388409999999998E-2</v>
      </c>
      <c r="W597">
        <v>0.113446399999999</v>
      </c>
      <c r="X597">
        <v>0.99280219999999897</v>
      </c>
      <c r="Y597">
        <v>-0.15495519999999999</v>
      </c>
      <c r="Z597">
        <v>-2.8241759999999999E-3</v>
      </c>
      <c r="AA597">
        <v>0.987917499999999</v>
      </c>
      <c r="AB597">
        <v>25</v>
      </c>
      <c r="AC597">
        <v>-21.2516</v>
      </c>
      <c r="AD597">
        <v>-1.05457372</v>
      </c>
      <c r="AE597">
        <v>-3.7999999999999501</v>
      </c>
      <c r="AF597">
        <v>-3.3776891498449801</v>
      </c>
      <c r="AG597">
        <v>-1.05457372</v>
      </c>
      <c r="AH597">
        <v>21.270764044363499</v>
      </c>
      <c r="AI597">
        <v>92.803251813067206</v>
      </c>
      <c r="AJ597">
        <v>99.022941423667007</v>
      </c>
      <c r="AK597">
        <v>21.5630775344078</v>
      </c>
    </row>
    <row r="598" spans="1:37" x14ac:dyDescent="0.2">
      <c r="A598" t="str">
        <f>"20200111150522341"</f>
        <v>20200111150522341</v>
      </c>
      <c r="B598" t="str">
        <f>"1578726322335269"</f>
        <v>1578726322335269</v>
      </c>
      <c r="C598" t="s">
        <v>37</v>
      </c>
      <c r="D598">
        <v>5.3802750000000001</v>
      </c>
      <c r="E598">
        <v>0.4539514</v>
      </c>
      <c r="F598" t="s">
        <v>63</v>
      </c>
      <c r="G598">
        <v>-253.11940000000001</v>
      </c>
      <c r="H598">
        <v>1.45949999999999E-2</v>
      </c>
      <c r="I598">
        <v>279.61630000000002</v>
      </c>
      <c r="J598">
        <v>-231.92689999999999</v>
      </c>
      <c r="K598">
        <v>1.102373</v>
      </c>
      <c r="L598">
        <v>283.41239999999999</v>
      </c>
      <c r="M598">
        <v>-0.99978419999999901</v>
      </c>
      <c r="N598">
        <v>0</v>
      </c>
      <c r="O598">
        <v>-1.8515529999999999E-2</v>
      </c>
      <c r="P598">
        <v>-0.99295840000000002</v>
      </c>
      <c r="Q598">
        <v>0.10300239999999999</v>
      </c>
      <c r="R598">
        <v>-5.8518920000000002E-2</v>
      </c>
      <c r="S598">
        <v>-3.0063930000000001</v>
      </c>
      <c r="T598">
        <v>-0.15245259999999999</v>
      </c>
      <c r="U598">
        <v>-0.53256230000000004</v>
      </c>
      <c r="V598">
        <v>-3.9954299999999998E-2</v>
      </c>
      <c r="W598">
        <v>0.11243110000000001</v>
      </c>
      <c r="X598">
        <v>0.99285590000000001</v>
      </c>
      <c r="Y598">
        <v>-0.1559941</v>
      </c>
      <c r="Z598">
        <v>-2.9914779999999901E-3</v>
      </c>
      <c r="AA598">
        <v>0.98775349999999995</v>
      </c>
      <c r="AB598">
        <v>25</v>
      </c>
      <c r="AC598">
        <v>-21.192499999999999</v>
      </c>
      <c r="AD598">
        <v>-1.0877779999999999</v>
      </c>
      <c r="AE598">
        <v>-3.7960999999999601</v>
      </c>
      <c r="AF598">
        <v>-3.3943765711473501</v>
      </c>
      <c r="AG598">
        <v>-1.0877779999999999</v>
      </c>
      <c r="AH598">
        <v>21.205026479565699</v>
      </c>
      <c r="AI598">
        <v>92.899739836474097</v>
      </c>
      <c r="AJ598">
        <v>99.094419260391305</v>
      </c>
      <c r="AK598">
        <v>21.502516161675601</v>
      </c>
    </row>
    <row r="599" spans="1:37" x14ac:dyDescent="0.2">
      <c r="A599" t="str">
        <f>"20200111150522362"</f>
        <v>20200111150522362</v>
      </c>
      <c r="B599" t="str">
        <f>"1578726322355764"</f>
        <v>1578726322355764</v>
      </c>
      <c r="C599" t="s">
        <v>37</v>
      </c>
      <c r="D599">
        <v>5.3175330000000001</v>
      </c>
      <c r="E599">
        <v>0.45393610000000001</v>
      </c>
      <c r="F599" t="s">
        <v>63</v>
      </c>
      <c r="G599">
        <v>-252.0196</v>
      </c>
      <c r="H599" s="1">
        <v>-4.6206889999999999E-7</v>
      </c>
      <c r="I599">
        <v>279.83339999999998</v>
      </c>
      <c r="J599">
        <v>-232.17009999999999</v>
      </c>
      <c r="K599">
        <v>1.1023750000000001</v>
      </c>
      <c r="L599">
        <v>283.40890000000002</v>
      </c>
      <c r="M599">
        <v>-0.99980000000000002</v>
      </c>
      <c r="N599">
        <v>0</v>
      </c>
      <c r="O599">
        <v>-1.7632100000000001E-2</v>
      </c>
      <c r="P599">
        <v>-0.99307919999999905</v>
      </c>
      <c r="Q599">
        <v>0.1017482</v>
      </c>
      <c r="R599">
        <v>-5.8660610000000002E-2</v>
      </c>
      <c r="S599">
        <v>-3.0068049999999999</v>
      </c>
      <c r="T599">
        <v>-0.16496669999999999</v>
      </c>
      <c r="U599">
        <v>-0.53558349999999999</v>
      </c>
      <c r="V599">
        <v>-4.0973199999999897E-2</v>
      </c>
      <c r="W599">
        <v>0.1111863</v>
      </c>
      <c r="X599">
        <v>0.99295460000000002</v>
      </c>
      <c r="Y599">
        <v>-0.15777249999999901</v>
      </c>
      <c r="Z599">
        <v>-3.3323519999999998E-3</v>
      </c>
      <c r="AA599">
        <v>0.98746990000000001</v>
      </c>
      <c r="AB599">
        <v>25</v>
      </c>
      <c r="AC599">
        <v>-19.849499999999999</v>
      </c>
      <c r="AD599">
        <v>-1.1023754620688999</v>
      </c>
      <c r="AE599">
        <v>-3.5755000000000301</v>
      </c>
      <c r="AF599">
        <v>-3.21533469126783</v>
      </c>
      <c r="AG599">
        <v>-1.1023754620688999</v>
      </c>
      <c r="AH599">
        <v>19.8501601480523</v>
      </c>
      <c r="AI599">
        <v>93.137832084134303</v>
      </c>
      <c r="AJ599">
        <v>99.200872727106997</v>
      </c>
      <c r="AK599">
        <v>20.139078100537901</v>
      </c>
    </row>
    <row r="600" spans="1:37" x14ac:dyDescent="0.2">
      <c r="A600" t="str">
        <f>"20200111150522383"</f>
        <v>20200111150522383</v>
      </c>
      <c r="B600" t="str">
        <f>"1578726322375284"</f>
        <v>1578726322375284</v>
      </c>
      <c r="C600" t="s">
        <v>37</v>
      </c>
      <c r="D600">
        <v>5.2591039999999998</v>
      </c>
      <c r="E600">
        <v>0.45387429999999901</v>
      </c>
      <c r="F600" t="s">
        <v>63</v>
      </c>
      <c r="G600">
        <v>-251.2698</v>
      </c>
      <c r="H600" s="1">
        <v>-8.6105500000000003E-7</v>
      </c>
      <c r="I600">
        <v>280.00170000000003</v>
      </c>
      <c r="J600">
        <v>-232.40099999999899</v>
      </c>
      <c r="K600">
        <v>1.1023719999999999</v>
      </c>
      <c r="L600">
        <v>283.40570000000002</v>
      </c>
      <c r="M600">
        <v>-0.99981450000000005</v>
      </c>
      <c r="N600">
        <v>0</v>
      </c>
      <c r="O600">
        <v>-1.679779E-2</v>
      </c>
      <c r="P600">
        <v>-0.99304979999999998</v>
      </c>
      <c r="Q600">
        <v>0.1019914</v>
      </c>
      <c r="R600">
        <v>-5.8739310000000003E-2</v>
      </c>
      <c r="S600">
        <v>-3.0070039999999998</v>
      </c>
      <c r="T600">
        <v>-0.17355479999999901</v>
      </c>
      <c r="U600">
        <v>-0.53640750000000004</v>
      </c>
      <c r="V600">
        <v>-4.1882019999999999E-2</v>
      </c>
      <c r="W600">
        <v>0.11143550000000001</v>
      </c>
      <c r="X600">
        <v>0.99288869999999896</v>
      </c>
      <c r="Y600">
        <v>-0.15882260000000001</v>
      </c>
      <c r="Z600">
        <v>-3.582989E-3</v>
      </c>
      <c r="AA600">
        <v>0.98730059999999997</v>
      </c>
      <c r="AB600">
        <v>25</v>
      </c>
      <c r="AC600">
        <v>-18.8688</v>
      </c>
      <c r="AD600">
        <v>-1.1023728610549901</v>
      </c>
      <c r="AE600">
        <v>-3.4039999999999901</v>
      </c>
      <c r="AF600">
        <v>-3.0763819652728599</v>
      </c>
      <c r="AG600">
        <v>-1.1023728610549901</v>
      </c>
      <c r="AH600">
        <v>18.860971610633399</v>
      </c>
      <c r="AI600">
        <v>93.301448423418293</v>
      </c>
      <c r="AJ600">
        <v>99.263842142039195</v>
      </c>
      <c r="AK600">
        <v>19.1419853207071</v>
      </c>
    </row>
    <row r="601" spans="1:37" x14ac:dyDescent="0.2">
      <c r="A601" t="str">
        <f>"20200111150522406"</f>
        <v>20200111150522406</v>
      </c>
      <c r="B601" t="str">
        <f>"1578726322395781"</f>
        <v>1578726322395781</v>
      </c>
      <c r="C601" t="s">
        <v>37</v>
      </c>
      <c r="D601">
        <v>5.268618</v>
      </c>
      <c r="E601">
        <v>0.45382609999999901</v>
      </c>
      <c r="F601" t="s">
        <v>63</v>
      </c>
      <c r="G601">
        <v>-250.92349999999999</v>
      </c>
      <c r="H601" s="1">
        <v>-1.0453279999999999E-6</v>
      </c>
      <c r="I601">
        <v>280.0985</v>
      </c>
      <c r="J601">
        <v>-232.65479999999999</v>
      </c>
      <c r="K601">
        <v>1.102382</v>
      </c>
      <c r="L601">
        <v>283.40249999999997</v>
      </c>
      <c r="M601">
        <v>-0.99982909999999903</v>
      </c>
      <c r="N601">
        <v>0</v>
      </c>
      <c r="O601">
        <v>-1.5891410000000002E-2</v>
      </c>
      <c r="P601">
        <v>-0.99301019999999895</v>
      </c>
      <c r="Q601">
        <v>0.102612799999999</v>
      </c>
      <c r="R601">
        <v>-5.8320539999999997E-2</v>
      </c>
      <c r="S601">
        <v>-3.0076290000000001</v>
      </c>
      <c r="T601">
        <v>-0.17899979999999999</v>
      </c>
      <c r="U601">
        <v>-0.53701779999999999</v>
      </c>
      <c r="V601">
        <v>-4.2364770000000003E-2</v>
      </c>
      <c r="W601">
        <v>0.11206240000000001</v>
      </c>
      <c r="X601">
        <v>0.99279769999999901</v>
      </c>
      <c r="Y601">
        <v>-0.15985839999999901</v>
      </c>
      <c r="Z601">
        <v>-3.778375E-3</v>
      </c>
      <c r="AA601">
        <v>0.98713269999999997</v>
      </c>
      <c r="AB601">
        <v>25</v>
      </c>
      <c r="AC601">
        <v>-18.2686999999999</v>
      </c>
      <c r="AD601">
        <v>-1.1023830453279999</v>
      </c>
      <c r="AE601">
        <v>-3.3039999999999701</v>
      </c>
      <c r="AF601">
        <v>-3.0026672392833902</v>
      </c>
      <c r="AG601">
        <v>-1.1023830453279999</v>
      </c>
      <c r="AH601">
        <v>18.254536499306202</v>
      </c>
      <c r="AI601">
        <v>93.410153427913698</v>
      </c>
      <c r="AJ601">
        <v>99.340870762489104</v>
      </c>
      <c r="AK601">
        <v>18.532656629123501</v>
      </c>
    </row>
    <row r="602" spans="1:37" x14ac:dyDescent="0.2">
      <c r="A602" t="str">
        <f>"20200111150522428"</f>
        <v>20200111150522428</v>
      </c>
      <c r="B602" t="str">
        <f>"1578726322425060"</f>
        <v>1578726322425060</v>
      </c>
      <c r="C602" t="s">
        <v>37</v>
      </c>
      <c r="D602">
        <v>5.2141149999999996</v>
      </c>
      <c r="E602">
        <v>0.45390629999999998</v>
      </c>
      <c r="F602" t="s">
        <v>63</v>
      </c>
      <c r="G602">
        <v>-251.2714</v>
      </c>
      <c r="H602" s="1">
        <v>-8.6022809999999895E-7</v>
      </c>
      <c r="I602">
        <v>280.08569999999997</v>
      </c>
      <c r="J602">
        <v>-232.91130000000001</v>
      </c>
      <c r="K602">
        <v>1.1023959999999999</v>
      </c>
      <c r="L602">
        <v>283.39940000000001</v>
      </c>
      <c r="M602">
        <v>-0.99984289999999998</v>
      </c>
      <c r="N602">
        <v>0</v>
      </c>
      <c r="O602">
        <v>-1.499581E-2</v>
      </c>
      <c r="P602">
        <v>-0.99302089999999998</v>
      </c>
      <c r="Q602">
        <v>0.103081199999999</v>
      </c>
      <c r="R602">
        <v>-5.7305590000000003E-2</v>
      </c>
      <c r="S602">
        <v>-3.008057</v>
      </c>
      <c r="T602">
        <v>-0.17812229999999901</v>
      </c>
      <c r="U602">
        <v>-0.53591919999999904</v>
      </c>
      <c r="V602">
        <v>-4.2241790000000001E-2</v>
      </c>
      <c r="W602">
        <v>0.11253440000000001</v>
      </c>
      <c r="X602">
        <v>0.99274949999999995</v>
      </c>
      <c r="Y602">
        <v>-0.16036889999999901</v>
      </c>
      <c r="Z602">
        <v>-3.8269990000000002E-3</v>
      </c>
      <c r="AA602">
        <v>0.98704969999999903</v>
      </c>
      <c r="AB602">
        <v>25</v>
      </c>
      <c r="AC602">
        <v>-18.3600999999999</v>
      </c>
      <c r="AD602">
        <v>-1.1023968602281</v>
      </c>
      <c r="AE602">
        <v>-3.3137000000000398</v>
      </c>
      <c r="AF602">
        <v>-3.0274204425380602</v>
      </c>
      <c r="AG602">
        <v>-1.1023968602281</v>
      </c>
      <c r="AH602">
        <v>18.343683318954</v>
      </c>
      <c r="AI602">
        <v>93.393363276754201</v>
      </c>
      <c r="AJ602">
        <v>99.371552159076202</v>
      </c>
      <c r="AK602">
        <v>18.624480424414799</v>
      </c>
    </row>
    <row r="603" spans="1:37" x14ac:dyDescent="0.2">
      <c r="A603" t="str">
        <f>"20200111150522450"</f>
        <v>20200111150522450</v>
      </c>
      <c r="B603" t="str">
        <f>"1578726322445558"</f>
        <v>1578726322445558</v>
      </c>
      <c r="C603" t="s">
        <v>37</v>
      </c>
      <c r="D603">
        <v>5.2223489999999897</v>
      </c>
      <c r="E603">
        <v>0.45379249999999999</v>
      </c>
      <c r="F603" t="s">
        <v>63</v>
      </c>
      <c r="G603">
        <v>-251.58959999999999</v>
      </c>
      <c r="H603" s="1">
        <v>-6.9089729999999997E-7</v>
      </c>
      <c r="I603">
        <v>280.09370000000001</v>
      </c>
      <c r="J603">
        <v>-233.14779999999999</v>
      </c>
      <c r="K603">
        <v>1.1024129999999901</v>
      </c>
      <c r="L603">
        <v>283.39679999999998</v>
      </c>
      <c r="M603">
        <v>-0.99985449999999998</v>
      </c>
      <c r="N603">
        <v>0</v>
      </c>
      <c r="O603">
        <v>-1.4199700000000001E-2</v>
      </c>
      <c r="P603">
        <v>-0.99315540000000002</v>
      </c>
      <c r="Q603">
        <v>0.10295499999999901</v>
      </c>
      <c r="R603">
        <v>-5.5161469999999997E-2</v>
      </c>
      <c r="S603">
        <v>-3.0087890000000002</v>
      </c>
      <c r="T603">
        <v>-0.1775795</v>
      </c>
      <c r="U603">
        <v>-0.53250120000000001</v>
      </c>
      <c r="V603">
        <v>-4.089272E-2</v>
      </c>
      <c r="W603">
        <v>0.1124093</v>
      </c>
      <c r="X603">
        <v>0.99282019999999904</v>
      </c>
      <c r="Y603">
        <v>-0.16002710000000001</v>
      </c>
      <c r="Z603">
        <v>-3.851368E-3</v>
      </c>
      <c r="AA603">
        <v>0.98710509999999996</v>
      </c>
      <c r="AB603">
        <v>25</v>
      </c>
      <c r="AC603">
        <v>-18.441800000000001</v>
      </c>
      <c r="AD603">
        <v>-1.1024136908972999</v>
      </c>
      <c r="AE603">
        <v>-3.3030999999999699</v>
      </c>
      <c r="AF603">
        <v>-3.03039497818992</v>
      </c>
      <c r="AG603">
        <v>-1.1024136908972999</v>
      </c>
      <c r="AH603">
        <v>18.423058831374899</v>
      </c>
      <c r="AI603">
        <v>93.379125634126794</v>
      </c>
      <c r="AJ603">
        <v>99.340894074743503</v>
      </c>
      <c r="AK603">
        <v>18.703146964455399</v>
      </c>
    </row>
    <row r="604" spans="1:37" x14ac:dyDescent="0.2">
      <c r="A604" t="str">
        <f>"20200111150522471"</f>
        <v>20200111150522471</v>
      </c>
      <c r="B604" t="str">
        <f>"1578726322465076"</f>
        <v>1578726322465076</v>
      </c>
      <c r="C604" t="s">
        <v>37</v>
      </c>
      <c r="D604">
        <v>5.145187</v>
      </c>
      <c r="E604">
        <v>0.45390959999999902</v>
      </c>
      <c r="F604" t="s">
        <v>63</v>
      </c>
      <c r="G604">
        <v>-251.6063</v>
      </c>
      <c r="H604" s="1">
        <v>-6.8201689999999999E-7</v>
      </c>
      <c r="I604">
        <v>280.15699999999998</v>
      </c>
      <c r="J604">
        <v>-233.39400000000001</v>
      </c>
      <c r="K604">
        <v>1.1024419999999999</v>
      </c>
      <c r="L604">
        <v>283.39409999999998</v>
      </c>
      <c r="M604">
        <v>-0.99986529999999996</v>
      </c>
      <c r="N604">
        <v>0</v>
      </c>
      <c r="O604">
        <v>-1.341348E-2</v>
      </c>
      <c r="P604">
        <v>-0.99341270000000004</v>
      </c>
      <c r="Q604">
        <v>0.1013136</v>
      </c>
      <c r="R604">
        <v>-5.354474E-2</v>
      </c>
      <c r="S604">
        <v>-3.009979</v>
      </c>
      <c r="T604">
        <v>-0.1797677</v>
      </c>
      <c r="U604">
        <v>-0.52828980000000003</v>
      </c>
      <c r="V604">
        <v>-4.0064080000000002E-2</v>
      </c>
      <c r="W604">
        <v>0.110770699999999</v>
      </c>
      <c r="X604">
        <v>0.99303809999999904</v>
      </c>
      <c r="Y604">
        <v>-0.15939049999999999</v>
      </c>
      <c r="Z604">
        <v>-3.9253769999999999E-3</v>
      </c>
      <c r="AA604">
        <v>0.98720779999999997</v>
      </c>
      <c r="AB604">
        <v>25</v>
      </c>
      <c r="AC604">
        <v>-18.212299999999999</v>
      </c>
      <c r="AD604">
        <v>-1.1024426820169</v>
      </c>
      <c r="AE604">
        <v>-3.2370999999999901</v>
      </c>
      <c r="AF604">
        <v>-2.9819157016714701</v>
      </c>
      <c r="AG604">
        <v>-1.1024426820169</v>
      </c>
      <c r="AH604">
        <v>18.1894748900725</v>
      </c>
      <c r="AI604">
        <v>93.4228085601506</v>
      </c>
      <c r="AJ604">
        <v>99.310046225158004</v>
      </c>
      <c r="AK604">
        <v>18.465215890846999</v>
      </c>
    </row>
    <row r="605" spans="1:37" x14ac:dyDescent="0.2">
      <c r="A605" t="str">
        <f>"20200111150522494"</f>
        <v>20200111150522494</v>
      </c>
      <c r="B605" t="str">
        <f>"1578726322485573"</f>
        <v>1578726322485573</v>
      </c>
      <c r="C605" t="s">
        <v>37</v>
      </c>
      <c r="D605">
        <v>5.1701569999999997</v>
      </c>
      <c r="E605">
        <v>0.45394020000000002</v>
      </c>
      <c r="F605" t="s">
        <v>63</v>
      </c>
      <c r="G605">
        <v>-251.16159999999999</v>
      </c>
      <c r="H605" s="1">
        <v>-9.1864149999999996E-7</v>
      </c>
      <c r="I605">
        <v>280.30840000000001</v>
      </c>
      <c r="J605">
        <v>-233.64959999999999</v>
      </c>
      <c r="K605">
        <v>1.102481</v>
      </c>
      <c r="L605">
        <v>283.39159999999998</v>
      </c>
      <c r="M605">
        <v>-0.99987499999999996</v>
      </c>
      <c r="N605">
        <v>0</v>
      </c>
      <c r="O605">
        <v>-1.26629E-2</v>
      </c>
      <c r="P605">
        <v>-0.99333700000000003</v>
      </c>
      <c r="Q605">
        <v>0.1018877</v>
      </c>
      <c r="R605">
        <v>-5.3855519999999997E-2</v>
      </c>
      <c r="S605">
        <v>-3.0107569999999999</v>
      </c>
      <c r="T605">
        <v>-0.1868117</v>
      </c>
      <c r="U605">
        <v>-0.52288820000000003</v>
      </c>
      <c r="V605">
        <v>-4.1132490000000001E-2</v>
      </c>
      <c r="W605">
        <v>0.111345499999999</v>
      </c>
      <c r="X605">
        <v>0.99293019999999999</v>
      </c>
      <c r="Y605">
        <v>-0.15834970000000001</v>
      </c>
      <c r="Z605">
        <v>-4.0926230000000001E-3</v>
      </c>
      <c r="AA605">
        <v>0.98737459999999899</v>
      </c>
      <c r="AB605">
        <v>25</v>
      </c>
      <c r="AC605">
        <v>-17.512</v>
      </c>
      <c r="AD605">
        <v>-1.1024819186415</v>
      </c>
      <c r="AE605">
        <v>-3.08319999999997</v>
      </c>
      <c r="AF605">
        <v>-2.85023306945966</v>
      </c>
      <c r="AG605">
        <v>-1.1024819186415</v>
      </c>
      <c r="AH605">
        <v>17.482432644155399</v>
      </c>
      <c r="AI605">
        <v>93.561524658798803</v>
      </c>
      <c r="AJ605">
        <v>99.259699378845497</v>
      </c>
      <c r="AK605">
        <v>17.7475278866834</v>
      </c>
    </row>
    <row r="606" spans="1:37" x14ac:dyDescent="0.2">
      <c r="A606" t="str">
        <f>"20200111150522517"</f>
        <v>20200111150522517</v>
      </c>
      <c r="B606" t="str">
        <f>"1578726322505092"</f>
        <v>1578726322505092</v>
      </c>
      <c r="C606" t="s">
        <v>37</v>
      </c>
      <c r="D606">
        <v>5.1262540000000003</v>
      </c>
      <c r="E606">
        <v>0.45378400000000002</v>
      </c>
      <c r="F606" t="s">
        <v>63</v>
      </c>
      <c r="G606">
        <v>-251.25</v>
      </c>
      <c r="H606" s="1">
        <v>-8.7161059999999996E-7</v>
      </c>
      <c r="I606">
        <v>280.33629999999999</v>
      </c>
      <c r="J606">
        <v>-233.90430000000001</v>
      </c>
      <c r="K606">
        <v>1.102541</v>
      </c>
      <c r="L606">
        <v>283.38920000000002</v>
      </c>
      <c r="M606">
        <v>-0.99988339999999998</v>
      </c>
      <c r="N606">
        <v>0</v>
      </c>
      <c r="O606">
        <v>-1.198917E-2</v>
      </c>
      <c r="P606">
        <v>-0.99312339999999999</v>
      </c>
      <c r="Q606">
        <v>0.10418519999999901</v>
      </c>
      <c r="R606">
        <v>-5.3403409999999998E-2</v>
      </c>
      <c r="S606">
        <v>-3.0111240000000001</v>
      </c>
      <c r="T606">
        <v>-0.18861600000000001</v>
      </c>
      <c r="U606">
        <v>-0.52270509999999903</v>
      </c>
      <c r="V606">
        <v>-4.1362669999999997E-2</v>
      </c>
      <c r="W606">
        <v>0.1136402</v>
      </c>
      <c r="X606">
        <v>0.9926606</v>
      </c>
      <c r="Y606">
        <v>-0.15892879999999901</v>
      </c>
      <c r="Z606">
        <v>-4.1914170000000002E-3</v>
      </c>
      <c r="AA606">
        <v>0.98728110000000002</v>
      </c>
      <c r="AB606">
        <v>25</v>
      </c>
      <c r="AC606">
        <v>-17.345699999999901</v>
      </c>
      <c r="AD606">
        <v>-1.1025418716105999</v>
      </c>
      <c r="AE606">
        <v>-3.0529000000000202</v>
      </c>
      <c r="AF606">
        <v>-2.8336062646684499</v>
      </c>
      <c r="AG606">
        <v>-1.1025418716105999</v>
      </c>
      <c r="AH606">
        <v>17.3132088931441</v>
      </c>
      <c r="AI606">
        <v>93.596078703474504</v>
      </c>
      <c r="AJ606">
        <v>99.295035246195098</v>
      </c>
      <c r="AK606">
        <v>17.578171839513601</v>
      </c>
    </row>
    <row r="607" spans="1:37" x14ac:dyDescent="0.2">
      <c r="A607" t="str">
        <f>"20200111150522540"</f>
        <v>20200111150522540</v>
      </c>
      <c r="B607" t="str">
        <f>"1578726322535348"</f>
        <v>1578726322535348</v>
      </c>
      <c r="C607" t="s">
        <v>37</v>
      </c>
      <c r="D607">
        <v>5.1404439999999996</v>
      </c>
      <c r="E607">
        <v>0.45365280000000002</v>
      </c>
      <c r="F607" t="s">
        <v>63</v>
      </c>
      <c r="G607">
        <v>-252.10749999999999</v>
      </c>
      <c r="H607" s="1">
        <v>-4.15285999999999E-7</v>
      </c>
      <c r="I607">
        <v>280.23169999999999</v>
      </c>
      <c r="J607">
        <v>-234.16380000000001</v>
      </c>
      <c r="K607">
        <v>1.102609</v>
      </c>
      <c r="L607">
        <v>283.38679999999999</v>
      </c>
      <c r="M607">
        <v>-0.99989059999999896</v>
      </c>
      <c r="N607">
        <v>0</v>
      </c>
      <c r="O607">
        <v>-1.137113E-2</v>
      </c>
      <c r="P607">
        <v>-0.99288609999999899</v>
      </c>
      <c r="Q607">
        <v>0.107044499999999</v>
      </c>
      <c r="R607">
        <v>-5.2140550000000001E-2</v>
      </c>
      <c r="S607">
        <v>-3.0118259999999899</v>
      </c>
      <c r="T607">
        <v>-0.18242230000000001</v>
      </c>
      <c r="U607">
        <v>-0.52243039999999996</v>
      </c>
      <c r="V607">
        <v>-4.072808E-2</v>
      </c>
      <c r="W607">
        <v>0.1164954</v>
      </c>
      <c r="X607">
        <v>0.99235580000000001</v>
      </c>
      <c r="Y607">
        <v>-0.15942899999999999</v>
      </c>
      <c r="Z607">
        <v>-4.1052579999999997E-3</v>
      </c>
      <c r="AA607">
        <v>0.98720090000000005</v>
      </c>
      <c r="AB607">
        <v>25</v>
      </c>
      <c r="AC607">
        <v>-17.9436999999999</v>
      </c>
      <c r="AD607">
        <v>-1.102609415286</v>
      </c>
      <c r="AE607">
        <v>-3.1551</v>
      </c>
      <c r="AF607">
        <v>-2.9400782378622701</v>
      </c>
      <c r="AG607">
        <v>-1.102609415286</v>
      </c>
      <c r="AH607">
        <v>17.912810060039099</v>
      </c>
      <c r="AI607">
        <v>93.4759610882994</v>
      </c>
      <c r="AJ607">
        <v>99.321003879432993</v>
      </c>
      <c r="AK607">
        <v>18.185944347612701</v>
      </c>
    </row>
    <row r="608" spans="1:37" x14ac:dyDescent="0.2">
      <c r="A608" t="str">
        <f>"20200111150522560"</f>
        <v>20200111150522560</v>
      </c>
      <c r="B608" t="str">
        <f>"1578726322554871"</f>
        <v>1578726322554871</v>
      </c>
      <c r="C608" t="s">
        <v>37</v>
      </c>
      <c r="D608">
        <v>5.53857</v>
      </c>
      <c r="E608">
        <v>0.45375070000000001</v>
      </c>
      <c r="F608" t="s">
        <v>63</v>
      </c>
      <c r="G608">
        <v>-253.1019</v>
      </c>
      <c r="H608" s="1">
        <v>1.138785E-7</v>
      </c>
      <c r="I608">
        <v>280.11579999999998</v>
      </c>
      <c r="J608">
        <v>-234.39609999999999</v>
      </c>
      <c r="K608">
        <v>1.1026579999999999</v>
      </c>
      <c r="L608">
        <v>283.38479999999998</v>
      </c>
      <c r="M608">
        <v>-0.99989589999999995</v>
      </c>
      <c r="N608">
        <v>0</v>
      </c>
      <c r="O608">
        <v>-1.0883439999999999E-2</v>
      </c>
      <c r="P608">
        <v>-0.99276540000000002</v>
      </c>
      <c r="Q608">
        <v>0.10888730000000001</v>
      </c>
      <c r="R608">
        <v>-5.0603559999999999E-2</v>
      </c>
      <c r="S608">
        <v>-3.013077</v>
      </c>
      <c r="T608">
        <v>-0.17542659999999999</v>
      </c>
      <c r="U608">
        <v>-0.52041629999999905</v>
      </c>
      <c r="V608">
        <v>-3.968733E-2</v>
      </c>
      <c r="W608">
        <v>0.1183347</v>
      </c>
      <c r="X608">
        <v>0.99218030000000002</v>
      </c>
      <c r="Y608">
        <v>-0.15922020000000001</v>
      </c>
      <c r="Z608">
        <v>-3.968821E-3</v>
      </c>
      <c r="AA608">
        <v>0.98723510000000003</v>
      </c>
      <c r="AB608">
        <v>25</v>
      </c>
      <c r="AC608">
        <v>-18.7058</v>
      </c>
      <c r="AD608">
        <v>-1.1026578861215</v>
      </c>
      <c r="AE608">
        <v>-3.2690000000000001</v>
      </c>
      <c r="AF608">
        <v>-3.0549131781872298</v>
      </c>
      <c r="AG608">
        <v>-1.1026578861215</v>
      </c>
      <c r="AH608">
        <v>18.677295177259001</v>
      </c>
      <c r="AI608">
        <v>93.334462108248403</v>
      </c>
      <c r="AJ608">
        <v>99.289211000800705</v>
      </c>
      <c r="AK608">
        <v>18.957576429452999</v>
      </c>
    </row>
    <row r="609" spans="1:37" x14ac:dyDescent="0.2">
      <c r="A609" t="str">
        <f>"20200111150522584"</f>
        <v>20200111150522584</v>
      </c>
      <c r="B609" t="str">
        <f>"1578726322575367"</f>
        <v>1578726322575367</v>
      </c>
      <c r="C609" t="s">
        <v>37</v>
      </c>
      <c r="D609">
        <v>5.1338419999999996</v>
      </c>
      <c r="E609">
        <v>0.45540190000000003</v>
      </c>
      <c r="F609" t="s">
        <v>63</v>
      </c>
      <c r="G609">
        <v>-254.06460000000001</v>
      </c>
      <c r="H609" s="1">
        <v>6.2618549999999995E-7</v>
      </c>
      <c r="I609">
        <v>280.02190000000002</v>
      </c>
      <c r="J609">
        <v>-234.6634</v>
      </c>
      <c r="K609">
        <v>1.1027069999999899</v>
      </c>
      <c r="L609">
        <v>283.38240000000002</v>
      </c>
      <c r="M609">
        <v>-0.99990089999999998</v>
      </c>
      <c r="N609">
        <v>0</v>
      </c>
      <c r="O609">
        <v>-1.0408260000000001E-2</v>
      </c>
      <c r="P609">
        <v>-0.99278549999999999</v>
      </c>
      <c r="Q609">
        <v>0.1095793</v>
      </c>
      <c r="R609">
        <v>-4.8682099999999999E-2</v>
      </c>
      <c r="S609">
        <v>-3.01411399999999</v>
      </c>
      <c r="T609">
        <v>-0.16897770000000001</v>
      </c>
      <c r="U609">
        <v>-0.51535029999999904</v>
      </c>
      <c r="V609">
        <v>-3.8252499999999898E-2</v>
      </c>
      <c r="W609">
        <v>0.119024</v>
      </c>
      <c r="X609">
        <v>0.99215419999999999</v>
      </c>
      <c r="Y609">
        <v>-0.15803929999999999</v>
      </c>
      <c r="Z609">
        <v>-3.8159709999999901E-3</v>
      </c>
      <c r="AA609">
        <v>0.98742540000000001</v>
      </c>
      <c r="AB609">
        <v>25</v>
      </c>
      <c r="AC609">
        <v>-19.401199999999999</v>
      </c>
      <c r="AD609">
        <v>-1.1027063738145</v>
      </c>
      <c r="AE609">
        <v>-3.3605</v>
      </c>
      <c r="AF609">
        <v>-3.14850134508244</v>
      </c>
      <c r="AG609">
        <v>-1.1027063738145</v>
      </c>
      <c r="AH609">
        <v>19.3743627420283</v>
      </c>
      <c r="AI609">
        <v>93.215426528794595</v>
      </c>
      <c r="AJ609">
        <v>99.230368557304899</v>
      </c>
      <c r="AK609">
        <v>19.659474909735799</v>
      </c>
    </row>
    <row r="610" spans="1:37" x14ac:dyDescent="0.2">
      <c r="A610" t="str">
        <f>"20200111150522606"</f>
        <v>20200111150522606</v>
      </c>
      <c r="B610" t="str">
        <f>"1578726322595864"</f>
        <v>1578726322595864</v>
      </c>
      <c r="C610" t="s">
        <v>37</v>
      </c>
      <c r="D610">
        <v>5.0910469999999997</v>
      </c>
      <c r="E610">
        <v>0.465476</v>
      </c>
      <c r="F610" t="s">
        <v>68</v>
      </c>
      <c r="G610">
        <v>-329.43810000000002</v>
      </c>
      <c r="H610">
        <v>1.2950010000000001</v>
      </c>
      <c r="I610">
        <v>267.63299999999998</v>
      </c>
      <c r="J610">
        <v>-234.9203</v>
      </c>
      <c r="K610">
        <v>1.102759</v>
      </c>
      <c r="L610">
        <v>283.3802</v>
      </c>
      <c r="M610">
        <v>-0.99990469999999898</v>
      </c>
      <c r="N610">
        <v>0</v>
      </c>
      <c r="O610">
        <v>-1.0036929999999999E-2</v>
      </c>
      <c r="P610">
        <v>-0.99294169999999904</v>
      </c>
      <c r="Q610">
        <v>0.1090583</v>
      </c>
      <c r="R610">
        <v>-4.661829E-2</v>
      </c>
      <c r="S610">
        <v>-2.9967039999999998</v>
      </c>
      <c r="T610">
        <v>6.0803890000000003E-3</v>
      </c>
      <c r="U610">
        <v>-0.49798579999999998</v>
      </c>
      <c r="V610">
        <v>-3.657241E-2</v>
      </c>
      <c r="W610">
        <v>0.1185023</v>
      </c>
      <c r="X610">
        <v>0.99227999999999905</v>
      </c>
      <c r="Y610">
        <v>-0.15401960000000001</v>
      </c>
      <c r="Z610">
        <v>1.3496769999999999E-4</v>
      </c>
      <c r="AA610">
        <v>0.98806779999999905</v>
      </c>
      <c r="AB610">
        <v>25</v>
      </c>
      <c r="AC610">
        <v>-94.517799999999994</v>
      </c>
      <c r="AD610">
        <v>0.192242</v>
      </c>
      <c r="AE610">
        <v>-15.747199999999999</v>
      </c>
      <c r="AF610">
        <v>-14.797635995707701</v>
      </c>
      <c r="AG610">
        <v>0.192242</v>
      </c>
      <c r="AH610">
        <v>94.670718176697505</v>
      </c>
      <c r="AI610">
        <v>89.885048894100606</v>
      </c>
      <c r="AJ610">
        <v>98.883811732240403</v>
      </c>
      <c r="AK610">
        <v>95.820414673177595</v>
      </c>
    </row>
    <row r="611" spans="1:37" x14ac:dyDescent="0.2">
      <c r="A611" t="str">
        <f>"20200111150522629"</f>
        <v>20200111150522629</v>
      </c>
      <c r="B611" t="str">
        <f>"1578726322625143"</f>
        <v>1578726322625143</v>
      </c>
      <c r="C611" t="s">
        <v>37</v>
      </c>
      <c r="D611">
        <v>5.0441719999999997</v>
      </c>
      <c r="E611">
        <v>0.46983969999999903</v>
      </c>
      <c r="F611" t="s">
        <v>63</v>
      </c>
      <c r="G611">
        <v>-247.78149999999999</v>
      </c>
      <c r="H611" s="1">
        <v>2.6041370000000002E-6</v>
      </c>
      <c r="I611">
        <v>281.64429999999999</v>
      </c>
      <c r="J611">
        <v>-235.17070000000001</v>
      </c>
      <c r="K611">
        <v>1.1028100000000001</v>
      </c>
      <c r="L611">
        <v>283.37810000000002</v>
      </c>
      <c r="M611">
        <v>-0.99990749999999995</v>
      </c>
      <c r="N611">
        <v>0</v>
      </c>
      <c r="O611">
        <v>-9.7459269999999997E-3</v>
      </c>
      <c r="P611">
        <v>-0.99320129999999995</v>
      </c>
      <c r="Q611">
        <v>0.1076025</v>
      </c>
      <c r="R611">
        <v>-4.4421860000000001E-2</v>
      </c>
      <c r="S611">
        <v>-3.0306549999999999</v>
      </c>
      <c r="T611">
        <v>-0.2598568</v>
      </c>
      <c r="U611">
        <v>-0.40905759999999902</v>
      </c>
      <c r="V611">
        <v>-3.4678180000000003E-2</v>
      </c>
      <c r="W611">
        <v>0.117046699999999</v>
      </c>
      <c r="X611">
        <v>0.99252070000000003</v>
      </c>
      <c r="Y611">
        <v>-0.1236848</v>
      </c>
      <c r="Z611">
        <v>-4.4388120000000003E-3</v>
      </c>
      <c r="AA611">
        <v>0.99231159999999996</v>
      </c>
      <c r="AB611">
        <v>25</v>
      </c>
      <c r="AC611">
        <v>-12.6107999999999</v>
      </c>
      <c r="AD611">
        <v>-1.102807395863</v>
      </c>
      <c r="AE611">
        <v>-1.73380000000003</v>
      </c>
      <c r="AF611">
        <v>-1.5988082732534199</v>
      </c>
      <c r="AG611">
        <v>-1.102807395863</v>
      </c>
      <c r="AH611">
        <v>12.5330321836104</v>
      </c>
      <c r="AI611">
        <v>94.988403400978598</v>
      </c>
      <c r="AJ611">
        <v>97.269817119737695</v>
      </c>
      <c r="AK611">
        <v>12.6826364673284</v>
      </c>
    </row>
    <row r="612" spans="1:37" x14ac:dyDescent="0.2">
      <c r="A612" t="str">
        <f>"20200111150522650"</f>
        <v>20200111150522650</v>
      </c>
      <c r="B612" t="str">
        <f>"1578726322645640"</f>
        <v>1578726322645640</v>
      </c>
      <c r="C612" t="s">
        <v>37</v>
      </c>
      <c r="D612">
        <v>4.9919199999999897</v>
      </c>
      <c r="E612">
        <v>0.47179339999999997</v>
      </c>
      <c r="F612" t="s">
        <v>63</v>
      </c>
      <c r="G612">
        <v>-248.76779999999999</v>
      </c>
      <c r="H612" s="1">
        <v>3.129005E-6</v>
      </c>
      <c r="I612">
        <v>281.72660000000002</v>
      </c>
      <c r="J612">
        <v>-235.41130000000001</v>
      </c>
      <c r="K612">
        <v>1.1028560000000001</v>
      </c>
      <c r="L612">
        <v>283.37610000000001</v>
      </c>
      <c r="M612">
        <v>-0.99990970000000001</v>
      </c>
      <c r="N612">
        <v>0</v>
      </c>
      <c r="O612">
        <v>-9.5209979999999993E-3</v>
      </c>
      <c r="P612">
        <v>-0.99328830000000001</v>
      </c>
      <c r="Q612">
        <v>0.1073136</v>
      </c>
      <c r="R612">
        <v>-4.3153740000000003E-2</v>
      </c>
      <c r="S612">
        <v>-3.0306850000000001</v>
      </c>
      <c r="T612">
        <v>-0.24580569999999999</v>
      </c>
      <c r="U612">
        <v>-0.36810300000000001</v>
      </c>
      <c r="V612">
        <v>-3.3645220000000003E-2</v>
      </c>
      <c r="W612">
        <v>0.11675779999999999</v>
      </c>
      <c r="X612">
        <v>0.99259039999999998</v>
      </c>
      <c r="Y612">
        <v>-0.1107876</v>
      </c>
      <c r="Z612">
        <v>-3.7009949999999999E-3</v>
      </c>
      <c r="AA612">
        <v>0.99383719999999998</v>
      </c>
      <c r="AB612">
        <v>25</v>
      </c>
      <c r="AC612">
        <v>-13.356499999999899</v>
      </c>
      <c r="AD612">
        <v>-1.1028528709950001</v>
      </c>
      <c r="AE612">
        <v>-1.64949999999998</v>
      </c>
      <c r="AF612">
        <v>-1.5120978594730401</v>
      </c>
      <c r="AG612">
        <v>-1.1028528709950001</v>
      </c>
      <c r="AH612">
        <v>13.2824026373727</v>
      </c>
      <c r="AI612">
        <v>94.716122109986202</v>
      </c>
      <c r="AJ612">
        <v>96.494716295116007</v>
      </c>
      <c r="AK612">
        <v>13.413610409318199</v>
      </c>
    </row>
    <row r="613" spans="1:37" x14ac:dyDescent="0.2">
      <c r="A613" t="str">
        <f>"20200111150522673"</f>
        <v>20200111150522673</v>
      </c>
      <c r="B613" t="str">
        <f>"1578726322665160"</f>
        <v>1578726322665160</v>
      </c>
      <c r="C613" t="s">
        <v>37</v>
      </c>
      <c r="D613">
        <v>5.0058249999999997</v>
      </c>
      <c r="E613">
        <v>0.47297709999999998</v>
      </c>
      <c r="F613" t="s">
        <v>63</v>
      </c>
      <c r="G613">
        <v>-249.74369999999999</v>
      </c>
      <c r="H613" s="1">
        <v>3.6483209999999998E-6</v>
      </c>
      <c r="I613">
        <v>281.72919999999999</v>
      </c>
      <c r="J613">
        <v>-235.67830000000001</v>
      </c>
      <c r="K613">
        <v>1.102892</v>
      </c>
      <c r="L613">
        <v>283.37380000000002</v>
      </c>
      <c r="M613">
        <v>-0.99991149999999995</v>
      </c>
      <c r="N613">
        <v>0</v>
      </c>
      <c r="O613">
        <v>-9.3151729999999995E-3</v>
      </c>
      <c r="P613">
        <v>-0.99320659999999905</v>
      </c>
      <c r="Q613">
        <v>0.1080059</v>
      </c>
      <c r="R613">
        <v>-4.3303260000000003E-2</v>
      </c>
      <c r="S613">
        <v>-3.0303339999999999</v>
      </c>
      <c r="T613">
        <v>-0.2331781</v>
      </c>
      <c r="U613">
        <v>-0.348205599999999</v>
      </c>
      <c r="V613">
        <v>-3.4009699999999997E-2</v>
      </c>
      <c r="W613">
        <v>0.1174501</v>
      </c>
      <c r="X613">
        <v>0.9924963</v>
      </c>
      <c r="Y613">
        <v>-0.104617899999999</v>
      </c>
      <c r="Z613">
        <v>-3.292686E-3</v>
      </c>
      <c r="AA613">
        <v>0.99450709999999998</v>
      </c>
      <c r="AB613">
        <v>25</v>
      </c>
      <c r="AC613">
        <v>-14.065399999999901</v>
      </c>
      <c r="AD613">
        <v>-1.102888351679</v>
      </c>
      <c r="AE613">
        <v>-1.64460000000002</v>
      </c>
      <c r="AF613">
        <v>-1.50437640228127</v>
      </c>
      <c r="AG613">
        <v>-1.102888351679</v>
      </c>
      <c r="AH613">
        <v>13.9952230482793</v>
      </c>
      <c r="AI613">
        <v>94.480157815130696</v>
      </c>
      <c r="AJ613">
        <v>96.135287844565099</v>
      </c>
      <c r="AK613">
        <v>14.1189864808739</v>
      </c>
    </row>
    <row r="614" spans="1:37" x14ac:dyDescent="0.2">
      <c r="A614" t="str">
        <f>"20200111150522695"</f>
        <v>20200111150522695</v>
      </c>
      <c r="B614" t="str">
        <f>"1578726322685655"</f>
        <v>1578726322685655</v>
      </c>
      <c r="C614" t="s">
        <v>37</v>
      </c>
      <c r="D614">
        <v>5.0090750000000002</v>
      </c>
      <c r="E614">
        <v>0.47375810000000002</v>
      </c>
      <c r="F614" t="s">
        <v>63</v>
      </c>
      <c r="G614">
        <v>-250.5103</v>
      </c>
      <c r="H614" s="1">
        <v>-1.265254E-6</v>
      </c>
      <c r="I614">
        <v>281.71409999999997</v>
      </c>
      <c r="J614">
        <v>-235.93010000000001</v>
      </c>
      <c r="K614">
        <v>1.1029119999999999</v>
      </c>
      <c r="L614">
        <v>283.3716</v>
      </c>
      <c r="M614">
        <v>-0.99991299999999905</v>
      </c>
      <c r="N614">
        <v>0</v>
      </c>
      <c r="O614">
        <v>-9.1506379999999991E-3</v>
      </c>
      <c r="P614">
        <v>-0.99307849999999998</v>
      </c>
      <c r="Q614">
        <v>0.109093699999999</v>
      </c>
      <c r="R614">
        <v>-4.3516430000000002E-2</v>
      </c>
      <c r="S614">
        <v>-3.030243</v>
      </c>
      <c r="T614">
        <v>-0.22532579999999999</v>
      </c>
      <c r="U614">
        <v>-0.33908080000000002</v>
      </c>
      <c r="V614">
        <v>-3.4391860000000003E-2</v>
      </c>
      <c r="W614">
        <v>0.1185392</v>
      </c>
      <c r="X614">
        <v>0.99235359999999995</v>
      </c>
      <c r="Y614">
        <v>-0.10185319999999901</v>
      </c>
      <c r="Z614">
        <v>-3.0925869999999999E-3</v>
      </c>
      <c r="AA614">
        <v>0.99479459999999997</v>
      </c>
      <c r="AB614">
        <v>25</v>
      </c>
      <c r="AC614">
        <v>-14.5801999999999</v>
      </c>
      <c r="AD614">
        <v>-1.1029132652539999</v>
      </c>
      <c r="AE614">
        <v>-1.65750000000002</v>
      </c>
      <c r="AF614">
        <v>-1.51544554353032</v>
      </c>
      <c r="AG614">
        <v>-1.1029132652539999</v>
      </c>
      <c r="AH614">
        <v>14.5127732896071</v>
      </c>
      <c r="AI614">
        <v>94.322486449449201</v>
      </c>
      <c r="AJ614">
        <v>95.961306770905793</v>
      </c>
      <c r="AK614">
        <v>14.633303845052</v>
      </c>
    </row>
    <row r="615" spans="1:37" x14ac:dyDescent="0.2">
      <c r="A615" t="str">
        <f>"20200111150522718"</f>
        <v>20200111150522718</v>
      </c>
      <c r="B615" t="str">
        <f>"1578726322714936"</f>
        <v>1578726322714936</v>
      </c>
      <c r="C615" t="s">
        <v>37</v>
      </c>
      <c r="D615">
        <v>5.0293369999999999</v>
      </c>
      <c r="E615">
        <v>0.47388209999999997</v>
      </c>
      <c r="F615" t="s">
        <v>63</v>
      </c>
      <c r="G615">
        <v>-251.37610000000001</v>
      </c>
      <c r="H615" s="1">
        <v>-8.0448859999999897E-7</v>
      </c>
      <c r="I615">
        <v>281.66989999999998</v>
      </c>
      <c r="J615">
        <v>-236.1917</v>
      </c>
      <c r="K615">
        <v>1.102927</v>
      </c>
      <c r="L615">
        <v>283.36939999999998</v>
      </c>
      <c r="M615">
        <v>-0.99991450000000004</v>
      </c>
      <c r="N615">
        <v>0</v>
      </c>
      <c r="O615">
        <v>-8.9933619999999995E-3</v>
      </c>
      <c r="P615">
        <v>-0.99297259999999998</v>
      </c>
      <c r="Q615">
        <v>0.1100637</v>
      </c>
      <c r="R615">
        <v>-4.3490670000000002E-2</v>
      </c>
      <c r="S615">
        <v>-3.03005999999999</v>
      </c>
      <c r="T615">
        <v>-0.21635969999999999</v>
      </c>
      <c r="U615">
        <v>-0.33383179999999901</v>
      </c>
      <c r="V615">
        <v>-3.4524560000000003E-2</v>
      </c>
      <c r="W615">
        <v>0.1195112</v>
      </c>
      <c r="X615">
        <v>0.99223240000000001</v>
      </c>
      <c r="Y615">
        <v>-0.10033689999999899</v>
      </c>
      <c r="Z615">
        <v>-2.927579E-3</v>
      </c>
      <c r="AA615">
        <v>0.99494919999999998</v>
      </c>
      <c r="AB615">
        <v>26</v>
      </c>
      <c r="AC615">
        <v>-15.1844</v>
      </c>
      <c r="AD615">
        <v>-1.1029278044885999</v>
      </c>
      <c r="AE615">
        <v>-1.6995</v>
      </c>
      <c r="AF615">
        <v>-1.5547649617830399</v>
      </c>
      <c r="AG615">
        <v>-1.1029278044885999</v>
      </c>
      <c r="AH615">
        <v>15.1202841997872</v>
      </c>
      <c r="AI615">
        <v>94.150165264187393</v>
      </c>
      <c r="AJ615">
        <v>95.870887419186204</v>
      </c>
      <c r="AK615">
        <v>15.2399717227637</v>
      </c>
    </row>
    <row r="616" spans="1:37" x14ac:dyDescent="0.2">
      <c r="A616" t="str">
        <f>"20200111150522739"</f>
        <v>20200111150522739</v>
      </c>
      <c r="B616" t="str">
        <f>"1578726322735431"</f>
        <v>1578726322735431</v>
      </c>
      <c r="C616" t="s">
        <v>37</v>
      </c>
      <c r="D616">
        <v>5.0055959999999997</v>
      </c>
      <c r="E616">
        <v>0.47382929999999901</v>
      </c>
      <c r="F616" t="s">
        <v>63</v>
      </c>
      <c r="G616">
        <v>-252.13640000000001</v>
      </c>
      <c r="H616" s="1">
        <v>-3.999004E-7</v>
      </c>
      <c r="I616">
        <v>281.61200000000002</v>
      </c>
      <c r="J616">
        <v>-236.43369999999999</v>
      </c>
      <c r="K616">
        <v>1.1029359999999999</v>
      </c>
      <c r="L616">
        <v>283.36739999999998</v>
      </c>
      <c r="M616">
        <v>-0.99991569999999996</v>
      </c>
      <c r="N616">
        <v>0</v>
      </c>
      <c r="O616">
        <v>-8.8499540000000002E-3</v>
      </c>
      <c r="P616">
        <v>-0.99293140000000002</v>
      </c>
      <c r="Q616">
        <v>0.1107886</v>
      </c>
      <c r="R616">
        <v>-4.2584950000000003E-2</v>
      </c>
      <c r="S616">
        <v>-3.0298159999999998</v>
      </c>
      <c r="T616">
        <v>-0.20957779999999901</v>
      </c>
      <c r="U616">
        <v>-0.33395390000000003</v>
      </c>
      <c r="V616">
        <v>-3.3761239999999998E-2</v>
      </c>
      <c r="W616">
        <v>0.12023879999999899</v>
      </c>
      <c r="X616">
        <v>0.99217080000000002</v>
      </c>
      <c r="Y616">
        <v>-0.1005412</v>
      </c>
      <c r="Z616">
        <v>-2.8531659999999999E-3</v>
      </c>
      <c r="AA616">
        <v>0.99492879999999995</v>
      </c>
      <c r="AB616">
        <v>26</v>
      </c>
      <c r="AC616">
        <v>-15.7027</v>
      </c>
      <c r="AD616">
        <v>-1.1029363999003901</v>
      </c>
      <c r="AE616">
        <v>-1.7553999999999499</v>
      </c>
      <c r="AF616">
        <v>-1.60851917327214</v>
      </c>
      <c r="AG616">
        <v>-1.1029363999003901</v>
      </c>
      <c r="AH616">
        <v>15.6414069793815</v>
      </c>
      <c r="AI616">
        <v>94.012380855090797</v>
      </c>
      <c r="AJ616">
        <v>95.871500047697893</v>
      </c>
      <c r="AK616">
        <v>15.762531996086601</v>
      </c>
    </row>
    <row r="617" spans="1:37" x14ac:dyDescent="0.2">
      <c r="A617" t="str">
        <f>"20200111150523054"</f>
        <v>20200111150523054</v>
      </c>
      <c r="B617" t="str">
        <f>"1578726323045389"</f>
        <v>1578726323045389</v>
      </c>
      <c r="C617" t="s">
        <v>37</v>
      </c>
      <c r="D617">
        <v>4.9107269999999996</v>
      </c>
      <c r="E617">
        <v>0.47396179999999899</v>
      </c>
      <c r="F617" t="s">
        <v>63</v>
      </c>
      <c r="G617">
        <v>-252.76</v>
      </c>
      <c r="H617" s="1">
        <v>-6.8038669999999999E-8</v>
      </c>
      <c r="I617">
        <v>281.57459999999998</v>
      </c>
      <c r="J617">
        <v>-240.08420000000001</v>
      </c>
      <c r="K617">
        <v>1.102625</v>
      </c>
      <c r="L617">
        <v>283.34750000000003</v>
      </c>
      <c r="M617">
        <v>-0.99994939999999999</v>
      </c>
      <c r="N617">
        <v>0</v>
      </c>
      <c r="O617">
        <v>-3.321994E-3</v>
      </c>
      <c r="P617">
        <v>-0.991088999999999</v>
      </c>
      <c r="Q617">
        <v>0.12864149999999999</v>
      </c>
      <c r="R617">
        <v>-3.455544E-2</v>
      </c>
      <c r="S617">
        <v>-3.029922</v>
      </c>
      <c r="T617">
        <v>-0.20468819999999999</v>
      </c>
      <c r="U617">
        <v>-0.33273320000000001</v>
      </c>
      <c r="V617">
        <v>-3.1081339999999999E-2</v>
      </c>
      <c r="W617">
        <v>0.13809260000000001</v>
      </c>
      <c r="X617">
        <v>0.98993149999999996</v>
      </c>
      <c r="Y617">
        <v>-0.105626199999999</v>
      </c>
      <c r="Z617">
        <v>-3.3296209999999901E-3</v>
      </c>
      <c r="AA617">
        <v>0.99440030000000001</v>
      </c>
      <c r="AB617">
        <v>26</v>
      </c>
      <c r="AC617">
        <v>-12.675799999999899</v>
      </c>
      <c r="AD617">
        <v>-1.10262506803867</v>
      </c>
      <c r="AE617">
        <v>-1.7729000000000401</v>
      </c>
      <c r="AF617">
        <v>-1.71802904722248</v>
      </c>
      <c r="AG617">
        <v>-1.10262506803867</v>
      </c>
      <c r="AH617">
        <v>12.5881966747259</v>
      </c>
      <c r="AI617">
        <v>94.960125101833299</v>
      </c>
      <c r="AJ617">
        <v>97.771675446410697</v>
      </c>
      <c r="AK617">
        <v>12.7526507585423</v>
      </c>
    </row>
    <row r="618" spans="1:37" x14ac:dyDescent="0.2">
      <c r="A618" t="str">
        <f>"20200111150526468"</f>
        <v>20200111150526468</v>
      </c>
      <c r="B618" t="str">
        <f>"1578726326465786"</f>
        <v>1578726326465786</v>
      </c>
      <c r="C618" t="s">
        <v>37</v>
      </c>
      <c r="D618">
        <v>5.4328320000000003</v>
      </c>
      <c r="E618">
        <v>0.47017769999999998</v>
      </c>
      <c r="F618" t="s">
        <v>63</v>
      </c>
      <c r="G618">
        <v>-263.53089999999997</v>
      </c>
      <c r="H618" s="1">
        <v>3.4216029999999901E-7</v>
      </c>
      <c r="I618">
        <v>280.94959999999998</v>
      </c>
      <c r="J618">
        <v>-285.37939999999998</v>
      </c>
      <c r="K618">
        <v>1.1030819999999999</v>
      </c>
      <c r="L618">
        <v>284.41379999999998</v>
      </c>
      <c r="M618">
        <v>-0.99980480000000005</v>
      </c>
      <c r="N618">
        <v>0</v>
      </c>
      <c r="O618">
        <v>1.7114830000000001E-2</v>
      </c>
      <c r="P618">
        <v>-0.99340649999999997</v>
      </c>
      <c r="Q618">
        <v>0.1060797</v>
      </c>
      <c r="R618">
        <v>-4.3487610000000003E-2</v>
      </c>
      <c r="S618">
        <v>-3.0346829999999998</v>
      </c>
      <c r="T618">
        <v>-0.14271159999999999</v>
      </c>
      <c r="U618">
        <v>-0.31036379999999902</v>
      </c>
      <c r="V618">
        <v>-6.0538109999999999E-2</v>
      </c>
      <c r="W618">
        <v>0.115858399999999</v>
      </c>
      <c r="X618">
        <v>0.991419099999999</v>
      </c>
      <c r="Y618">
        <v>-0.118605</v>
      </c>
      <c r="Z618">
        <v>-3.582539E-3</v>
      </c>
      <c r="AA618">
        <v>0.99293509999999996</v>
      </c>
      <c r="AB618">
        <v>33</v>
      </c>
      <c r="AC618">
        <v>21.848500000000001</v>
      </c>
      <c r="AD618">
        <v>-1.10308165783969</v>
      </c>
      <c r="AE618">
        <v>-3.4641999999999999</v>
      </c>
      <c r="AF618">
        <v>-3.0820773735642799</v>
      </c>
      <c r="AG618">
        <v>-1.10308165783969</v>
      </c>
      <c r="AH618">
        <v>-21.850260898115199</v>
      </c>
      <c r="AI618">
        <v>92.861767099970095</v>
      </c>
      <c r="AJ618">
        <v>-98.028858108881096</v>
      </c>
      <c r="AK618">
        <v>22.094114406244099</v>
      </c>
    </row>
    <row r="619" spans="1:37" x14ac:dyDescent="0.2">
      <c r="A619" t="str">
        <f>"20200111150526758"</f>
        <v>20200111150526758</v>
      </c>
      <c r="B619" t="str">
        <f>"1578726326755658"</f>
        <v>1578726326755658</v>
      </c>
      <c r="C619" t="s">
        <v>37</v>
      </c>
      <c r="D619">
        <v>4.6962760000000001</v>
      </c>
      <c r="E619">
        <v>0.39514629999999901</v>
      </c>
      <c r="F619" t="s">
        <v>38</v>
      </c>
      <c r="G619">
        <v>-290.26799999999997</v>
      </c>
      <c r="H619">
        <v>0.92254720000000001</v>
      </c>
      <c r="I619">
        <v>284.44049999999999</v>
      </c>
      <c r="J619">
        <v>-289.68520000000001</v>
      </c>
      <c r="K619">
        <v>1.10364</v>
      </c>
      <c r="L619">
        <v>284.46949999999998</v>
      </c>
      <c r="M619">
        <v>-0.99990239999999997</v>
      </c>
      <c r="N619">
        <v>0</v>
      </c>
      <c r="O619">
        <v>9.819454E-3</v>
      </c>
      <c r="P619">
        <v>-0.99277769999999999</v>
      </c>
      <c r="Q619">
        <v>0.108175299999999</v>
      </c>
      <c r="R619">
        <v>-5.1873820000000001E-2</v>
      </c>
      <c r="S619">
        <v>-3.0849299999999999</v>
      </c>
      <c r="T619">
        <v>-0.61962399999999995</v>
      </c>
      <c r="U619">
        <v>-9.1033939999999994E-2</v>
      </c>
      <c r="V619">
        <v>-6.182903E-2</v>
      </c>
      <c r="W619">
        <v>0.1179346</v>
      </c>
      <c r="X619">
        <v>0.99109459999999905</v>
      </c>
      <c r="Y619">
        <v>-3.8349370000000001E-2</v>
      </c>
      <c r="Z619">
        <v>-5.7649650000000004E-3</v>
      </c>
      <c r="AA619">
        <v>0.99924780000000002</v>
      </c>
      <c r="AB619">
        <v>33</v>
      </c>
      <c r="AC619">
        <v>-0.58279999999996301</v>
      </c>
      <c r="AD619">
        <v>-0.181092799999999</v>
      </c>
      <c r="AE619">
        <v>-2.89999999999963E-2</v>
      </c>
      <c r="AF619">
        <v>-3.1671275850385899E-2</v>
      </c>
      <c r="AG619">
        <v>-0.181092799999999</v>
      </c>
      <c r="AH619">
        <v>0.53131414660835996</v>
      </c>
      <c r="AI619">
        <v>108.790125845902</v>
      </c>
      <c r="AJ619">
        <v>93.411325914865799</v>
      </c>
      <c r="AK619">
        <v>0.56222094794840305</v>
      </c>
    </row>
    <row r="620" spans="1:37" x14ac:dyDescent="0.2">
      <c r="A620" t="str">
        <f>"20200111150526804"</f>
        <v>20200111150526804</v>
      </c>
      <c r="B620" t="str">
        <f>"1578726326795673"</f>
        <v>1578726326795673</v>
      </c>
      <c r="C620" t="s">
        <v>37</v>
      </c>
      <c r="D620">
        <v>4.227633</v>
      </c>
      <c r="E620">
        <v>0.39226719999999998</v>
      </c>
      <c r="F620" t="s">
        <v>66</v>
      </c>
      <c r="G620">
        <v>-303.15230000000003</v>
      </c>
      <c r="H620" s="1">
        <v>3.8100170000000002E-6</v>
      </c>
      <c r="I620">
        <v>279.98829999999998</v>
      </c>
      <c r="J620">
        <v>-290.37959999999998</v>
      </c>
      <c r="K620">
        <v>1.1036729999999999</v>
      </c>
      <c r="L620">
        <v>284.47410000000002</v>
      </c>
      <c r="M620">
        <v>-0.99991939999999901</v>
      </c>
      <c r="N620">
        <v>0</v>
      </c>
      <c r="O620">
        <v>7.908544E-3</v>
      </c>
      <c r="P620">
        <v>-0.99256200000000006</v>
      </c>
      <c r="Q620">
        <v>0.108434199999999</v>
      </c>
      <c r="R620">
        <v>-5.5343490000000002E-2</v>
      </c>
      <c r="S620">
        <v>-2.9964900000000001</v>
      </c>
      <c r="T620">
        <v>-0.24556269999999999</v>
      </c>
      <c r="U620">
        <v>-0.99707029999999996</v>
      </c>
      <c r="V620">
        <v>-6.3412189999999993E-2</v>
      </c>
      <c r="W620">
        <v>0.11817509999999901</v>
      </c>
      <c r="X620">
        <v>0.99096600000000001</v>
      </c>
      <c r="Y620">
        <v>-0.3222236</v>
      </c>
      <c r="Z620">
        <v>-1.3467059999999999E-2</v>
      </c>
      <c r="AA620">
        <v>0.94656779999999996</v>
      </c>
      <c r="AB620">
        <v>34</v>
      </c>
      <c r="AC620">
        <v>-12.7727</v>
      </c>
      <c r="AD620">
        <v>-1.103669189983</v>
      </c>
      <c r="AE620">
        <v>-4.4858000000000402</v>
      </c>
      <c r="AF620">
        <v>-4.5563935838502001</v>
      </c>
      <c r="AG620">
        <v>-1.103669189983</v>
      </c>
      <c r="AH620">
        <v>12.6527249245707</v>
      </c>
      <c r="AI620">
        <v>94.691670401772299</v>
      </c>
      <c r="AJ620">
        <v>109.804539021403</v>
      </c>
      <c r="AK620">
        <v>13.4933411795864</v>
      </c>
    </row>
    <row r="621" spans="1:37" x14ac:dyDescent="0.2">
      <c r="A621" t="str">
        <f>"20200111150526825"</f>
        <v>20200111150526825</v>
      </c>
      <c r="B621" t="str">
        <f>"1578726326815196"</f>
        <v>1578726326815196</v>
      </c>
      <c r="C621" t="s">
        <v>37</v>
      </c>
      <c r="D621">
        <v>4.8688549999999999</v>
      </c>
      <c r="E621">
        <v>0.39166999999999902</v>
      </c>
      <c r="F621" t="s">
        <v>66</v>
      </c>
      <c r="G621">
        <v>-310.17290000000003</v>
      </c>
      <c r="H621" s="1">
        <v>3.2341199999999998E-6</v>
      </c>
      <c r="I621">
        <v>277.64350000000002</v>
      </c>
      <c r="J621">
        <v>-290.70400000000001</v>
      </c>
      <c r="K621">
        <v>1.103688</v>
      </c>
      <c r="L621">
        <v>284.47579999999999</v>
      </c>
      <c r="M621">
        <v>-0.99992619999999899</v>
      </c>
      <c r="N621">
        <v>0</v>
      </c>
      <c r="O621">
        <v>7.0117119999999998E-3</v>
      </c>
      <c r="P621">
        <v>-0.99241049999999997</v>
      </c>
      <c r="Q621">
        <v>0.1094818</v>
      </c>
      <c r="R621">
        <v>-5.5996820000000003E-2</v>
      </c>
      <c r="S621">
        <v>-2.9832459999999998</v>
      </c>
      <c r="T621">
        <v>-0.16634560000000001</v>
      </c>
      <c r="U621">
        <v>-1.0295099999999999</v>
      </c>
      <c r="V621">
        <v>-6.3179879999999994E-2</v>
      </c>
      <c r="W621">
        <v>0.1192096</v>
      </c>
      <c r="X621">
        <v>0.99085689999999904</v>
      </c>
      <c r="Y621">
        <v>-0.33236769999999999</v>
      </c>
      <c r="Z621">
        <v>-9.3792230000000008E-3</v>
      </c>
      <c r="AA621">
        <v>0.94310329999999998</v>
      </c>
      <c r="AB621">
        <v>34</v>
      </c>
      <c r="AC621">
        <v>-19.468900000000001</v>
      </c>
      <c r="AD621">
        <v>-1.10368476588</v>
      </c>
      <c r="AE621">
        <v>-6.8322999999999698</v>
      </c>
      <c r="AF621">
        <v>-6.9487663664917099</v>
      </c>
      <c r="AG621">
        <v>-1.10368476588</v>
      </c>
      <c r="AH621">
        <v>19.3651029672798</v>
      </c>
      <c r="AI621">
        <v>93.070656837269894</v>
      </c>
      <c r="AJ621">
        <v>109.73947381522299</v>
      </c>
      <c r="AK621">
        <v>20.603657127118701</v>
      </c>
    </row>
    <row r="622" spans="1:37" x14ac:dyDescent="0.2">
      <c r="A622" t="str">
        <f>"20200111150526894"</f>
        <v>20200111150526894</v>
      </c>
      <c r="B622" t="str">
        <f>"1578726326885972"</f>
        <v>1578726326885972</v>
      </c>
      <c r="C622" t="s">
        <v>37</v>
      </c>
      <c r="D622">
        <v>5.2559639999999996</v>
      </c>
      <c r="E622">
        <v>0.38710670000000003</v>
      </c>
      <c r="F622" t="s">
        <v>66</v>
      </c>
      <c r="G622">
        <v>-317.47660000000002</v>
      </c>
      <c r="H622">
        <v>8.0000920000000003E-2</v>
      </c>
      <c r="I622">
        <v>275.16140000000001</v>
      </c>
      <c r="J622">
        <v>-291.7276</v>
      </c>
      <c r="K622">
        <v>1.1037170000000001</v>
      </c>
      <c r="L622">
        <v>284.4794</v>
      </c>
      <c r="M622">
        <v>-0.99994240000000001</v>
      </c>
      <c r="N622">
        <v>0</v>
      </c>
      <c r="O622">
        <v>4.2083579999999997E-3</v>
      </c>
      <c r="P622">
        <v>-0.99222949999999999</v>
      </c>
      <c r="Q622">
        <v>0.11046549999999999</v>
      </c>
      <c r="R622">
        <v>-5.7253520000000002E-2</v>
      </c>
      <c r="S622">
        <v>-2.9770509999999999</v>
      </c>
      <c r="T622">
        <v>-0.1138318</v>
      </c>
      <c r="U622">
        <v>-1.035736</v>
      </c>
      <c r="V622">
        <v>-6.1662769999999999E-2</v>
      </c>
      <c r="W622">
        <v>0.12014320000000001</v>
      </c>
      <c r="X622">
        <v>0.99083969999999899</v>
      </c>
      <c r="Y622">
        <v>-0.332341099999999</v>
      </c>
      <c r="Z622">
        <v>-6.3265589999999998E-3</v>
      </c>
      <c r="AA622">
        <v>0.94313809999999998</v>
      </c>
      <c r="AB622">
        <v>34</v>
      </c>
      <c r="AC622">
        <v>-25.748999999999999</v>
      </c>
      <c r="AD622">
        <v>-1.02371608</v>
      </c>
      <c r="AE622">
        <v>-9.3179999999999801</v>
      </c>
      <c r="AF622">
        <v>-9.4131276877249608</v>
      </c>
      <c r="AG622">
        <v>-1.02371608</v>
      </c>
      <c r="AH622">
        <v>25.6736742377559</v>
      </c>
      <c r="AI622">
        <v>92.143990056066201</v>
      </c>
      <c r="AJ622">
        <v>110.135215815292</v>
      </c>
      <c r="AK622">
        <v>27.3640734603654</v>
      </c>
    </row>
    <row r="623" spans="1:37" x14ac:dyDescent="0.2">
      <c r="A623" t="str">
        <f>"20200111150526915"</f>
        <v>20200111150526915</v>
      </c>
      <c r="B623" t="str">
        <f>"1578726326905496"</f>
        <v>1578726326905496</v>
      </c>
      <c r="C623" t="s">
        <v>37</v>
      </c>
      <c r="D623">
        <v>5.3396150000000002</v>
      </c>
      <c r="E623">
        <v>0.38255869999999997</v>
      </c>
      <c r="F623" t="s">
        <v>69</v>
      </c>
      <c r="G623">
        <v>-332.46800000000002</v>
      </c>
      <c r="H623">
        <v>9.4883200000000001E-2</v>
      </c>
      <c r="I623">
        <v>269.73790000000002</v>
      </c>
      <c r="J623">
        <v>-292.04649999999998</v>
      </c>
      <c r="K623">
        <v>1.103715</v>
      </c>
      <c r="L623">
        <v>284.47989999999999</v>
      </c>
      <c r="M623">
        <v>-0.9999458</v>
      </c>
      <c r="N623">
        <v>0</v>
      </c>
      <c r="O623">
        <v>3.350174E-3</v>
      </c>
      <c r="P623">
        <v>-0.9920949</v>
      </c>
      <c r="Q623">
        <v>0.1113354</v>
      </c>
      <c r="R623">
        <v>-5.789967E-2</v>
      </c>
      <c r="S623">
        <v>-2.9696959999999999</v>
      </c>
      <c r="T623">
        <v>-7.353258E-2</v>
      </c>
      <c r="U623">
        <v>-1.074554</v>
      </c>
      <c r="V623">
        <v>-6.145888E-2</v>
      </c>
      <c r="W623">
        <v>0.1209943</v>
      </c>
      <c r="X623">
        <v>0.99074879999999999</v>
      </c>
      <c r="Y623">
        <v>-0.34330519999999998</v>
      </c>
      <c r="Z623">
        <v>-4.1994210000000001E-3</v>
      </c>
      <c r="AA623">
        <v>0.93921449999999995</v>
      </c>
      <c r="AB623">
        <v>34</v>
      </c>
      <c r="AC623">
        <v>-40.421500000000002</v>
      </c>
      <c r="AD623">
        <v>-1.0088318000000001</v>
      </c>
      <c r="AE623">
        <v>-14.7419999999999</v>
      </c>
      <c r="AF623">
        <v>-14.869168325530101</v>
      </c>
      <c r="AG623">
        <v>-1.0088318000000001</v>
      </c>
      <c r="AH623">
        <v>40.3496995489147</v>
      </c>
      <c r="AI623">
        <v>91.343912281944498</v>
      </c>
      <c r="AJ623">
        <v>110.229222200086</v>
      </c>
      <c r="AK623">
        <v>43.014046101027603</v>
      </c>
    </row>
    <row r="624" spans="1:37" x14ac:dyDescent="0.2">
      <c r="A624" t="str">
        <f>"20200111150526937"</f>
        <v>20200111150526937</v>
      </c>
      <c r="B624" t="str">
        <f>"1578726326925991"</f>
        <v>1578726326925991</v>
      </c>
      <c r="C624" t="s">
        <v>37</v>
      </c>
      <c r="D624">
        <v>5.2844139999999999</v>
      </c>
      <c r="E624">
        <v>0.38030649999999999</v>
      </c>
      <c r="F624" t="s">
        <v>69</v>
      </c>
      <c r="G624">
        <v>-331.31599999999997</v>
      </c>
      <c r="H624">
        <v>0.36172799999999999</v>
      </c>
      <c r="I624">
        <v>269.74329999999998</v>
      </c>
      <c r="J624">
        <v>-292.37900000000002</v>
      </c>
      <c r="K624">
        <v>1.1037090000000001</v>
      </c>
      <c r="L624">
        <v>284.48009999999999</v>
      </c>
      <c r="M624">
        <v>-0.99994859999999897</v>
      </c>
      <c r="N624">
        <v>0</v>
      </c>
      <c r="O624">
        <v>2.4631689999999999E-3</v>
      </c>
      <c r="P624">
        <v>-0.99197829999999998</v>
      </c>
      <c r="Q624">
        <v>0.11183659999999999</v>
      </c>
      <c r="R624">
        <v>-5.8921149999999999E-2</v>
      </c>
      <c r="S624">
        <v>-2.9652400000000001</v>
      </c>
      <c r="T624">
        <v>-5.6022639999999999E-2</v>
      </c>
      <c r="U624">
        <v>-1.112762</v>
      </c>
      <c r="V624">
        <v>-6.1600729999999999E-2</v>
      </c>
      <c r="W624">
        <v>0.12147760000000001</v>
      </c>
      <c r="X624">
        <v>0.99068089999999998</v>
      </c>
      <c r="Y624">
        <v>-0.35359359999999901</v>
      </c>
      <c r="Z624">
        <v>-3.2750090000000002E-3</v>
      </c>
      <c r="AA624">
        <v>0.93539340000000004</v>
      </c>
      <c r="AB624">
        <v>34</v>
      </c>
      <c r="AC624">
        <v>-38.936999999999898</v>
      </c>
      <c r="AD624">
        <v>-0.741981</v>
      </c>
      <c r="AE624">
        <v>-14.736800000000001</v>
      </c>
      <c r="AF624">
        <v>-14.827958541005099</v>
      </c>
      <c r="AG624">
        <v>-0.741981</v>
      </c>
      <c r="AH624">
        <v>38.888228829748897</v>
      </c>
      <c r="AI624">
        <v>91.0213511250751</v>
      </c>
      <c r="AJ624">
        <v>110.87169062222399</v>
      </c>
      <c r="AK624">
        <v>41.625872144773602</v>
      </c>
    </row>
    <row r="625" spans="1:37" x14ac:dyDescent="0.2">
      <c r="A625" t="str">
        <f>"20200111150526971"</f>
        <v>20200111150526971</v>
      </c>
      <c r="B625" t="str">
        <f>"1578726326965028"</f>
        <v>1578726326965028</v>
      </c>
      <c r="C625" t="s">
        <v>37</v>
      </c>
      <c r="D625">
        <v>5.2408599999999996</v>
      </c>
      <c r="E625">
        <v>0.37665490000000001</v>
      </c>
      <c r="F625" t="s">
        <v>69</v>
      </c>
      <c r="G625">
        <v>-330.86869999999999</v>
      </c>
      <c r="H625">
        <v>0.57214449999999994</v>
      </c>
      <c r="I625">
        <v>269.74540000000002</v>
      </c>
      <c r="J625">
        <v>-292.88409999999999</v>
      </c>
      <c r="K625">
        <v>1.103707</v>
      </c>
      <c r="L625">
        <v>284.47989999999999</v>
      </c>
      <c r="M625">
        <v>-0.99995119999999904</v>
      </c>
      <c r="N625">
        <v>0</v>
      </c>
      <c r="O625">
        <v>1.1324659999999999E-3</v>
      </c>
      <c r="P625">
        <v>-0.99180159999999995</v>
      </c>
      <c r="Q625">
        <v>0.11241669999999999</v>
      </c>
      <c r="R625">
        <v>-6.0765279999999998E-2</v>
      </c>
      <c r="S625">
        <v>-2.961487</v>
      </c>
      <c r="T625">
        <v>-4.0895220000000003E-2</v>
      </c>
      <c r="U625">
        <v>-1.1337280000000001</v>
      </c>
      <c r="V625">
        <v>-6.2123680000000001E-2</v>
      </c>
      <c r="W625">
        <v>0.122029399999999</v>
      </c>
      <c r="X625">
        <v>0.99058040000000003</v>
      </c>
      <c r="Y625">
        <v>-0.3585487</v>
      </c>
      <c r="Z625">
        <v>-2.4059960000000001E-3</v>
      </c>
      <c r="AA625">
        <v>0.93350789999999995</v>
      </c>
      <c r="AB625">
        <v>34</v>
      </c>
      <c r="AC625">
        <v>-37.9846</v>
      </c>
      <c r="AD625">
        <v>-0.53156250000000005</v>
      </c>
      <c r="AE625">
        <v>-14.734499999999899</v>
      </c>
      <c r="AF625">
        <v>-14.7749938509664</v>
      </c>
      <c r="AG625">
        <v>-0.53156250000000005</v>
      </c>
      <c r="AH625">
        <v>37.961426619557699</v>
      </c>
      <c r="AI625">
        <v>90.747619560192803</v>
      </c>
      <c r="AJ625">
        <v>111.266520534104</v>
      </c>
      <c r="AK625">
        <v>40.7388378943186</v>
      </c>
    </row>
    <row r="626" spans="1:37" x14ac:dyDescent="0.2">
      <c r="A626" t="str">
        <f>"20200111150526993"</f>
        <v>20200111150526993</v>
      </c>
      <c r="B626" t="str">
        <f>"1578726326985057"</f>
        <v>1578726326985057</v>
      </c>
      <c r="C626" t="s">
        <v>37</v>
      </c>
      <c r="D626">
        <v>5.2342889999999898</v>
      </c>
      <c r="E626">
        <v>0.37679849999999998</v>
      </c>
      <c r="F626" t="s">
        <v>69</v>
      </c>
      <c r="G626">
        <v>-330.18900000000002</v>
      </c>
      <c r="H626">
        <v>0.74485730000000006</v>
      </c>
      <c r="I626">
        <v>269.74860000000001</v>
      </c>
      <c r="J626">
        <v>-293.2328</v>
      </c>
      <c r="K626">
        <v>1.1037030000000001</v>
      </c>
      <c r="L626">
        <v>284.4794</v>
      </c>
      <c r="M626">
        <v>-0.99995210000000001</v>
      </c>
      <c r="N626">
        <v>0</v>
      </c>
      <c r="O626">
        <v>2.27169199999999E-4</v>
      </c>
      <c r="P626">
        <v>-0.9916798</v>
      </c>
      <c r="Q626">
        <v>0.1127606</v>
      </c>
      <c r="R626">
        <v>-6.2097149999999997E-2</v>
      </c>
      <c r="S626">
        <v>-2.9564509999999999</v>
      </c>
      <c r="T626">
        <v>-2.8434399999999999E-2</v>
      </c>
      <c r="U626">
        <v>-1.1674799999999901</v>
      </c>
      <c r="V626">
        <v>-6.255761E-2</v>
      </c>
      <c r="W626">
        <v>0.12235169999999999</v>
      </c>
      <c r="X626">
        <v>0.99051329999999904</v>
      </c>
      <c r="Y626">
        <v>-0.36748839999999999</v>
      </c>
      <c r="Z626">
        <v>-1.70528E-3</v>
      </c>
      <c r="AA626">
        <v>0.93002649999999998</v>
      </c>
      <c r="AB626">
        <v>34</v>
      </c>
      <c r="AC626">
        <v>-36.956200000000003</v>
      </c>
      <c r="AD626">
        <v>-0.35884569999999999</v>
      </c>
      <c r="AE626">
        <v>-14.730799999999901</v>
      </c>
      <c r="AF626">
        <v>-14.7379962757109</v>
      </c>
      <c r="AG626">
        <v>-0.35884569999999999</v>
      </c>
      <c r="AH626">
        <v>36.949846329997598</v>
      </c>
      <c r="AI626">
        <v>90.5168288927823</v>
      </c>
      <c r="AJ626">
        <v>111.745321004944</v>
      </c>
      <c r="AK626">
        <v>39.782262985779397</v>
      </c>
    </row>
    <row r="627" spans="1:37" x14ac:dyDescent="0.2">
      <c r="A627" t="str">
        <f>"20200111150527015"</f>
        <v>20200111150527015</v>
      </c>
      <c r="B627" t="str">
        <f>"1578726327005553"</f>
        <v>1578726327005553</v>
      </c>
      <c r="C627" t="s">
        <v>37</v>
      </c>
      <c r="D627">
        <v>5.2533000000000003</v>
      </c>
      <c r="E627">
        <v>0.37825720000000002</v>
      </c>
      <c r="F627" t="s">
        <v>69</v>
      </c>
      <c r="G627">
        <v>-330.43419999999998</v>
      </c>
      <c r="H627">
        <v>0.65647789999999995</v>
      </c>
      <c r="I627">
        <v>269.74740000000003</v>
      </c>
      <c r="J627">
        <v>-293.5675</v>
      </c>
      <c r="K627">
        <v>1.1036900000000001</v>
      </c>
      <c r="L627">
        <v>284.4787</v>
      </c>
      <c r="M627">
        <v>-0.99995199999999995</v>
      </c>
      <c r="N627">
        <v>0</v>
      </c>
      <c r="O627">
        <v>-6.30632E-4</v>
      </c>
      <c r="P627">
        <v>-0.99163250000000003</v>
      </c>
      <c r="Q627">
        <v>0.112581</v>
      </c>
      <c r="R627">
        <v>-6.3170809999999994E-2</v>
      </c>
      <c r="S627">
        <v>-2.955902</v>
      </c>
      <c r="T627">
        <v>-3.553021E-2</v>
      </c>
      <c r="U627">
        <v>-1.170563</v>
      </c>
      <c r="V627">
        <v>-6.2778319999999999E-2</v>
      </c>
      <c r="W627">
        <v>0.1221525</v>
      </c>
      <c r="X627">
        <v>0.99052390000000001</v>
      </c>
      <c r="Y627">
        <v>-0.36758010000000002</v>
      </c>
      <c r="Z627">
        <v>-2.1213790000000001E-3</v>
      </c>
      <c r="AA627">
        <v>0.92998950000000002</v>
      </c>
      <c r="AB627">
        <v>34</v>
      </c>
      <c r="AC627">
        <v>-36.866699999999902</v>
      </c>
      <c r="AD627">
        <v>-0.4472121</v>
      </c>
      <c r="AE627">
        <v>-14.7312999999999</v>
      </c>
      <c r="AF627">
        <v>-14.706180579277699</v>
      </c>
      <c r="AG627">
        <v>-0.4472121</v>
      </c>
      <c r="AH627">
        <v>36.871304562561498</v>
      </c>
      <c r="AI627">
        <v>90.645464113265106</v>
      </c>
      <c r="AJ627">
        <v>111.74466657217199</v>
      </c>
      <c r="AK627">
        <v>39.698423722332898</v>
      </c>
    </row>
    <row r="628" spans="1:37" x14ac:dyDescent="0.2">
      <c r="A628" t="str">
        <f>"20200111150527036"</f>
        <v>20200111150527036</v>
      </c>
      <c r="B628" t="str">
        <f>"1578726327026051"</f>
        <v>1578726327026051</v>
      </c>
      <c r="C628" t="s">
        <v>37</v>
      </c>
      <c r="D628">
        <v>5.2367619999999997</v>
      </c>
      <c r="E628">
        <v>0.379577</v>
      </c>
      <c r="F628" t="s">
        <v>69</v>
      </c>
      <c r="G628">
        <v>-331.0607</v>
      </c>
      <c r="H628">
        <v>0.40750380000000003</v>
      </c>
      <c r="I628">
        <v>269.74450000000002</v>
      </c>
      <c r="J628">
        <v>-293.89580000000001</v>
      </c>
      <c r="K628">
        <v>1.1036729999999999</v>
      </c>
      <c r="L628">
        <v>284.47770000000003</v>
      </c>
      <c r="M628">
        <v>-0.99995140000000005</v>
      </c>
      <c r="N628">
        <v>0</v>
      </c>
      <c r="O628">
        <v>-1.465034E-3</v>
      </c>
      <c r="P628">
        <v>-0.99157050000000002</v>
      </c>
      <c r="Q628">
        <v>0.11229020000000001</v>
      </c>
      <c r="R628">
        <v>-6.4647179999999999E-2</v>
      </c>
      <c r="S628">
        <v>-2.9574579999999999</v>
      </c>
      <c r="T628">
        <v>-5.4910059999999997E-2</v>
      </c>
      <c r="U628">
        <v>-1.162231</v>
      </c>
      <c r="V628">
        <v>-6.342544E-2</v>
      </c>
      <c r="W628">
        <v>0.12184339999999901</v>
      </c>
      <c r="X628">
        <v>0.99052079999999998</v>
      </c>
      <c r="Y628">
        <v>-0.36433579999999999</v>
      </c>
      <c r="Z628">
        <v>-3.2343909999999901E-3</v>
      </c>
      <c r="AA628">
        <v>0.93126200000000003</v>
      </c>
      <c r="AB628">
        <v>34</v>
      </c>
      <c r="AC628">
        <v>-37.164899999999903</v>
      </c>
      <c r="AD628">
        <v>-0.69616919999999904</v>
      </c>
      <c r="AE628">
        <v>-14.7332</v>
      </c>
      <c r="AF628">
        <v>-14.6742840745879</v>
      </c>
      <c r="AG628">
        <v>-0.69616919999999904</v>
      </c>
      <c r="AH628">
        <v>37.175173150137297</v>
      </c>
      <c r="AI628">
        <v>90.997921667233399</v>
      </c>
      <c r="AJ628">
        <v>111.54080739625699</v>
      </c>
      <c r="AK628">
        <v>39.972650192343004</v>
      </c>
    </row>
    <row r="629" spans="1:37" x14ac:dyDescent="0.2">
      <c r="A629" t="str">
        <f>"20200111150527060"</f>
        <v>20200111150527060</v>
      </c>
      <c r="B629" t="str">
        <f>"1578726327055329"</f>
        <v>1578726327055329</v>
      </c>
      <c r="C629" t="s">
        <v>37</v>
      </c>
      <c r="D629">
        <v>5.2378960000000001</v>
      </c>
      <c r="E629">
        <v>0.38156209999999902</v>
      </c>
      <c r="F629" t="s">
        <v>69</v>
      </c>
      <c r="G629">
        <v>-331.58670000000001</v>
      </c>
      <c r="H629">
        <v>0.1955607</v>
      </c>
      <c r="I629">
        <v>269.74209999999999</v>
      </c>
      <c r="J629">
        <v>-294.2371</v>
      </c>
      <c r="K629">
        <v>1.103672</v>
      </c>
      <c r="L629">
        <v>284.47629999999998</v>
      </c>
      <c r="M629">
        <v>-0.99994989999999995</v>
      </c>
      <c r="N629">
        <v>0</v>
      </c>
      <c r="O629">
        <v>-2.325925E-3</v>
      </c>
      <c r="P629">
        <v>-0.9915001</v>
      </c>
      <c r="Q629">
        <v>0.11224430000000001</v>
      </c>
      <c r="R629">
        <v>-6.5794450000000004E-2</v>
      </c>
      <c r="S629">
        <v>-2.9581599999999999</v>
      </c>
      <c r="T629">
        <v>-7.1268440000000002E-2</v>
      </c>
      <c r="U629">
        <v>-1.156525</v>
      </c>
      <c r="V629">
        <v>-6.371781E-2</v>
      </c>
      <c r="W629">
        <v>0.121781399999999</v>
      </c>
      <c r="X629">
        <v>0.99050959999999999</v>
      </c>
      <c r="Y629">
        <v>-0.36186399999999902</v>
      </c>
      <c r="Z629">
        <v>-4.149519E-3</v>
      </c>
      <c r="AA629">
        <v>0.93222169999999904</v>
      </c>
      <c r="AB629">
        <v>34</v>
      </c>
      <c r="AC629">
        <v>-37.349600000000002</v>
      </c>
      <c r="AD629">
        <v>-0.90811129999999995</v>
      </c>
      <c r="AE629">
        <v>-14.7341999999999</v>
      </c>
      <c r="AF629">
        <v>-14.639794650900701</v>
      </c>
      <c r="AG629">
        <v>-0.90811129999999995</v>
      </c>
      <c r="AH629">
        <v>37.364657295727604</v>
      </c>
      <c r="AI629">
        <v>91.296328776075896</v>
      </c>
      <c r="AJ629">
        <v>111.395673866921</v>
      </c>
      <c r="AK629">
        <v>40.140576333442198</v>
      </c>
    </row>
    <row r="630" spans="1:37" x14ac:dyDescent="0.2">
      <c r="A630" t="str">
        <f>"20200111150527083"</f>
        <v>20200111150527083</v>
      </c>
      <c r="B630" t="str">
        <f>"1578726327075826"</f>
        <v>1578726327075826</v>
      </c>
      <c r="C630" t="s">
        <v>37</v>
      </c>
      <c r="D630">
        <v>5.328856</v>
      </c>
      <c r="E630">
        <v>0.3826387</v>
      </c>
      <c r="F630" t="s">
        <v>46</v>
      </c>
      <c r="G630">
        <v>-331.95440000000002</v>
      </c>
      <c r="H630">
        <v>-0.05</v>
      </c>
      <c r="I630">
        <v>269.89330000000001</v>
      </c>
      <c r="J630">
        <v>-294.59109999999998</v>
      </c>
      <c r="K630">
        <v>1.103669</v>
      </c>
      <c r="L630">
        <v>284.47460000000001</v>
      </c>
      <c r="M630">
        <v>-0.99994749999999999</v>
      </c>
      <c r="N630">
        <v>0</v>
      </c>
      <c r="O630">
        <v>-3.2148529999999902E-3</v>
      </c>
      <c r="P630">
        <v>-0.99138740000000003</v>
      </c>
      <c r="Q630">
        <v>0.1128839</v>
      </c>
      <c r="R630">
        <v>-6.6395739999999995E-2</v>
      </c>
      <c r="S630">
        <v>-2.9600520000000001</v>
      </c>
      <c r="T630">
        <v>-9.0540170000000003E-2</v>
      </c>
      <c r="U630">
        <v>-1.1444700000000001</v>
      </c>
      <c r="V630">
        <v>-6.3438480000000005E-2</v>
      </c>
      <c r="W630">
        <v>0.1224071</v>
      </c>
      <c r="X630">
        <v>0.99045039999999995</v>
      </c>
      <c r="Y630">
        <v>-0.35747770000000001</v>
      </c>
      <c r="Z630">
        <v>-5.1808180000000002E-3</v>
      </c>
      <c r="AA630">
        <v>0.9339073</v>
      </c>
      <c r="AB630">
        <v>34</v>
      </c>
      <c r="AC630">
        <v>-37.363300000000002</v>
      </c>
      <c r="AD630">
        <v>-1.1536690000000001</v>
      </c>
      <c r="AE630">
        <v>-14.581300000000001</v>
      </c>
      <c r="AF630">
        <v>-14.449146473086101</v>
      </c>
      <c r="AG630">
        <v>-1.1536690000000001</v>
      </c>
      <c r="AH630">
        <v>37.379059089731797</v>
      </c>
      <c r="AI630">
        <v>91.648978352420201</v>
      </c>
      <c r="AJ630">
        <v>111.134371131733</v>
      </c>
      <c r="AK630">
        <v>40.091181628831102</v>
      </c>
    </row>
    <row r="631" spans="1:37" x14ac:dyDescent="0.2">
      <c r="A631" t="str">
        <f>"20200111150527105"</f>
        <v>20200111150527105</v>
      </c>
      <c r="B631" t="str">
        <f>"1578726327095348"</f>
        <v>1578726327095348</v>
      </c>
      <c r="C631" t="s">
        <v>37</v>
      </c>
      <c r="D631">
        <v>5.1110319999999998</v>
      </c>
      <c r="E631">
        <v>0.38282699999999997</v>
      </c>
      <c r="F631" t="s">
        <v>46</v>
      </c>
      <c r="G631">
        <v>-328.6961</v>
      </c>
      <c r="H631">
        <v>-0.05</v>
      </c>
      <c r="I631">
        <v>271.37020000000001</v>
      </c>
      <c r="J631">
        <v>-294.93400000000003</v>
      </c>
      <c r="K631">
        <v>1.103669</v>
      </c>
      <c r="L631">
        <v>284.47269999999997</v>
      </c>
      <c r="M631">
        <v>-0.99994450000000001</v>
      </c>
      <c r="N631">
        <v>0</v>
      </c>
      <c r="O631">
        <v>-4.0725859999999996E-3</v>
      </c>
      <c r="P631">
        <v>-0.99133909999999903</v>
      </c>
      <c r="Q631">
        <v>0.1132321</v>
      </c>
      <c r="R631">
        <v>-6.6524009999999995E-2</v>
      </c>
      <c r="S631">
        <v>-2.9613040000000002</v>
      </c>
      <c r="T631">
        <v>-0.10017189999999999</v>
      </c>
      <c r="U631">
        <v>-1.137848</v>
      </c>
      <c r="V631">
        <v>-6.2716999999999995E-2</v>
      </c>
      <c r="W631">
        <v>0.122744899999999</v>
      </c>
      <c r="X631">
        <v>0.99045459999999996</v>
      </c>
      <c r="Y631">
        <v>-0.35469339999999999</v>
      </c>
      <c r="Z631">
        <v>-5.6581909999999999E-3</v>
      </c>
      <c r="AA631">
        <v>0.93496559999999995</v>
      </c>
      <c r="AB631">
        <v>34</v>
      </c>
      <c r="AC631">
        <v>-33.762099999999897</v>
      </c>
      <c r="AD631">
        <v>-1.1536690000000001</v>
      </c>
      <c r="AE631">
        <v>-13.1024999999999</v>
      </c>
      <c r="AF631">
        <v>-12.9517424911202</v>
      </c>
      <c r="AG631">
        <v>-1.1536690000000001</v>
      </c>
      <c r="AH631">
        <v>33.780903055039403</v>
      </c>
      <c r="AI631">
        <v>91.826433954985205</v>
      </c>
      <c r="AJ631">
        <v>110.977037011704</v>
      </c>
      <c r="AK631">
        <v>36.197071662384801</v>
      </c>
    </row>
    <row r="632" spans="1:37" x14ac:dyDescent="0.2">
      <c r="A632" t="str">
        <f>"20200111150527127"</f>
        <v>20200111150527127</v>
      </c>
      <c r="B632" t="str">
        <f>"1578726327125601"</f>
        <v>1578726327125601</v>
      </c>
      <c r="C632" t="s">
        <v>37</v>
      </c>
      <c r="D632">
        <v>5.7153529999999897</v>
      </c>
      <c r="E632">
        <v>0.38304690000000002</v>
      </c>
      <c r="F632" t="s">
        <v>46</v>
      </c>
      <c r="G632">
        <v>-327.68709999999999</v>
      </c>
      <c r="H632">
        <v>-0.05</v>
      </c>
      <c r="I632">
        <v>271.90230000000003</v>
      </c>
      <c r="J632">
        <v>-295.27690000000001</v>
      </c>
      <c r="K632">
        <v>1.103669</v>
      </c>
      <c r="L632">
        <v>284.47050000000002</v>
      </c>
      <c r="M632">
        <v>-0.99994089999999902</v>
      </c>
      <c r="N632">
        <v>0</v>
      </c>
      <c r="O632">
        <v>-4.9297429999999899E-3</v>
      </c>
      <c r="P632">
        <v>-0.99136950000000001</v>
      </c>
      <c r="Q632">
        <v>0.11300009999999901</v>
      </c>
      <c r="R632">
        <v>-6.6466810000000001E-2</v>
      </c>
      <c r="S632">
        <v>-2.961884</v>
      </c>
      <c r="T632">
        <v>-0.104327</v>
      </c>
      <c r="U632">
        <v>-1.136749</v>
      </c>
      <c r="V632">
        <v>-6.1809210000000003E-2</v>
      </c>
      <c r="W632">
        <v>0.1225055</v>
      </c>
      <c r="X632">
        <v>0.99054129999999996</v>
      </c>
      <c r="Y632">
        <v>-0.35351459999999901</v>
      </c>
      <c r="Z632">
        <v>-5.8428839999999996E-3</v>
      </c>
      <c r="AA632">
        <v>0.93541070000000004</v>
      </c>
      <c r="AB632">
        <v>34</v>
      </c>
      <c r="AC632">
        <v>-32.410199999999897</v>
      </c>
      <c r="AD632">
        <v>-1.1536690000000001</v>
      </c>
      <c r="AE632">
        <v>-12.5681999999999</v>
      </c>
      <c r="AF632">
        <v>-12.3946139532703</v>
      </c>
      <c r="AG632">
        <v>-1.1536690000000001</v>
      </c>
      <c r="AH632">
        <v>32.436040870091702</v>
      </c>
      <c r="AI632">
        <v>91.902919086494194</v>
      </c>
      <c r="AJ632">
        <v>110.913094001898</v>
      </c>
      <c r="AK632">
        <v>34.742684906875297</v>
      </c>
    </row>
    <row r="633" spans="1:37" x14ac:dyDescent="0.2">
      <c r="A633" t="str">
        <f>"20200111150527149"</f>
        <v>20200111150527149</v>
      </c>
      <c r="B633" t="str">
        <f>"1578726327145121"</f>
        <v>1578726327145121</v>
      </c>
      <c r="C633" t="s">
        <v>37</v>
      </c>
      <c r="D633">
        <v>5.4500699999999904</v>
      </c>
      <c r="E633">
        <v>0.38399889999999998</v>
      </c>
      <c r="F633" t="s">
        <v>46</v>
      </c>
      <c r="G633">
        <v>-326.2124</v>
      </c>
      <c r="H633">
        <v>-0.05</v>
      </c>
      <c r="I633">
        <v>272.6216</v>
      </c>
      <c r="J633">
        <v>-295.59879999999998</v>
      </c>
      <c r="K633">
        <v>1.103666</v>
      </c>
      <c r="L633">
        <v>284.46809999999999</v>
      </c>
      <c r="M633">
        <v>-0.99993650000000001</v>
      </c>
      <c r="N633">
        <v>0</v>
      </c>
      <c r="O633">
        <v>-5.7332950000000002E-3</v>
      </c>
      <c r="P633">
        <v>-0.99130830000000003</v>
      </c>
      <c r="Q633">
        <v>0.1135288</v>
      </c>
      <c r="R633">
        <v>-6.6476899999999894E-2</v>
      </c>
      <c r="S633">
        <v>-2.9626160000000001</v>
      </c>
      <c r="T633">
        <v>-0.1104844</v>
      </c>
      <c r="U633">
        <v>-1.134735</v>
      </c>
      <c r="V633">
        <v>-6.1023969999999997E-2</v>
      </c>
      <c r="W633">
        <v>0.1230313</v>
      </c>
      <c r="X633">
        <v>0.99052479999999998</v>
      </c>
      <c r="Y633">
        <v>-0.35210920000000001</v>
      </c>
      <c r="Z633">
        <v>-6.1326000000000002E-3</v>
      </c>
      <c r="AA633">
        <v>0.93593879999999996</v>
      </c>
      <c r="AB633">
        <v>34</v>
      </c>
      <c r="AC633">
        <v>-30.613600000000002</v>
      </c>
      <c r="AD633">
        <v>-1.1536660000000001</v>
      </c>
      <c r="AE633">
        <v>-11.846499999999899</v>
      </c>
      <c r="AF633">
        <v>-11.6563824965157</v>
      </c>
      <c r="AG633">
        <v>-1.1536660000000001</v>
      </c>
      <c r="AH633">
        <v>30.643169672600699</v>
      </c>
      <c r="AI633">
        <v>92.015322568464697</v>
      </c>
      <c r="AJ633">
        <v>110.826358712762</v>
      </c>
      <c r="AK633">
        <v>32.805579490818801</v>
      </c>
    </row>
    <row r="634" spans="1:37" x14ac:dyDescent="0.2">
      <c r="A634" t="str">
        <f>"20200111150527195"</f>
        <v>20200111150527195</v>
      </c>
      <c r="B634" t="str">
        <f>"1578726327185137"</f>
        <v>1578726327185137</v>
      </c>
      <c r="C634" t="s">
        <v>37</v>
      </c>
      <c r="D634">
        <v>4.9968839999999997</v>
      </c>
      <c r="E634">
        <v>0.47216989999999998</v>
      </c>
      <c r="F634" t="s">
        <v>46</v>
      </c>
      <c r="G634">
        <v>-329.80829999999997</v>
      </c>
      <c r="H634">
        <v>-0.05</v>
      </c>
      <c r="I634">
        <v>271.44959999999998</v>
      </c>
      <c r="J634">
        <v>-296.30860000000001</v>
      </c>
      <c r="K634">
        <v>1.1036729999999999</v>
      </c>
      <c r="L634">
        <v>284.46210000000002</v>
      </c>
      <c r="M634">
        <v>-0.999924699999999</v>
      </c>
      <c r="N634">
        <v>0</v>
      </c>
      <c r="O634">
        <v>-7.5041329999999996E-3</v>
      </c>
      <c r="P634">
        <v>-0.99107809999999896</v>
      </c>
      <c r="Q634">
        <v>0.1150982</v>
      </c>
      <c r="R634">
        <v>-6.7209160000000004E-2</v>
      </c>
      <c r="S634">
        <v>-2.9621580000000001</v>
      </c>
      <c r="T634">
        <v>-9.9894759999999999E-2</v>
      </c>
      <c r="U634">
        <v>-1.1272580000000001</v>
      </c>
      <c r="V634">
        <v>-6.0004960000000003E-2</v>
      </c>
      <c r="W634">
        <v>0.124619699999999</v>
      </c>
      <c r="X634">
        <v>0.9903885</v>
      </c>
      <c r="Y634">
        <v>-0.34847640000000002</v>
      </c>
      <c r="Z634">
        <v>-5.4315119999999899E-3</v>
      </c>
      <c r="AA634">
        <v>0.93730179999999996</v>
      </c>
      <c r="AB634">
        <v>34</v>
      </c>
      <c r="AC634">
        <v>-33.499699999999898</v>
      </c>
      <c r="AD634">
        <v>-1.1536729999999999</v>
      </c>
      <c r="AE634">
        <v>-13.012499999999999</v>
      </c>
      <c r="AF634">
        <v>-12.747598986529701</v>
      </c>
      <c r="AG634">
        <v>-1.1536729999999999</v>
      </c>
      <c r="AH634">
        <v>33.561822994296598</v>
      </c>
      <c r="AI634">
        <v>91.840546488640896</v>
      </c>
      <c r="AJ634">
        <v>110.797998431903</v>
      </c>
      <c r="AK634">
        <v>35.9197467142072</v>
      </c>
    </row>
    <row r="635" spans="1:37" x14ac:dyDescent="0.2">
      <c r="A635" t="str">
        <f>"20200111150527239"</f>
        <v>20200111150527239</v>
      </c>
      <c r="B635" t="str">
        <f>"1578726327235889"</f>
        <v>1578726327235889</v>
      </c>
      <c r="C635" t="s">
        <v>37</v>
      </c>
      <c r="D635">
        <v>4.8922980000000003</v>
      </c>
      <c r="E635">
        <v>0.48586409999999902</v>
      </c>
      <c r="F635" t="s">
        <v>39</v>
      </c>
      <c r="G635">
        <v>-429.95780000000002</v>
      </c>
      <c r="H635">
        <v>2.9362899999999998E-3</v>
      </c>
      <c r="I635">
        <v>265.41070000000002</v>
      </c>
      <c r="J635">
        <v>-296.98520000000002</v>
      </c>
      <c r="K635">
        <v>1.1036760000000001</v>
      </c>
      <c r="L635">
        <v>284.45499999999998</v>
      </c>
      <c r="M635">
        <v>-0.99991019999999897</v>
      </c>
      <c r="N635">
        <v>0</v>
      </c>
      <c r="O635">
        <v>-9.1910749999999999E-3</v>
      </c>
      <c r="P635">
        <v>-0.99097279999999999</v>
      </c>
      <c r="Q635">
        <v>0.1153855</v>
      </c>
      <c r="R635">
        <v>-6.8260950000000001E-2</v>
      </c>
      <c r="S635">
        <v>-3.0008539999999999</v>
      </c>
      <c r="T635">
        <v>-2.4715069999999999E-2</v>
      </c>
      <c r="U635">
        <v>-0.4277649</v>
      </c>
      <c r="V635">
        <v>-5.9386630000000003E-2</v>
      </c>
      <c r="W635">
        <v>0.124950399999999</v>
      </c>
      <c r="X635">
        <v>0.99038409999999999</v>
      </c>
      <c r="Y635">
        <v>-0.1320115</v>
      </c>
      <c r="Z635">
        <v>-4.6557489999999999E-4</v>
      </c>
      <c r="AA635">
        <v>0.99124809999999997</v>
      </c>
      <c r="AB635">
        <v>34</v>
      </c>
      <c r="AC635">
        <v>-132.9726</v>
      </c>
      <c r="AD635">
        <v>-1.10073971</v>
      </c>
      <c r="AE635">
        <v>-19.0442999999999</v>
      </c>
      <c r="AF635">
        <v>-17.820079681788201</v>
      </c>
      <c r="AG635">
        <v>-1.10073971</v>
      </c>
      <c r="AH635">
        <v>133.13308928142601</v>
      </c>
      <c r="AI635">
        <v>90.469521528526101</v>
      </c>
      <c r="AJ635">
        <v>97.623818325100899</v>
      </c>
      <c r="AK635">
        <v>134.324928175639</v>
      </c>
    </row>
    <row r="636" spans="1:37" x14ac:dyDescent="0.2">
      <c r="A636" t="str">
        <f>"20200111150527262"</f>
        <v>20200111150527262</v>
      </c>
      <c r="B636" t="str">
        <f>"1578726327255409"</f>
        <v>1578726327255409</v>
      </c>
      <c r="C636" t="s">
        <v>37</v>
      </c>
      <c r="D636">
        <v>4.911378</v>
      </c>
      <c r="E636">
        <v>0.49135990000000002</v>
      </c>
      <c r="F636" t="s">
        <v>70</v>
      </c>
      <c r="G636">
        <v>-440.6841</v>
      </c>
      <c r="H636">
        <v>1.482121</v>
      </c>
      <c r="I636">
        <v>269.07560000000001</v>
      </c>
      <c r="J636">
        <v>-297.3272</v>
      </c>
      <c r="K636">
        <v>1.1036820000000001</v>
      </c>
      <c r="L636">
        <v>284.450999999999</v>
      </c>
      <c r="M636">
        <v>-0.9999017</v>
      </c>
      <c r="N636">
        <v>0</v>
      </c>
      <c r="O636">
        <v>-1.0039009999999999E-2</v>
      </c>
      <c r="P636">
        <v>-0.99093969999999898</v>
      </c>
      <c r="Q636">
        <v>0.115284199999999</v>
      </c>
      <c r="R636">
        <v>-6.8906170000000003E-2</v>
      </c>
      <c r="S636">
        <v>-3.0042719999999998</v>
      </c>
      <c r="T636">
        <v>7.912278E-3</v>
      </c>
      <c r="U636">
        <v>-0.32153320000000002</v>
      </c>
      <c r="V636">
        <v>-5.9190739999999999E-2</v>
      </c>
      <c r="W636">
        <v>0.1248751</v>
      </c>
      <c r="X636">
        <v>0.99040529999999904</v>
      </c>
      <c r="Y636">
        <v>-9.6429429999999997E-2</v>
      </c>
      <c r="Z636">
        <v>1.002586E-4</v>
      </c>
      <c r="AA636">
        <v>0.9953398</v>
      </c>
      <c r="AB636">
        <v>34</v>
      </c>
      <c r="AC636">
        <v>-143.3569</v>
      </c>
      <c r="AD636">
        <v>0.37843899999999903</v>
      </c>
      <c r="AE636">
        <v>-15.3753999999999</v>
      </c>
      <c r="AF636">
        <v>-13.935298819781099</v>
      </c>
      <c r="AG636">
        <v>0.37843899999999903</v>
      </c>
      <c r="AH636">
        <v>143.50304777383599</v>
      </c>
      <c r="AI636">
        <v>89.849610228689997</v>
      </c>
      <c r="AJ636">
        <v>95.546489711399104</v>
      </c>
      <c r="AK636">
        <v>144.17857153423699</v>
      </c>
    </row>
    <row r="637" spans="1:37" x14ac:dyDescent="0.2">
      <c r="A637" t="str">
        <f>"20200111150527283"</f>
        <v>20200111150527283</v>
      </c>
      <c r="B637" t="str">
        <f>"1578726327275703"</f>
        <v>1578726327275703</v>
      </c>
      <c r="C637" t="s">
        <v>37</v>
      </c>
      <c r="D637">
        <v>4.9505800000000004</v>
      </c>
      <c r="E637">
        <v>0.49492740000000002</v>
      </c>
      <c r="F637" t="s">
        <v>70</v>
      </c>
      <c r="G637">
        <v>-451.71690000000001</v>
      </c>
      <c r="H637">
        <v>2.4001939999999999</v>
      </c>
      <c r="I637">
        <v>270.08609999999999</v>
      </c>
      <c r="J637">
        <v>-297.66640000000001</v>
      </c>
      <c r="K637">
        <v>1.10368</v>
      </c>
      <c r="L637">
        <v>284.44690000000003</v>
      </c>
      <c r="M637">
        <v>-0.99989280000000003</v>
      </c>
      <c r="N637">
        <v>0</v>
      </c>
      <c r="O637">
        <v>-1.086724E-2</v>
      </c>
      <c r="P637">
        <v>-0.990789899999999</v>
      </c>
      <c r="Q637">
        <v>0.115573</v>
      </c>
      <c r="R637">
        <v>-7.0556289999999994E-2</v>
      </c>
      <c r="S637">
        <v>-3.0050659999999998</v>
      </c>
      <c r="T637">
        <v>2.5235770000000001E-2</v>
      </c>
      <c r="U637">
        <v>-0.27960209999999902</v>
      </c>
      <c r="V637">
        <v>-6.0019950000000002E-2</v>
      </c>
      <c r="W637">
        <v>0.125194</v>
      </c>
      <c r="X637">
        <v>0.9903151</v>
      </c>
      <c r="Y637">
        <v>-8.1814440000000002E-2</v>
      </c>
      <c r="Z637">
        <v>2.5172839999999997E-4</v>
      </c>
      <c r="AA637">
        <v>0.99664750000000002</v>
      </c>
      <c r="AB637">
        <v>34</v>
      </c>
      <c r="AC637">
        <v>-154.0505</v>
      </c>
      <c r="AD637">
        <v>1.2965139999999999</v>
      </c>
      <c r="AE637">
        <v>-14.360799999999999</v>
      </c>
      <c r="AF637">
        <v>-12.684876796114301</v>
      </c>
      <c r="AG637">
        <v>1.2965139999999999</v>
      </c>
      <c r="AH637">
        <v>154.18664496167</v>
      </c>
      <c r="AI637">
        <v>89.5198486505967</v>
      </c>
      <c r="AJ637">
        <v>94.703110458321902</v>
      </c>
      <c r="AK637">
        <v>154.71298760098</v>
      </c>
    </row>
    <row r="638" spans="1:37" x14ac:dyDescent="0.2">
      <c r="A638" t="str">
        <f>"20200111150527306"</f>
        <v>20200111150527306</v>
      </c>
      <c r="B638" t="str">
        <f>"1578726327295222"</f>
        <v>1578726327295222</v>
      </c>
      <c r="C638" t="s">
        <v>37</v>
      </c>
      <c r="D638">
        <v>5.0693769999999896</v>
      </c>
      <c r="E638">
        <v>0.49693739999999997</v>
      </c>
      <c r="F638" t="s">
        <v>65</v>
      </c>
      <c r="G638">
        <v>-512.82600000000002</v>
      </c>
      <c r="H638">
        <v>2.604822</v>
      </c>
      <c r="I638">
        <v>266.13200000000001</v>
      </c>
      <c r="J638">
        <v>-298.03070000000002</v>
      </c>
      <c r="K638">
        <v>1.1036709999999901</v>
      </c>
      <c r="L638">
        <v>284.44200000000001</v>
      </c>
      <c r="M638">
        <v>-0.99988259999999995</v>
      </c>
      <c r="N638">
        <v>0</v>
      </c>
      <c r="O638">
        <v>-1.1732019999999999E-2</v>
      </c>
      <c r="P638">
        <v>-0.99070319999999901</v>
      </c>
      <c r="Q638">
        <v>0.1151248</v>
      </c>
      <c r="R638">
        <v>-7.2484060000000003E-2</v>
      </c>
      <c r="S638">
        <v>-3.0072329999999998</v>
      </c>
      <c r="T638">
        <v>2.0982150000000001E-2</v>
      </c>
      <c r="U638">
        <v>-0.25598139999999903</v>
      </c>
      <c r="V638">
        <v>-6.1085550000000002E-2</v>
      </c>
      <c r="W638">
        <v>0.1247886</v>
      </c>
      <c r="X638">
        <v>0.99030110000000005</v>
      </c>
      <c r="Y638">
        <v>-7.3117580000000001E-2</v>
      </c>
      <c r="Z638">
        <v>1.7291489999999999E-4</v>
      </c>
      <c r="AA638">
        <v>0.99732330000000002</v>
      </c>
      <c r="AB638">
        <v>35</v>
      </c>
      <c r="AC638">
        <v>-214.7953</v>
      </c>
      <c r="AD638">
        <v>1.5011509999999999</v>
      </c>
      <c r="AE638">
        <v>-18.309999999999999</v>
      </c>
      <c r="AF638">
        <v>-15.7878690114738</v>
      </c>
      <c r="AG638">
        <v>1.5011509999999999</v>
      </c>
      <c r="AH638">
        <v>214.98491485057201</v>
      </c>
      <c r="AI638">
        <v>89.601008104148605</v>
      </c>
      <c r="AJ638">
        <v>94.200096418809693</v>
      </c>
      <c r="AK638">
        <v>215.56906984898299</v>
      </c>
    </row>
    <row r="639" spans="1:37" x14ac:dyDescent="0.2">
      <c r="A639" t="str">
        <f>"20200111150534551"</f>
        <v>20200111150534551</v>
      </c>
      <c r="B639" t="str">
        <f>"1578726334546108"</f>
        <v>1578726334546108</v>
      </c>
      <c r="C639" t="s">
        <v>37</v>
      </c>
      <c r="D639">
        <v>4.2370539999999997</v>
      </c>
      <c r="E639">
        <v>0.46742799999999901</v>
      </c>
      <c r="F639" t="s">
        <v>65</v>
      </c>
      <c r="G639">
        <v>-512.82600000000002</v>
      </c>
      <c r="H639">
        <v>2.4743750000000002</v>
      </c>
      <c r="I639">
        <v>266.8947</v>
      </c>
      <c r="J639">
        <v>-416.75560000000002</v>
      </c>
      <c r="K639">
        <v>1.102068</v>
      </c>
      <c r="L639">
        <v>283.90550000000002</v>
      </c>
      <c r="M639">
        <v>-0.99864409999999904</v>
      </c>
      <c r="N639">
        <v>0</v>
      </c>
      <c r="O639">
        <v>5.0576179999999998E-2</v>
      </c>
      <c r="P639">
        <v>-0.99518259999999903</v>
      </c>
      <c r="Q639">
        <v>9.7333580000000003E-2</v>
      </c>
      <c r="R639">
        <v>-1.1745230000000001E-2</v>
      </c>
      <c r="S639">
        <v>-3.0079349999999998</v>
      </c>
      <c r="T639">
        <v>1.9196029999999999E-2</v>
      </c>
      <c r="U639">
        <v>-0.24572749999999999</v>
      </c>
      <c r="V639">
        <v>-6.1827159999999999E-2</v>
      </c>
      <c r="W639">
        <v>0.1097076</v>
      </c>
      <c r="X639">
        <v>0.99203909999999995</v>
      </c>
      <c r="Y639">
        <v>-0.13172609999999901</v>
      </c>
      <c r="Z639">
        <v>7.419363E-4</v>
      </c>
      <c r="AA639">
        <v>0.99128590000000005</v>
      </c>
      <c r="AB639">
        <v>38</v>
      </c>
      <c r="AC639">
        <v>-96.070400000000006</v>
      </c>
      <c r="AD639">
        <v>1.3723069999999999</v>
      </c>
      <c r="AE639">
        <v>-17.0108</v>
      </c>
      <c r="AF639">
        <v>-21.843947928712399</v>
      </c>
      <c r="AG639">
        <v>1.3723069999999999</v>
      </c>
      <c r="AH639">
        <v>95.068215909033697</v>
      </c>
      <c r="AI639">
        <v>89.193994432743906</v>
      </c>
      <c r="AJ639">
        <v>102.940318909949</v>
      </c>
      <c r="AK639">
        <v>97.555148320020507</v>
      </c>
    </row>
    <row r="640" spans="1:37" x14ac:dyDescent="0.2">
      <c r="A640" t="str">
        <f>"20200111150534708"</f>
        <v>20200111150534708</v>
      </c>
      <c r="B640" t="str">
        <f>"1578726334695434"</f>
        <v>1578726334695434</v>
      </c>
      <c r="C640" t="s">
        <v>37</v>
      </c>
      <c r="D640">
        <v>5.0961369999999997</v>
      </c>
      <c r="E640">
        <v>0.4489397</v>
      </c>
      <c r="F640" t="s">
        <v>66</v>
      </c>
      <c r="G640">
        <v>-423.85950000000003</v>
      </c>
      <c r="H640" s="1">
        <v>3.3922089999999902E-6</v>
      </c>
      <c r="I640">
        <v>283.33260000000001</v>
      </c>
      <c r="J640">
        <v>-419.41669999999999</v>
      </c>
      <c r="K640">
        <v>1.102206</v>
      </c>
      <c r="L640">
        <v>284.05220000000003</v>
      </c>
      <c r="M640">
        <v>-0.99834730000000005</v>
      </c>
      <c r="N640">
        <v>0</v>
      </c>
      <c r="O640">
        <v>5.6043030000000001E-2</v>
      </c>
      <c r="P640">
        <v>-0.99525989999999998</v>
      </c>
      <c r="Q640">
        <v>9.7095239999999999E-2</v>
      </c>
      <c r="R640">
        <v>-5.512533E-3</v>
      </c>
      <c r="S640">
        <v>-3.080505</v>
      </c>
      <c r="T640">
        <v>-0.70404290000000003</v>
      </c>
      <c r="U640">
        <v>-0.44577029999999901</v>
      </c>
      <c r="V640">
        <v>-6.1070289999999999E-2</v>
      </c>
      <c r="W640">
        <v>0.109846499999999</v>
      </c>
      <c r="X640">
        <v>0.99207069999999997</v>
      </c>
      <c r="Y640">
        <v>-0.1921773</v>
      </c>
      <c r="Z640">
        <v>-3.4164140000000003E-2</v>
      </c>
      <c r="AA640">
        <v>0.98076529999999995</v>
      </c>
      <c r="AB640">
        <v>38</v>
      </c>
      <c r="AC640">
        <v>-4.4428000000000303</v>
      </c>
      <c r="AD640">
        <v>-1.1022026077910001</v>
      </c>
      <c r="AE640">
        <v>-0.71960000000001401</v>
      </c>
      <c r="AF640">
        <v>-0.91273654694489403</v>
      </c>
      <c r="AG640">
        <v>-1.1022026077910001</v>
      </c>
      <c r="AH640">
        <v>4.1467853335878102</v>
      </c>
      <c r="AI640">
        <v>104.551846375133</v>
      </c>
      <c r="AJ640">
        <v>102.41326690939199</v>
      </c>
      <c r="AK640">
        <v>4.3867718422103001</v>
      </c>
    </row>
    <row r="641" spans="1:37" x14ac:dyDescent="0.2">
      <c r="A641" t="str">
        <f>"20200111150534730"</f>
        <v>20200111150534730</v>
      </c>
      <c r="B641" t="str">
        <f>"1578726334725689"</f>
        <v>1578726334725689</v>
      </c>
      <c r="C641" t="s">
        <v>37</v>
      </c>
      <c r="D641">
        <v>7.6332300000000002</v>
      </c>
      <c r="E641">
        <v>0.4489397</v>
      </c>
      <c r="F641" t="s">
        <v>66</v>
      </c>
      <c r="G641">
        <v>-424.24259999999998</v>
      </c>
      <c r="H641" s="1">
        <v>3.3197580000000001E-6</v>
      </c>
      <c r="I641">
        <v>283.38420000000002</v>
      </c>
      <c r="J641">
        <v>-419.80939999999998</v>
      </c>
      <c r="K641">
        <v>1.102236</v>
      </c>
      <c r="L641">
        <v>284.07499999999999</v>
      </c>
      <c r="M641">
        <v>-0.99830569999999896</v>
      </c>
      <c r="N641">
        <v>0</v>
      </c>
      <c r="O641">
        <v>5.6771009999999997E-2</v>
      </c>
      <c r="P641">
        <v>-0.99531599999999998</v>
      </c>
      <c r="Q641">
        <v>9.6537159999999997E-2</v>
      </c>
      <c r="R641">
        <v>-5.16665599999999E-3</v>
      </c>
      <c r="S641">
        <v>-3.0805359999999999</v>
      </c>
      <c r="T641">
        <v>-0.70357840000000005</v>
      </c>
      <c r="U641">
        <v>-0.42642209999999903</v>
      </c>
      <c r="V641">
        <v>-6.1459390000000003E-2</v>
      </c>
      <c r="W641">
        <v>0.1093233</v>
      </c>
      <c r="X641">
        <v>0.9921044</v>
      </c>
      <c r="Y641">
        <v>-0.1869644</v>
      </c>
      <c r="Z641">
        <v>-3.3734180000000002E-2</v>
      </c>
      <c r="AA641">
        <v>0.98178729999999903</v>
      </c>
      <c r="AB641">
        <v>38</v>
      </c>
      <c r="AC641">
        <v>-4.4331999999999896</v>
      </c>
      <c r="AD641">
        <v>-1.1022326802419999</v>
      </c>
      <c r="AE641">
        <v>-0.690799999999967</v>
      </c>
      <c r="AF641">
        <v>-0.88780264703950496</v>
      </c>
      <c r="AG641">
        <v>-1.1022326802419999</v>
      </c>
      <c r="AH641">
        <v>4.1371430174372801</v>
      </c>
      <c r="AI641">
        <v>104.600684842926</v>
      </c>
      <c r="AJ641">
        <v>102.11159871016901</v>
      </c>
      <c r="AK641">
        <v>4.3725350505414902</v>
      </c>
    </row>
    <row r="642" spans="1:37" x14ac:dyDescent="0.2">
      <c r="A642" t="str">
        <f>"20200111150534753"</f>
        <v>20200111150534753</v>
      </c>
      <c r="B642" t="str">
        <f>"1578726334746185"</f>
        <v>1578726334746185</v>
      </c>
      <c r="C642" t="s">
        <v>37</v>
      </c>
      <c r="D642">
        <v>6.3199920000000001</v>
      </c>
      <c r="E642">
        <v>0.42768400000000001</v>
      </c>
      <c r="F642" t="s">
        <v>66</v>
      </c>
      <c r="G642">
        <v>-424.62389999999999</v>
      </c>
      <c r="H642" s="1">
        <v>3.2498900000000002E-6</v>
      </c>
      <c r="I642">
        <v>283.40969999999999</v>
      </c>
      <c r="J642">
        <v>-420.18900000000002</v>
      </c>
      <c r="K642">
        <v>1.1022639999999999</v>
      </c>
      <c r="L642">
        <v>284.09719999999999</v>
      </c>
      <c r="M642">
        <v>-0.99826680000000001</v>
      </c>
      <c r="N642">
        <v>0</v>
      </c>
      <c r="O642">
        <v>5.7446079999999997E-2</v>
      </c>
      <c r="P642">
        <v>-0.99531579999999997</v>
      </c>
      <c r="Q642">
        <v>9.6567230000000004E-2</v>
      </c>
      <c r="R642">
        <v>-4.643042E-3</v>
      </c>
      <c r="S642">
        <v>-3.080292</v>
      </c>
      <c r="T642">
        <v>-0.70520260000000001</v>
      </c>
      <c r="U642">
        <v>-0.42562870000000003</v>
      </c>
      <c r="V642">
        <v>-6.1615580000000003E-2</v>
      </c>
      <c r="W642">
        <v>0.10938109999999999</v>
      </c>
      <c r="X642">
        <v>0.99208839999999998</v>
      </c>
      <c r="Y642">
        <v>-0.18733420000000001</v>
      </c>
      <c r="Z642">
        <v>-3.4006870000000002E-2</v>
      </c>
      <c r="AA642">
        <v>0.98170740000000001</v>
      </c>
      <c r="AB642">
        <v>38</v>
      </c>
      <c r="AC642">
        <v>-4.4348999999999696</v>
      </c>
      <c r="AD642">
        <v>-1.1022607501099999</v>
      </c>
      <c r="AE642">
        <v>-0.6875</v>
      </c>
      <c r="AF642">
        <v>-0.88760907416503598</v>
      </c>
      <c r="AG642">
        <v>-1.1022607501099999</v>
      </c>
      <c r="AH642">
        <v>4.1384322151836797</v>
      </c>
      <c r="AI642">
        <v>104.597012217668</v>
      </c>
      <c r="AJ642">
        <v>102.10537497758899</v>
      </c>
      <c r="AK642">
        <v>4.3737226511797997</v>
      </c>
    </row>
    <row r="643" spans="1:37" x14ac:dyDescent="0.2">
      <c r="A643" t="str">
        <f>"20200111150539996"</f>
        <v>20200111150539996</v>
      </c>
      <c r="B643" t="str">
        <f>"1578726339986017"</f>
        <v>1578726339986017</v>
      </c>
      <c r="C643" t="s">
        <v>37</v>
      </c>
      <c r="D643">
        <v>4.888611</v>
      </c>
      <c r="E643">
        <v>0.4124737</v>
      </c>
      <c r="F643" t="s">
        <v>65</v>
      </c>
      <c r="G643">
        <v>-512.82690000000002</v>
      </c>
      <c r="H643">
        <v>5.1944049999999997</v>
      </c>
      <c r="I643">
        <v>265.83550000000002</v>
      </c>
      <c r="J643">
        <v>-491.90800000000002</v>
      </c>
      <c r="K643">
        <v>1.1139729999999901</v>
      </c>
      <c r="L643">
        <v>268.3091</v>
      </c>
      <c r="M643">
        <v>-0.34514459999999902</v>
      </c>
      <c r="N643">
        <v>0</v>
      </c>
      <c r="O643">
        <v>-0.93841620000000003</v>
      </c>
      <c r="P643">
        <v>-0.17490899999999901</v>
      </c>
      <c r="Q643">
        <v>0.1101188</v>
      </c>
      <c r="R643">
        <v>-0.97840749999999999</v>
      </c>
      <c r="S643">
        <v>-2.99850499999999</v>
      </c>
      <c r="T643">
        <v>0.13245679999999899</v>
      </c>
      <c r="U643">
        <v>-0.59109500000000004</v>
      </c>
      <c r="V643">
        <v>-0.17674139999999999</v>
      </c>
      <c r="W643">
        <v>0.1210866</v>
      </c>
      <c r="X643">
        <v>0.97678069999999895</v>
      </c>
      <c r="Y643">
        <v>0.85285</v>
      </c>
      <c r="Z643">
        <v>-4.9029919999999998E-2</v>
      </c>
      <c r="AA643">
        <v>0.51984889999999995</v>
      </c>
      <c r="AB643">
        <v>29</v>
      </c>
      <c r="AC643">
        <v>-20.918900000000001</v>
      </c>
      <c r="AD643">
        <v>4.0804320000000001</v>
      </c>
      <c r="AE643">
        <v>-2.47359999999997</v>
      </c>
      <c r="AF643">
        <v>18.100055992807601</v>
      </c>
      <c r="AG643">
        <v>4.0804320000000001</v>
      </c>
      <c r="AH643">
        <v>9.1973868979138995</v>
      </c>
      <c r="AI643">
        <v>78.6361581351984</v>
      </c>
      <c r="AJ643">
        <v>26.937006669313998</v>
      </c>
      <c r="AK643">
        <v>20.708787458451301</v>
      </c>
    </row>
    <row r="644" spans="1:37" x14ac:dyDescent="0.2">
      <c r="A644" t="str">
        <f>"20200111150540016"</f>
        <v>20200111150540016</v>
      </c>
      <c r="B644" t="str">
        <f>"1578726340006512"</f>
        <v>1578726340006512</v>
      </c>
      <c r="C644" t="s">
        <v>37</v>
      </c>
      <c r="D644">
        <v>4.8765780000000003</v>
      </c>
      <c r="E644">
        <v>0.41550419999999999</v>
      </c>
      <c r="F644" t="s">
        <v>39</v>
      </c>
      <c r="G644">
        <v>-491.14729999999997</v>
      </c>
      <c r="H644" s="1">
        <v>-1.5090469999999899E-6</v>
      </c>
      <c r="I644">
        <v>252.39510000000001</v>
      </c>
      <c r="J644">
        <v>-491.9821</v>
      </c>
      <c r="K644">
        <v>1.1138049999999999</v>
      </c>
      <c r="L644">
        <v>268.07240000000002</v>
      </c>
      <c r="M644">
        <v>-0.33401989999999998</v>
      </c>
      <c r="N644">
        <v>0</v>
      </c>
      <c r="O644">
        <v>-0.94243369999999904</v>
      </c>
      <c r="P644">
        <v>-0.1619207</v>
      </c>
      <c r="Q644">
        <v>0.109171699999999</v>
      </c>
      <c r="R644">
        <v>-0.98074619999999901</v>
      </c>
      <c r="S644">
        <v>0.14901729999999899</v>
      </c>
      <c r="T644">
        <v>-0.218219</v>
      </c>
      <c r="U644">
        <v>-3.117432</v>
      </c>
      <c r="V644">
        <v>-0.17810699999999999</v>
      </c>
      <c r="W644">
        <v>0.1201385</v>
      </c>
      <c r="X644">
        <v>0.97664969999999995</v>
      </c>
      <c r="Y644">
        <v>-0.37855850000000002</v>
      </c>
      <c r="Z644">
        <v>6.1165839999999999E-2</v>
      </c>
      <c r="AA644">
        <v>0.92355409999999905</v>
      </c>
      <c r="AB644">
        <v>28</v>
      </c>
      <c r="AC644">
        <v>0.83480000000002896</v>
      </c>
      <c r="AD644">
        <v>-1.113806509047</v>
      </c>
      <c r="AE644">
        <v>-15.677300000000001</v>
      </c>
      <c r="AF644">
        <v>-5.99385666209802</v>
      </c>
      <c r="AG644">
        <v>-1.113806509047</v>
      </c>
      <c r="AH644">
        <v>14.4251788899816</v>
      </c>
      <c r="AI644">
        <v>94.078423561020202</v>
      </c>
      <c r="AJ644">
        <v>112.56354454409301</v>
      </c>
      <c r="AK644">
        <v>15.660544966039501</v>
      </c>
    </row>
    <row r="645" spans="1:37" x14ac:dyDescent="0.2">
      <c r="A645" t="str">
        <f>"20200111150540039"</f>
        <v>20200111150540039</v>
      </c>
      <c r="B645" t="str">
        <f>"1578726340035793"</f>
        <v>1578726340035793</v>
      </c>
      <c r="C645" t="s">
        <v>37</v>
      </c>
      <c r="D645">
        <v>4.8780489999999999</v>
      </c>
      <c r="E645">
        <v>0.41905749999999897</v>
      </c>
      <c r="F645" t="s">
        <v>39</v>
      </c>
      <c r="G645">
        <v>-491.10039999999998</v>
      </c>
      <c r="H645" s="1">
        <v>-1.161331E-6</v>
      </c>
      <c r="I645">
        <v>251.61369999999999</v>
      </c>
      <c r="J645">
        <v>-492.06240000000003</v>
      </c>
      <c r="K645">
        <v>1.1135699999999999</v>
      </c>
      <c r="L645">
        <v>267.80450000000002</v>
      </c>
      <c r="M645">
        <v>-0.32168330000000001</v>
      </c>
      <c r="N645">
        <v>0</v>
      </c>
      <c r="O645">
        <v>-0.94671659999999902</v>
      </c>
      <c r="P645">
        <v>-0.14579500000000001</v>
      </c>
      <c r="Q645">
        <v>0.10821169999999999</v>
      </c>
      <c r="R645">
        <v>-0.98337919999999901</v>
      </c>
      <c r="S645">
        <v>0.16659549999999901</v>
      </c>
      <c r="T645">
        <v>-0.2104511</v>
      </c>
      <c r="U645">
        <v>-3.1098330000000001</v>
      </c>
      <c r="V645">
        <v>-0.1813371</v>
      </c>
      <c r="W645">
        <v>0.11914429999999999</v>
      </c>
      <c r="X645">
        <v>0.97617699999999996</v>
      </c>
      <c r="Y645">
        <v>-0.37178489999999997</v>
      </c>
      <c r="Z645">
        <v>5.9658839999999998E-2</v>
      </c>
      <c r="AA645">
        <v>0.92639989999999905</v>
      </c>
      <c r="AB645">
        <v>28</v>
      </c>
      <c r="AC645">
        <v>0.96200000000004504</v>
      </c>
      <c r="AD645">
        <v>-1.113571161331</v>
      </c>
      <c r="AE645">
        <v>-16.190799999999999</v>
      </c>
      <c r="AF645">
        <v>-6.0910967605340103</v>
      </c>
      <c r="AG645">
        <v>-1.113571161331</v>
      </c>
      <c r="AH645">
        <v>14.9500278823222</v>
      </c>
      <c r="AI645">
        <v>93.946044575710403</v>
      </c>
      <c r="AJ645">
        <v>112.16747868413999</v>
      </c>
      <c r="AK645">
        <v>16.181620257556101</v>
      </c>
    </row>
    <row r="646" spans="1:37" x14ac:dyDescent="0.2">
      <c r="A646" t="str">
        <f>"20200111150540061"</f>
        <v>20200111150540061</v>
      </c>
      <c r="B646" t="str">
        <f>"1578726340056288"</f>
        <v>1578726340056288</v>
      </c>
      <c r="C646" t="s">
        <v>37</v>
      </c>
      <c r="D646">
        <v>4.9228319999999997</v>
      </c>
      <c r="E646">
        <v>0.42103679999999899</v>
      </c>
      <c r="F646" t="s">
        <v>39</v>
      </c>
      <c r="G646">
        <v>-491.06220000000002</v>
      </c>
      <c r="H646" s="1">
        <v>-1.0507599999999999E-6</v>
      </c>
      <c r="I646">
        <v>251.37970000000001</v>
      </c>
      <c r="J646">
        <v>-492.1386</v>
      </c>
      <c r="K646">
        <v>1.1132979999999999</v>
      </c>
      <c r="L646">
        <v>267.53910000000002</v>
      </c>
      <c r="M646">
        <v>-0.30976169999999997</v>
      </c>
      <c r="N646">
        <v>0</v>
      </c>
      <c r="O646">
        <v>-0.9506848</v>
      </c>
      <c r="P646">
        <v>-0.1311543</v>
      </c>
      <c r="Q646">
        <v>0.1059271</v>
      </c>
      <c r="R646">
        <v>-0.98568670000000003</v>
      </c>
      <c r="S646">
        <v>0.18890379999999901</v>
      </c>
      <c r="T646">
        <v>-0.21030079999999901</v>
      </c>
      <c r="U646">
        <v>-3.1018680000000001</v>
      </c>
      <c r="V646">
        <v>-0.1835348</v>
      </c>
      <c r="W646">
        <v>0.1168681</v>
      </c>
      <c r="X646">
        <v>0.97604139999999995</v>
      </c>
      <c r="Y646">
        <v>-0.366882599999999</v>
      </c>
      <c r="Z646">
        <v>6.0223899999999997E-2</v>
      </c>
      <c r="AA646">
        <v>0.92831580000000002</v>
      </c>
      <c r="AB646">
        <v>28</v>
      </c>
      <c r="AC646">
        <v>1.07639999999997</v>
      </c>
      <c r="AD646">
        <v>-1.11329905075999</v>
      </c>
      <c r="AE646">
        <v>-16.159400000000002</v>
      </c>
      <c r="AF646">
        <v>-6.0012631789254902</v>
      </c>
      <c r="AG646">
        <v>-1.11329905075999</v>
      </c>
      <c r="AH646">
        <v>14.9602231574963</v>
      </c>
      <c r="AI646">
        <v>93.950992106043898</v>
      </c>
      <c r="AJ646">
        <v>111.858088708273</v>
      </c>
      <c r="AK646">
        <v>16.157440126493999</v>
      </c>
    </row>
    <row r="647" spans="1:37" x14ac:dyDescent="0.2">
      <c r="A647" t="str">
        <f>"20200111150540162"</f>
        <v>20200111150540162</v>
      </c>
      <c r="B647" t="str">
        <f>"1578726340155840"</f>
        <v>1578726340155840</v>
      </c>
      <c r="C647" t="s">
        <v>37</v>
      </c>
      <c r="D647">
        <v>4.8625210000000001</v>
      </c>
      <c r="E647">
        <v>0.42103679999999899</v>
      </c>
      <c r="F647" t="s">
        <v>39</v>
      </c>
      <c r="G647">
        <v>-491.01929999999999</v>
      </c>
      <c r="H647" s="1">
        <v>-1.178959E-6</v>
      </c>
      <c r="I647">
        <v>251.70509999999999</v>
      </c>
      <c r="J647">
        <v>-492.4522</v>
      </c>
      <c r="K647">
        <v>1.111494</v>
      </c>
      <c r="L647">
        <v>266.31560000000002</v>
      </c>
      <c r="M647">
        <v>-0.26065319999999997</v>
      </c>
      <c r="N647">
        <v>0</v>
      </c>
      <c r="O647">
        <v>-0.96531069999999997</v>
      </c>
      <c r="P647">
        <v>-8.6717999999999906E-2</v>
      </c>
      <c r="Q647">
        <v>0.106199</v>
      </c>
      <c r="R647">
        <v>-0.9905564</v>
      </c>
      <c r="S647">
        <v>0.21887210000000001</v>
      </c>
      <c r="T647">
        <v>-0.21768709999999999</v>
      </c>
      <c r="U647">
        <v>-3.096069</v>
      </c>
      <c r="V647">
        <v>-0.17685999999999999</v>
      </c>
      <c r="W647">
        <v>0.11774560000000001</v>
      </c>
      <c r="X647">
        <v>0.97716759999999903</v>
      </c>
      <c r="Y647">
        <v>-0.32794450000000003</v>
      </c>
      <c r="Z647">
        <v>6.4471390000000003E-2</v>
      </c>
      <c r="AA647">
        <v>0.94249450000000001</v>
      </c>
      <c r="AB647">
        <v>28</v>
      </c>
      <c r="AC647">
        <v>1.4329000000000101</v>
      </c>
      <c r="AD647">
        <v>-1.111495178959</v>
      </c>
      <c r="AE647">
        <v>-14.6105</v>
      </c>
      <c r="AF647">
        <v>-5.1624849712420398</v>
      </c>
      <c r="AG647">
        <v>-1.111495178959</v>
      </c>
      <c r="AH647">
        <v>13.653530776202301</v>
      </c>
      <c r="AI647">
        <v>94.354433208755694</v>
      </c>
      <c r="AJ647">
        <v>110.71191725732101</v>
      </c>
      <c r="AK647">
        <v>14.6391794601969</v>
      </c>
    </row>
    <row r="648" spans="1:37" x14ac:dyDescent="0.2">
      <c r="A648" t="str">
        <f>"20200111150540185"</f>
        <v>20200111150540185</v>
      </c>
      <c r="B648" t="str">
        <f>"1578726340176336"</f>
        <v>1578726340176336</v>
      </c>
      <c r="C648" t="s">
        <v>37</v>
      </c>
      <c r="D648">
        <v>4.9162980000000003</v>
      </c>
      <c r="E648">
        <v>0.47507460000000001</v>
      </c>
      <c r="F648" t="s">
        <v>39</v>
      </c>
      <c r="G648">
        <v>-490.64760000000001</v>
      </c>
      <c r="H648" s="1">
        <v>-6.4218899999999998E-7</v>
      </c>
      <c r="I648">
        <v>250.68440000000001</v>
      </c>
      <c r="J648">
        <v>-492.5145</v>
      </c>
      <c r="K648">
        <v>1.1110450000000001</v>
      </c>
      <c r="L648">
        <v>266.0455</v>
      </c>
      <c r="M648">
        <v>-0.25137700000000002</v>
      </c>
      <c r="N648">
        <v>0</v>
      </c>
      <c r="O648">
        <v>-0.96776909999999905</v>
      </c>
      <c r="P648">
        <v>-7.9371499999999998E-2</v>
      </c>
      <c r="Q648">
        <v>0.1068684</v>
      </c>
      <c r="R648">
        <v>-0.99110030000000005</v>
      </c>
      <c r="S648">
        <v>0.35595700000000002</v>
      </c>
      <c r="T648">
        <v>-0.219242299999999</v>
      </c>
      <c r="U648">
        <v>-3.0832519999999999</v>
      </c>
      <c r="V648">
        <v>-0.17458280000000001</v>
      </c>
      <c r="W648">
        <v>0.11857280000000001</v>
      </c>
      <c r="X648">
        <v>0.97747700000000004</v>
      </c>
      <c r="Y648">
        <v>-0.36047979999999902</v>
      </c>
      <c r="Z648">
        <v>6.4897209999999997E-2</v>
      </c>
      <c r="AA648">
        <v>0.93050659999999896</v>
      </c>
      <c r="AB648">
        <v>28</v>
      </c>
      <c r="AC648">
        <v>1.86689999999998</v>
      </c>
      <c r="AD648">
        <v>-1.111045642189</v>
      </c>
      <c r="AE648">
        <v>-15.361099999999899</v>
      </c>
      <c r="AF648">
        <v>-5.6397402363413098</v>
      </c>
      <c r="AG648">
        <v>-1.111045642189</v>
      </c>
      <c r="AH648">
        <v>14.3245298351661</v>
      </c>
      <c r="AI648">
        <v>94.127899513350101</v>
      </c>
      <c r="AJ648">
        <v>111.490158292337</v>
      </c>
      <c r="AK648">
        <v>15.4348063593619</v>
      </c>
    </row>
    <row r="649" spans="1:37" x14ac:dyDescent="0.2">
      <c r="A649" t="str">
        <f>"20200111150540207"</f>
        <v>20200111150540207</v>
      </c>
      <c r="B649" t="str">
        <f>"1578726340195856"</f>
        <v>1578726340195856</v>
      </c>
      <c r="C649" t="s">
        <v>37</v>
      </c>
      <c r="D649">
        <v>5.1133790000000001</v>
      </c>
      <c r="E649">
        <v>0.47704849999999999</v>
      </c>
      <c r="F649" t="s">
        <v>39</v>
      </c>
      <c r="G649">
        <v>-492.88</v>
      </c>
      <c r="H649" s="1">
        <v>-2.4892869999999999E-6</v>
      </c>
      <c r="I649">
        <v>243.6054</v>
      </c>
      <c r="J649">
        <v>-492.57589999999999</v>
      </c>
      <c r="K649">
        <v>1.1106119999999999</v>
      </c>
      <c r="L649">
        <v>265.77010000000001</v>
      </c>
      <c r="M649">
        <v>-0.2424731</v>
      </c>
      <c r="N649">
        <v>0</v>
      </c>
      <c r="O649">
        <v>-0.9700396</v>
      </c>
      <c r="P649">
        <v>-7.1982320000000002E-2</v>
      </c>
      <c r="Q649">
        <v>0.1068696</v>
      </c>
      <c r="R649">
        <v>-0.99166409999999905</v>
      </c>
      <c r="S649">
        <v>-4.9499509999999997E-2</v>
      </c>
      <c r="T649">
        <v>-0.15047820000000001</v>
      </c>
      <c r="U649">
        <v>-3.0392459999999999</v>
      </c>
      <c r="V649">
        <v>-0.1727525</v>
      </c>
      <c r="W649">
        <v>0.118713</v>
      </c>
      <c r="X649">
        <v>0.97778519999999902</v>
      </c>
      <c r="Y649">
        <v>-0.22668460000000001</v>
      </c>
      <c r="Z649">
        <v>4.6592729999999999E-2</v>
      </c>
      <c r="AA649">
        <v>0.97285309999999903</v>
      </c>
      <c r="AB649">
        <v>28</v>
      </c>
      <c r="AC649">
        <v>-0.30410000000000498</v>
      </c>
      <c r="AD649">
        <v>-1.110614489287</v>
      </c>
      <c r="AE649">
        <v>-22.1647</v>
      </c>
      <c r="AF649">
        <v>-5.06721851871262</v>
      </c>
      <c r="AG649">
        <v>-1.110614489287</v>
      </c>
      <c r="AH649">
        <v>21.522825750964198</v>
      </c>
      <c r="AI649">
        <v>92.875459420467607</v>
      </c>
      <c r="AJ649">
        <v>103.248148109494</v>
      </c>
      <c r="AK649">
        <v>22.139155276716501</v>
      </c>
    </row>
    <row r="650" spans="1:37" x14ac:dyDescent="0.2">
      <c r="A650" t="str">
        <f>"20200111150540298"</f>
        <v>20200111150540298</v>
      </c>
      <c r="B650" t="str">
        <f>"1578726340285648"</f>
        <v>1578726340285648</v>
      </c>
      <c r="C650" t="s">
        <v>37</v>
      </c>
      <c r="D650">
        <v>5.0683309999999997</v>
      </c>
      <c r="E650">
        <v>0.47813499999999998</v>
      </c>
      <c r="F650" t="s">
        <v>39</v>
      </c>
      <c r="G650">
        <v>-492.90530000000001</v>
      </c>
      <c r="H650" s="1">
        <v>-1.97079E-6</v>
      </c>
      <c r="I650">
        <v>242.3811</v>
      </c>
      <c r="J650">
        <v>-492.8021</v>
      </c>
      <c r="K650">
        <v>1.108878</v>
      </c>
      <c r="L650">
        <v>264.6696</v>
      </c>
      <c r="M650">
        <v>-0.21293909999999999</v>
      </c>
      <c r="N650">
        <v>0</v>
      </c>
      <c r="O650">
        <v>-0.97695270000000001</v>
      </c>
      <c r="P650">
        <v>-5.0312080000000002E-2</v>
      </c>
      <c r="Q650">
        <v>0.112846499999999</v>
      </c>
      <c r="R650">
        <v>-0.99233789999999999</v>
      </c>
      <c r="S650">
        <v>-4.278564E-2</v>
      </c>
      <c r="T650">
        <v>-0.14424039999999999</v>
      </c>
      <c r="U650">
        <v>-3.03762799999999</v>
      </c>
      <c r="V650">
        <v>-0.16383619999999999</v>
      </c>
      <c r="W650">
        <v>0.1252366</v>
      </c>
      <c r="X650">
        <v>0.97850569999999903</v>
      </c>
      <c r="Y650">
        <v>-0.19919310000000001</v>
      </c>
      <c r="Z650">
        <v>4.5323000000000002E-2</v>
      </c>
      <c r="AA650">
        <v>0.97891159999999999</v>
      </c>
      <c r="AB650">
        <v>28</v>
      </c>
      <c r="AC650">
        <v>-0.103200000000015</v>
      </c>
      <c r="AD650">
        <v>-1.1088799707899999</v>
      </c>
      <c r="AE650">
        <v>-22.288499999999999</v>
      </c>
      <c r="AF650">
        <v>-4.6343129872307696</v>
      </c>
      <c r="AG650">
        <v>-1.1088799707899999</v>
      </c>
      <c r="AH650">
        <v>21.745364940122599</v>
      </c>
      <c r="AI650">
        <v>92.855193732201599</v>
      </c>
      <c r="AJ650">
        <v>102.03073442811301</v>
      </c>
      <c r="AK650">
        <v>22.261342457999898</v>
      </c>
    </row>
    <row r="651" spans="1:37" x14ac:dyDescent="0.2">
      <c r="A651" t="str">
        <f>"20200111150540319"</f>
        <v>20200111150540319</v>
      </c>
      <c r="B651" t="str">
        <f>"1578726340315905"</f>
        <v>1578726340315905</v>
      </c>
      <c r="C651" t="s">
        <v>37</v>
      </c>
      <c r="D651">
        <v>5.0343919999999898</v>
      </c>
      <c r="E651">
        <v>0.47913230000000001</v>
      </c>
      <c r="F651" t="s">
        <v>39</v>
      </c>
      <c r="G651">
        <v>-492.6438</v>
      </c>
      <c r="H651" s="1">
        <v>-2.6011130000000001E-6</v>
      </c>
      <c r="I651">
        <v>234.01259999999999</v>
      </c>
      <c r="J651">
        <v>-492.85079999999999</v>
      </c>
      <c r="K651">
        <v>1.1085149999999999</v>
      </c>
      <c r="L651">
        <v>264.41570000000002</v>
      </c>
      <c r="M651">
        <v>-0.20728150000000001</v>
      </c>
      <c r="N651">
        <v>0</v>
      </c>
      <c r="O651">
        <v>-0.97816990000000004</v>
      </c>
      <c r="P651">
        <v>-4.6406969999999999E-2</v>
      </c>
      <c r="Q651">
        <v>0.1123956</v>
      </c>
      <c r="R651">
        <v>-0.99257960000000001</v>
      </c>
      <c r="S651">
        <v>1.5686039999999998E-2</v>
      </c>
      <c r="T651">
        <v>-0.10982980000000001</v>
      </c>
      <c r="U651">
        <v>-3.036438</v>
      </c>
      <c r="V651">
        <v>-0.16191269999999999</v>
      </c>
      <c r="W651">
        <v>0.12489359999999999</v>
      </c>
      <c r="X651">
        <v>0.97886969999999995</v>
      </c>
      <c r="Y651">
        <v>-0.21235029999999899</v>
      </c>
      <c r="Z651">
        <v>3.4556740000000002E-2</v>
      </c>
      <c r="AA651">
        <v>0.97658239999999996</v>
      </c>
      <c r="AB651">
        <v>28</v>
      </c>
      <c r="AC651">
        <v>0.206999999999993</v>
      </c>
      <c r="AD651">
        <v>-1.108517601113</v>
      </c>
      <c r="AE651">
        <v>-30.403099999999998</v>
      </c>
      <c r="AF651">
        <v>-6.4965545370386897</v>
      </c>
      <c r="AG651">
        <v>-1.108517601113</v>
      </c>
      <c r="AH651">
        <v>29.660299846592501</v>
      </c>
      <c r="AI651">
        <v>92.090842817548804</v>
      </c>
      <c r="AJ651">
        <v>102.354505452702</v>
      </c>
      <c r="AK651">
        <v>30.383670270631701</v>
      </c>
    </row>
    <row r="652" spans="1:37" x14ac:dyDescent="0.2">
      <c r="A652" t="str">
        <f>"20200111150540342"</f>
        <v>20200111150540342</v>
      </c>
      <c r="B652" t="str">
        <f>"1578726340336401"</f>
        <v>1578726340336401</v>
      </c>
      <c r="C652" t="s">
        <v>37</v>
      </c>
      <c r="D652">
        <v>5.0660319999999999</v>
      </c>
      <c r="E652">
        <v>0.47972199999999998</v>
      </c>
      <c r="F652" t="s">
        <v>39</v>
      </c>
      <c r="G652">
        <v>-492.64940000000001</v>
      </c>
      <c r="H652" s="1">
        <v>-2.980949E-6</v>
      </c>
      <c r="I652">
        <v>234.8946</v>
      </c>
      <c r="J652">
        <v>-492.90039999999999</v>
      </c>
      <c r="K652">
        <v>1.1081650000000001</v>
      </c>
      <c r="L652">
        <v>264.15100000000001</v>
      </c>
      <c r="M652">
        <v>-0.20176910000000001</v>
      </c>
      <c r="N652">
        <v>0</v>
      </c>
      <c r="O652">
        <v>-0.979322899999999</v>
      </c>
      <c r="P652">
        <v>-4.4295189999999998E-2</v>
      </c>
      <c r="Q652">
        <v>0.1086751</v>
      </c>
      <c r="R652">
        <v>-0.99309020000000003</v>
      </c>
      <c r="S652">
        <v>2.0721440000000001E-2</v>
      </c>
      <c r="T652">
        <v>-0.11401359999999899</v>
      </c>
      <c r="U652">
        <v>-3.0363159999999998</v>
      </c>
      <c r="V652">
        <v>-0.1584111</v>
      </c>
      <c r="W652">
        <v>0.12129860000000001</v>
      </c>
      <c r="X652">
        <v>0.97989419999999905</v>
      </c>
      <c r="Y652">
        <v>-0.20846410000000001</v>
      </c>
      <c r="Z652">
        <v>3.5953039999999999E-2</v>
      </c>
      <c r="AA652">
        <v>0.97736900000000004</v>
      </c>
      <c r="AB652">
        <v>28</v>
      </c>
      <c r="AC652">
        <v>0.25099999999997602</v>
      </c>
      <c r="AD652">
        <v>-1.1081679809489999</v>
      </c>
      <c r="AE652">
        <v>-29.256399999999999</v>
      </c>
      <c r="AF652">
        <v>-6.1407017979176404</v>
      </c>
      <c r="AG652">
        <v>-1.1081679809489999</v>
      </c>
      <c r="AH652">
        <v>28.562929227453299</v>
      </c>
      <c r="AI652">
        <v>92.172230038201107</v>
      </c>
      <c r="AJ652">
        <v>102.133251314782</v>
      </c>
      <c r="AK652">
        <v>29.236572659897401</v>
      </c>
    </row>
    <row r="653" spans="1:37" x14ac:dyDescent="0.2">
      <c r="A653" t="str">
        <f>"20200111150540363"</f>
        <v>20200111150540363</v>
      </c>
      <c r="B653" t="str">
        <f>"1578726340355921"</f>
        <v>1578726340355921</v>
      </c>
      <c r="C653" t="s">
        <v>37</v>
      </c>
      <c r="D653">
        <v>5.0817360000000003</v>
      </c>
      <c r="E653">
        <v>0.48055130000000001</v>
      </c>
      <c r="F653" t="s">
        <v>39</v>
      </c>
      <c r="G653">
        <v>-492.66770000000002</v>
      </c>
      <c r="H653" s="1">
        <v>-3.6737480000000001E-6</v>
      </c>
      <c r="I653">
        <v>236.49809999999999</v>
      </c>
      <c r="J653">
        <v>-492.95179999999999</v>
      </c>
      <c r="K653">
        <v>1.1078139999999901</v>
      </c>
      <c r="L653">
        <v>263.87009999999998</v>
      </c>
      <c r="M653">
        <v>-0.19635949999999999</v>
      </c>
      <c r="N653">
        <v>0</v>
      </c>
      <c r="O653">
        <v>-0.98042260000000003</v>
      </c>
      <c r="P653">
        <v>-4.1153679999999998E-2</v>
      </c>
      <c r="Q653">
        <v>0.10609489999999901</v>
      </c>
      <c r="R653">
        <v>-0.99350380000000005</v>
      </c>
      <c r="S653">
        <v>2.554321E-2</v>
      </c>
      <c r="T653">
        <v>-0.12163879999999901</v>
      </c>
      <c r="U653">
        <v>-3.035339</v>
      </c>
      <c r="V653">
        <v>-0.15602189999999999</v>
      </c>
      <c r="W653">
        <v>0.11882039999999899</v>
      </c>
      <c r="X653">
        <v>0.98058089999999998</v>
      </c>
      <c r="Y653">
        <v>-0.20461670000000001</v>
      </c>
      <c r="Z653">
        <v>3.8448199999999898E-2</v>
      </c>
      <c r="AA653">
        <v>0.97808680000000003</v>
      </c>
      <c r="AB653">
        <v>28</v>
      </c>
      <c r="AC653">
        <v>0.28409999999996599</v>
      </c>
      <c r="AD653">
        <v>-1.1078176737479899</v>
      </c>
      <c r="AE653">
        <v>-27.3719999999999</v>
      </c>
      <c r="AF653">
        <v>-5.6446514809631099</v>
      </c>
      <c r="AG653">
        <v>-1.1078176737479899</v>
      </c>
      <c r="AH653">
        <v>26.739418534618299</v>
      </c>
      <c r="AI653">
        <v>92.321314680169195</v>
      </c>
      <c r="AJ653">
        <v>101.92004749605</v>
      </c>
      <c r="AK653">
        <v>27.351158182228701</v>
      </c>
    </row>
    <row r="654" spans="1:37" x14ac:dyDescent="0.2">
      <c r="A654" t="str">
        <f>"20200111150540408"</f>
        <v>20200111150540408</v>
      </c>
      <c r="B654" t="str">
        <f>"1578726340405697"</f>
        <v>1578726340405697</v>
      </c>
      <c r="C654" t="s">
        <v>37</v>
      </c>
      <c r="D654">
        <v>5.1620010000000001</v>
      </c>
      <c r="E654">
        <v>0.482639599999999</v>
      </c>
      <c r="F654" t="s">
        <v>39</v>
      </c>
      <c r="G654">
        <v>-492.6979</v>
      </c>
      <c r="H654" s="1">
        <v>-3.9577600000000002E-6</v>
      </c>
      <c r="I654">
        <v>237.2106</v>
      </c>
      <c r="J654">
        <v>-493.04770000000002</v>
      </c>
      <c r="K654">
        <v>1.1071409999999999</v>
      </c>
      <c r="L654">
        <v>263.32889999999998</v>
      </c>
      <c r="M654">
        <v>-0.187111</v>
      </c>
      <c r="N654">
        <v>0</v>
      </c>
      <c r="O654">
        <v>-0.98223139999999998</v>
      </c>
      <c r="P654">
        <v>-3.4647989999999997E-2</v>
      </c>
      <c r="Q654">
        <v>0.1032414</v>
      </c>
      <c r="R654">
        <v>-0.99405299999999996</v>
      </c>
      <c r="S654">
        <v>2.8900149999999999E-2</v>
      </c>
      <c r="T654">
        <v>-0.12608539999999999</v>
      </c>
      <c r="U654">
        <v>-3.0342410000000002</v>
      </c>
      <c r="V654">
        <v>-0.15303359999999999</v>
      </c>
      <c r="W654">
        <v>0.1161393</v>
      </c>
      <c r="X654">
        <v>0.98137269999999899</v>
      </c>
      <c r="Y654">
        <v>-0.196468899999999</v>
      </c>
      <c r="Z654">
        <v>4.0012689999999997E-2</v>
      </c>
      <c r="AA654">
        <v>0.97969329999999999</v>
      </c>
      <c r="AB654">
        <v>28</v>
      </c>
      <c r="AC654">
        <v>0.34980000000001599</v>
      </c>
      <c r="AD654">
        <v>-1.1071449577600001</v>
      </c>
      <c r="AE654">
        <v>-26.118299999999898</v>
      </c>
      <c r="AF654">
        <v>-5.2217763372421198</v>
      </c>
      <c r="AG654">
        <v>-1.1071449577600001</v>
      </c>
      <c r="AH654">
        <v>25.545568257720799</v>
      </c>
      <c r="AI654">
        <v>92.4314312374173</v>
      </c>
      <c r="AJ654">
        <v>101.55269578114</v>
      </c>
      <c r="AK654">
        <v>26.097294413090999</v>
      </c>
    </row>
    <row r="655" spans="1:37" x14ac:dyDescent="0.2">
      <c r="A655" t="str">
        <f>"20200111150540430"</f>
        <v>20200111150540430</v>
      </c>
      <c r="B655" t="str">
        <f>"1578726340426194"</f>
        <v>1578726340426194</v>
      </c>
      <c r="C655" t="s">
        <v>37</v>
      </c>
      <c r="D655">
        <v>5.0655219999999996</v>
      </c>
      <c r="E655">
        <v>0.48352200000000001</v>
      </c>
      <c r="F655" t="s">
        <v>39</v>
      </c>
      <c r="G655">
        <v>-492.79349999999999</v>
      </c>
      <c r="H655" s="1">
        <v>-8.8023139999999898E-7</v>
      </c>
      <c r="I655">
        <v>239.9083</v>
      </c>
      <c r="J655">
        <v>-493.09280000000001</v>
      </c>
      <c r="K655">
        <v>1.106824</v>
      </c>
      <c r="L655">
        <v>263.06740000000002</v>
      </c>
      <c r="M655">
        <v>-0.18315279999999901</v>
      </c>
      <c r="N655">
        <v>0</v>
      </c>
      <c r="O655">
        <v>-0.98297789999999996</v>
      </c>
      <c r="P655">
        <v>-3.3473610000000001E-2</v>
      </c>
      <c r="Q655">
        <v>0.102359399999999</v>
      </c>
      <c r="R655">
        <v>-0.99418430000000002</v>
      </c>
      <c r="S655">
        <v>3.2928470000000001E-2</v>
      </c>
      <c r="T655">
        <v>-0.1434233</v>
      </c>
      <c r="U655">
        <v>-3.0339969999999998</v>
      </c>
      <c r="V655">
        <v>-0.15015429999999999</v>
      </c>
      <c r="W655">
        <v>0.1153559</v>
      </c>
      <c r="X655">
        <v>0.9819097</v>
      </c>
      <c r="Y655">
        <v>-0.19381670000000001</v>
      </c>
      <c r="Z655">
        <v>4.5571970000000003E-2</v>
      </c>
      <c r="AA655">
        <v>0.97997869999999998</v>
      </c>
      <c r="AB655">
        <v>28</v>
      </c>
      <c r="AC655">
        <v>0.299300000000016</v>
      </c>
      <c r="AD655">
        <v>-1.10682488023139</v>
      </c>
      <c r="AE655">
        <v>-23.159099999999999</v>
      </c>
      <c r="AF655">
        <v>-4.5259984104904003</v>
      </c>
      <c r="AG655">
        <v>-1.10682488023139</v>
      </c>
      <c r="AH655">
        <v>22.660694531431901</v>
      </c>
      <c r="AI655">
        <v>92.742221255963699</v>
      </c>
      <c r="AJ655">
        <v>101.29500308148</v>
      </c>
      <c r="AK655">
        <v>23.1347530692275</v>
      </c>
    </row>
    <row r="656" spans="1:37" x14ac:dyDescent="0.2">
      <c r="A656" t="str">
        <f>"20200111150540452"</f>
        <v>20200111150540452</v>
      </c>
      <c r="B656" t="str">
        <f>"1578726340445712"</f>
        <v>1578726340445712</v>
      </c>
      <c r="C656" t="s">
        <v>37</v>
      </c>
      <c r="D656">
        <v>5.0189909999999998</v>
      </c>
      <c r="E656">
        <v>0.48481009999999902</v>
      </c>
      <c r="F656" t="s">
        <v>39</v>
      </c>
      <c r="G656">
        <v>-492.87180000000001</v>
      </c>
      <c r="H656" s="1">
        <v>-1.399626E-6</v>
      </c>
      <c r="I656">
        <v>241.07050000000001</v>
      </c>
      <c r="J656">
        <v>-493.14010000000002</v>
      </c>
      <c r="K656">
        <v>1.106514</v>
      </c>
      <c r="L656">
        <v>262.78919999999999</v>
      </c>
      <c r="M656">
        <v>-0.1792726</v>
      </c>
      <c r="N656">
        <v>0</v>
      </c>
      <c r="O656">
        <v>-0.9836935</v>
      </c>
      <c r="P656">
        <v>-3.1474389999999998E-2</v>
      </c>
      <c r="Q656">
        <v>0.10192809999999999</v>
      </c>
      <c r="R656">
        <v>-0.99429389999999995</v>
      </c>
      <c r="S656">
        <v>3.048706E-2</v>
      </c>
      <c r="T656">
        <v>-0.152677799999999</v>
      </c>
      <c r="U656">
        <v>-3.0343019999999998</v>
      </c>
      <c r="V656">
        <v>-0.14816779999999999</v>
      </c>
      <c r="W656">
        <v>0.11500870000000001</v>
      </c>
      <c r="X656">
        <v>0.98225219999999902</v>
      </c>
      <c r="Y656">
        <v>-0.1891523</v>
      </c>
      <c r="Z656">
        <v>4.8577530000000001E-2</v>
      </c>
      <c r="AA656">
        <v>0.98074539999999999</v>
      </c>
      <c r="AB656">
        <v>28</v>
      </c>
      <c r="AC656">
        <v>0.26830000000000997</v>
      </c>
      <c r="AD656">
        <v>-1.106515399626</v>
      </c>
      <c r="AE656">
        <v>-21.718699999999899</v>
      </c>
      <c r="AF656">
        <v>-4.1471631608206598</v>
      </c>
      <c r="AG656">
        <v>-1.106515399626</v>
      </c>
      <c r="AH656">
        <v>21.2634827694331</v>
      </c>
      <c r="AI656">
        <v>92.923893510399594</v>
      </c>
      <c r="AJ656">
        <v>101.036244193369</v>
      </c>
      <c r="AK656">
        <v>21.692372809309202</v>
      </c>
    </row>
    <row r="657" spans="1:37" x14ac:dyDescent="0.2">
      <c r="A657" t="str">
        <f>"20200111150540475"</f>
        <v>20200111150540475</v>
      </c>
      <c r="B657" t="str">
        <f>"1578726340466208"</f>
        <v>1578726340466208</v>
      </c>
      <c r="C657" t="s">
        <v>37</v>
      </c>
      <c r="D657">
        <v>5.0207300000000004</v>
      </c>
      <c r="E657">
        <v>0.4855952</v>
      </c>
      <c r="F657" t="s">
        <v>39</v>
      </c>
      <c r="G657">
        <v>-492.95170000000002</v>
      </c>
      <c r="H657" s="1">
        <v>-1.3848559999999999E-6</v>
      </c>
      <c r="I657">
        <v>240.98650000000001</v>
      </c>
      <c r="J657">
        <v>-493.18650000000002</v>
      </c>
      <c r="K657">
        <v>1.1062479999999999</v>
      </c>
      <c r="L657">
        <v>262.51119999999997</v>
      </c>
      <c r="M657">
        <v>-0.1757367</v>
      </c>
      <c r="N657">
        <v>0</v>
      </c>
      <c r="O657">
        <v>-0.98433230000000005</v>
      </c>
      <c r="P657">
        <v>-2.979594E-2</v>
      </c>
      <c r="Q657">
        <v>0.10086199999999999</v>
      </c>
      <c r="R657">
        <v>-0.99445439999999996</v>
      </c>
      <c r="S657">
        <v>2.6214600000000001E-2</v>
      </c>
      <c r="T657">
        <v>-0.1539729</v>
      </c>
      <c r="U657">
        <v>-3.0338750000000001</v>
      </c>
      <c r="V657">
        <v>-0.14622979999999899</v>
      </c>
      <c r="W657">
        <v>0.114013899999999</v>
      </c>
      <c r="X657">
        <v>0.98265840000000004</v>
      </c>
      <c r="Y657">
        <v>-0.18424160000000001</v>
      </c>
      <c r="Z657">
        <v>4.9067949999999999E-2</v>
      </c>
      <c r="AA657">
        <v>0.98165539999999996</v>
      </c>
      <c r="AB657">
        <v>28</v>
      </c>
      <c r="AC657">
        <v>0.234800000000007</v>
      </c>
      <c r="AD657">
        <v>-1.106249384856</v>
      </c>
      <c r="AE657">
        <v>-21.5246999999999</v>
      </c>
      <c r="AF657">
        <v>-4.00364162616291</v>
      </c>
      <c r="AG657">
        <v>-1.106249384856</v>
      </c>
      <c r="AH657">
        <v>21.092671280730499</v>
      </c>
      <c r="AI657">
        <v>92.949675940329897</v>
      </c>
      <c r="AJ657">
        <v>100.747569132175</v>
      </c>
      <c r="AK657">
        <v>21.497760714297499</v>
      </c>
    </row>
    <row r="658" spans="1:37" x14ac:dyDescent="0.2">
      <c r="A658" t="str">
        <f>"20200111150540496"</f>
        <v>20200111150540496</v>
      </c>
      <c r="B658" t="str">
        <f>"1578726340485728"</f>
        <v>1578726340485728</v>
      </c>
      <c r="C658" t="s">
        <v>37</v>
      </c>
      <c r="D658">
        <v>5.246696</v>
      </c>
      <c r="E658">
        <v>0.48625930000000001</v>
      </c>
      <c r="F658" t="s">
        <v>39</v>
      </c>
      <c r="G658">
        <v>-493.00119999999998</v>
      </c>
      <c r="H658" s="1">
        <v>-1.327032E-6</v>
      </c>
      <c r="I658">
        <v>240.821</v>
      </c>
      <c r="J658">
        <v>-493.2294</v>
      </c>
      <c r="K658">
        <v>1.1060570000000001</v>
      </c>
      <c r="L658">
        <v>262.24990000000003</v>
      </c>
      <c r="M658">
        <v>-0.1726232</v>
      </c>
      <c r="N658">
        <v>0</v>
      </c>
      <c r="O658">
        <v>-0.98488359999999997</v>
      </c>
      <c r="P658">
        <v>-2.83276999999999E-2</v>
      </c>
      <c r="Q658">
        <v>9.9926290000000001E-2</v>
      </c>
      <c r="R658">
        <v>-0.99459169999999997</v>
      </c>
      <c r="S658">
        <v>2.5909419999999999E-2</v>
      </c>
      <c r="T658">
        <v>-0.154698799999999</v>
      </c>
      <c r="U658">
        <v>-3.0331730000000001</v>
      </c>
      <c r="V658">
        <v>-0.14452519999999999</v>
      </c>
      <c r="W658">
        <v>0.11312709999999999</v>
      </c>
      <c r="X658">
        <v>0.98301309999999997</v>
      </c>
      <c r="Y658">
        <v>-0.18103569999999999</v>
      </c>
      <c r="Z658">
        <v>4.9367359999999999E-2</v>
      </c>
      <c r="AA658">
        <v>0.98223669999999996</v>
      </c>
      <c r="AB658">
        <v>28</v>
      </c>
      <c r="AC658">
        <v>0.228200000000015</v>
      </c>
      <c r="AD658">
        <v>-1.1060583270319999</v>
      </c>
      <c r="AE658">
        <v>-21.428899999999999</v>
      </c>
      <c r="AF658">
        <v>-3.91385316531961</v>
      </c>
      <c r="AG658">
        <v>-1.1060583270319999</v>
      </c>
      <c r="AH658">
        <v>21.0117727885501</v>
      </c>
      <c r="AI658">
        <v>92.962403910575006</v>
      </c>
      <c r="AJ658">
        <v>100.55153407789901</v>
      </c>
      <c r="AK658">
        <v>21.401780471262999</v>
      </c>
    </row>
    <row r="659" spans="1:37" x14ac:dyDescent="0.2">
      <c r="A659" t="str">
        <f>"20200111150540831"</f>
        <v>20200111150540831</v>
      </c>
      <c r="B659" t="str">
        <f>"1578726340825999"</f>
        <v>1578726340825999</v>
      </c>
      <c r="C659" t="s">
        <v>37</v>
      </c>
      <c r="D659">
        <v>4.9624990000000002</v>
      </c>
      <c r="E659">
        <v>0.488017699999999</v>
      </c>
      <c r="F659" t="s">
        <v>39</v>
      </c>
      <c r="G659">
        <v>-493.0401</v>
      </c>
      <c r="H659" s="1">
        <v>-1.101802E-6</v>
      </c>
      <c r="I659">
        <v>240.27189999999999</v>
      </c>
      <c r="J659">
        <v>-493.7987</v>
      </c>
      <c r="K659">
        <v>1.1059939999999999</v>
      </c>
      <c r="L659">
        <v>258.2081</v>
      </c>
      <c r="M659">
        <v>-0.12688079999999999</v>
      </c>
      <c r="N659">
        <v>0</v>
      </c>
      <c r="O659">
        <v>-0.99181769999999903</v>
      </c>
      <c r="P659">
        <v>1.2254650000000001E-2</v>
      </c>
      <c r="Q659">
        <v>0.1025734</v>
      </c>
      <c r="R659">
        <v>-0.99465009999999998</v>
      </c>
      <c r="S659">
        <v>2.6123049999999998E-2</v>
      </c>
      <c r="T659">
        <v>-0.152608299999999</v>
      </c>
      <c r="U659">
        <v>-3.03241</v>
      </c>
      <c r="V659">
        <v>-0.13907359999999999</v>
      </c>
      <c r="W659">
        <v>0.11562260000000001</v>
      </c>
      <c r="X659">
        <v>0.98350899999999997</v>
      </c>
      <c r="Y659">
        <v>-0.13542209999999999</v>
      </c>
      <c r="Z659">
        <v>4.9420409999999998E-2</v>
      </c>
      <c r="AA659">
        <v>0.98955469999999901</v>
      </c>
      <c r="AB659">
        <v>27</v>
      </c>
      <c r="AC659">
        <v>0.75860000000000105</v>
      </c>
      <c r="AD659">
        <v>-1.105995101802</v>
      </c>
      <c r="AE659">
        <v>-17.936199999999999</v>
      </c>
      <c r="AF659">
        <v>-3.0170024835081901</v>
      </c>
      <c r="AG659">
        <v>-1.105995101802</v>
      </c>
      <c r="AH659">
        <v>17.628041530341601</v>
      </c>
      <c r="AI659">
        <v>93.538749624678502</v>
      </c>
      <c r="AJ659">
        <v>99.711956248391701</v>
      </c>
      <c r="AK659">
        <v>17.918520512200601</v>
      </c>
    </row>
    <row r="660" spans="1:37" x14ac:dyDescent="0.2">
      <c r="A660" t="str">
        <f>"20200111150540854"</f>
        <v>20200111150540854</v>
      </c>
      <c r="B660" t="str">
        <f>"1578726340846029"</f>
        <v>1578726340846029</v>
      </c>
      <c r="C660" t="s">
        <v>37</v>
      </c>
      <c r="D660">
        <v>4.9449189999999996</v>
      </c>
      <c r="E660">
        <v>0.4890602</v>
      </c>
      <c r="F660" t="s">
        <v>39</v>
      </c>
      <c r="G660">
        <v>-492.70769999999999</v>
      </c>
      <c r="H660" s="1">
        <v>-2.8706009999999999E-6</v>
      </c>
      <c r="I660">
        <v>234.60120000000001</v>
      </c>
      <c r="J660">
        <v>-493.83030000000002</v>
      </c>
      <c r="K660">
        <v>1.1060449999999999</v>
      </c>
      <c r="L660">
        <v>257.92849999999999</v>
      </c>
      <c r="M660">
        <v>-0.12325849999999999</v>
      </c>
      <c r="N660">
        <v>0</v>
      </c>
      <c r="O660">
        <v>-0.99227459999999901</v>
      </c>
      <c r="P660">
        <v>1.524587E-2</v>
      </c>
      <c r="Q660">
        <v>0.10292609999999899</v>
      </c>
      <c r="R660">
        <v>-0.99457260000000003</v>
      </c>
      <c r="S660">
        <v>0.1399841</v>
      </c>
      <c r="T660">
        <v>-0.14191099999999901</v>
      </c>
      <c r="U660">
        <v>-3.0290219999999999</v>
      </c>
      <c r="V660">
        <v>-0.13844999999999999</v>
      </c>
      <c r="W660">
        <v>0.1159607</v>
      </c>
      <c r="X660">
        <v>0.98355720000000002</v>
      </c>
      <c r="Y660">
        <v>-0.16890229999999901</v>
      </c>
      <c r="Z660">
        <v>4.5902680000000001E-2</v>
      </c>
      <c r="AA660">
        <v>0.98456339999999998</v>
      </c>
      <c r="AB660">
        <v>27</v>
      </c>
      <c r="AC660">
        <v>1.12260000000003</v>
      </c>
      <c r="AD660">
        <v>-1.106047870601</v>
      </c>
      <c r="AE660">
        <v>-23.327299999999902</v>
      </c>
      <c r="AF660">
        <v>-3.9806830188561499</v>
      </c>
      <c r="AG660">
        <v>-1.106047870601</v>
      </c>
      <c r="AH660">
        <v>22.959504393700399</v>
      </c>
      <c r="AI660">
        <v>92.717546174248199</v>
      </c>
      <c r="AJ660">
        <v>99.836072896656304</v>
      </c>
      <c r="AK660">
        <v>23.328266570686701</v>
      </c>
    </row>
    <row r="661" spans="1:37" x14ac:dyDescent="0.2">
      <c r="A661" t="str">
        <f>"20200111150540877"</f>
        <v>20200111150540877</v>
      </c>
      <c r="B661" t="str">
        <f>"1578726340866522"</f>
        <v>1578726340866522</v>
      </c>
      <c r="C661" t="s">
        <v>37</v>
      </c>
      <c r="D661">
        <v>4.994529</v>
      </c>
      <c r="E661">
        <v>0.4901066</v>
      </c>
      <c r="F661" t="s">
        <v>39</v>
      </c>
      <c r="G661">
        <v>-492.65690000000001</v>
      </c>
      <c r="H661" s="1">
        <v>-1.9681770000000001E-6</v>
      </c>
      <c r="I661">
        <v>232.5291</v>
      </c>
      <c r="J661">
        <v>-493.85849999999999</v>
      </c>
      <c r="K661">
        <v>1.106093</v>
      </c>
      <c r="L661">
        <v>257.67009999999999</v>
      </c>
      <c r="M661">
        <v>-0.1198391</v>
      </c>
      <c r="N661">
        <v>0</v>
      </c>
      <c r="O661">
        <v>-0.9926933</v>
      </c>
      <c r="P661">
        <v>1.7525559999999999E-2</v>
      </c>
      <c r="Q661">
        <v>0.10289469999999901</v>
      </c>
      <c r="R661">
        <v>-0.99453809999999998</v>
      </c>
      <c r="S661">
        <v>0.13989260000000001</v>
      </c>
      <c r="T661">
        <v>-0.131854</v>
      </c>
      <c r="U661">
        <v>-3.027908</v>
      </c>
      <c r="V661">
        <v>-0.13732820000000001</v>
      </c>
      <c r="W661">
        <v>0.11592</v>
      </c>
      <c r="X661">
        <v>0.98371919999999902</v>
      </c>
      <c r="Y661">
        <v>-0.16549929999999999</v>
      </c>
      <c r="Z661">
        <v>4.2711569999999997E-2</v>
      </c>
      <c r="AA661">
        <v>0.98528459999999995</v>
      </c>
      <c r="AB661">
        <v>27</v>
      </c>
      <c r="AC661">
        <v>1.20159999999998</v>
      </c>
      <c r="AD661">
        <v>-1.106094968177</v>
      </c>
      <c r="AE661">
        <v>-25.140999999999899</v>
      </c>
      <c r="AF661">
        <v>-4.1980055575139597</v>
      </c>
      <c r="AG661">
        <v>-1.106094968177</v>
      </c>
      <c r="AH661">
        <v>24.767935939772499</v>
      </c>
      <c r="AI661">
        <v>92.521125835449396</v>
      </c>
      <c r="AJ661">
        <v>99.619840939854299</v>
      </c>
      <c r="AK661">
        <v>25.145523407879502</v>
      </c>
    </row>
    <row r="662" spans="1:37" x14ac:dyDescent="0.2">
      <c r="A662" t="str">
        <f>"20200111150542419"</f>
        <v>20200111150542419</v>
      </c>
      <c r="B662" t="str">
        <f>"1578726342415980"</f>
        <v>1578726342415980</v>
      </c>
      <c r="C662" t="s">
        <v>37</v>
      </c>
      <c r="D662">
        <v>4.91859</v>
      </c>
      <c r="E662">
        <v>0.40213959999999999</v>
      </c>
      <c r="F662" t="s">
        <v>39</v>
      </c>
      <c r="G662">
        <v>-492.6721</v>
      </c>
      <c r="H662" s="1">
        <v>-1.657722E-6</v>
      </c>
      <c r="I662">
        <v>231.79599999999999</v>
      </c>
      <c r="J662">
        <v>-493.36219999999997</v>
      </c>
      <c r="K662">
        <v>1.1056919999999999</v>
      </c>
      <c r="L662">
        <v>240.00309999999999</v>
      </c>
      <c r="M662">
        <v>0.11788599999999901</v>
      </c>
      <c r="N662">
        <v>0</v>
      </c>
      <c r="O662">
        <v>-0.99293019999999999</v>
      </c>
      <c r="P662">
        <v>0.27142459999999902</v>
      </c>
      <c r="Q662">
        <v>0.1032778</v>
      </c>
      <c r="R662">
        <v>-0.95690249999999999</v>
      </c>
      <c r="S662">
        <v>0.13882449999999999</v>
      </c>
      <c r="T662">
        <v>-0.1294196</v>
      </c>
      <c r="U662">
        <v>-3.0274200000000002</v>
      </c>
      <c r="V662">
        <v>-0.1573234</v>
      </c>
      <c r="W662">
        <v>0.11608010000000001</v>
      </c>
      <c r="X662">
        <v>0.98070109999999999</v>
      </c>
      <c r="Y662">
        <v>7.2326429999999997E-2</v>
      </c>
      <c r="Z662">
        <v>4.2185859999999999E-2</v>
      </c>
      <c r="AA662">
        <v>0.9964885</v>
      </c>
      <c r="AB662">
        <v>25</v>
      </c>
      <c r="AC662">
        <v>0.69009999999997196</v>
      </c>
      <c r="AD662">
        <v>-1.10569365772199</v>
      </c>
      <c r="AE662">
        <v>-8.2070999999999898</v>
      </c>
      <c r="AF662">
        <v>0.27731023434993102</v>
      </c>
      <c r="AG662">
        <v>-1.10569365772199</v>
      </c>
      <c r="AH662">
        <v>8.0854968958976698</v>
      </c>
      <c r="AI662">
        <v>97.782391641273193</v>
      </c>
      <c r="AJ662">
        <v>88.035682818715998</v>
      </c>
      <c r="AK662">
        <v>8.16545892674581</v>
      </c>
    </row>
    <row r="663" spans="1:37" x14ac:dyDescent="0.2">
      <c r="A663" t="str">
        <f>"20200111150542442"</f>
        <v>20200111150542442</v>
      </c>
      <c r="B663" t="str">
        <f>"1578726342436477"</f>
        <v>1578726342436477</v>
      </c>
      <c r="C663" t="s">
        <v>37</v>
      </c>
      <c r="D663">
        <v>4.9569769999999904</v>
      </c>
      <c r="E663">
        <v>0.40273989999999998</v>
      </c>
      <c r="F663" t="s">
        <v>60</v>
      </c>
      <c r="G663">
        <v>-484.39690000000002</v>
      </c>
      <c r="H663" s="1">
        <v>3.8359159999999996E-6</v>
      </c>
      <c r="I663">
        <v>224.56799999999899</v>
      </c>
      <c r="J663">
        <v>-493.33010000000002</v>
      </c>
      <c r="K663">
        <v>1.1057219999999901</v>
      </c>
      <c r="L663">
        <v>239.76349999999999</v>
      </c>
      <c r="M663">
        <v>0.121080199999999</v>
      </c>
      <c r="N663">
        <v>0</v>
      </c>
      <c r="O663">
        <v>-0.99254580000000003</v>
      </c>
      <c r="P663">
        <v>0.27480529999999997</v>
      </c>
      <c r="Q663">
        <v>0.10290819999999901</v>
      </c>
      <c r="R663">
        <v>-0.95597719999999897</v>
      </c>
      <c r="S663">
        <v>1.5738829999999999</v>
      </c>
      <c r="T663">
        <v>-0.19410469999999999</v>
      </c>
      <c r="U663">
        <v>-2.7096559999999998</v>
      </c>
      <c r="V663">
        <v>-0.1576369</v>
      </c>
      <c r="W663">
        <v>0.11569739999999901</v>
      </c>
      <c r="X663">
        <v>0.98069599999999901</v>
      </c>
      <c r="Y663">
        <v>-0.39286409999999899</v>
      </c>
      <c r="Z663">
        <v>6.2904799999999997E-2</v>
      </c>
      <c r="AA663">
        <v>0.9174426</v>
      </c>
      <c r="AB663">
        <v>25</v>
      </c>
      <c r="AC663">
        <v>8.9331999999999994</v>
      </c>
      <c r="AD663">
        <v>-1.1057181640839999</v>
      </c>
      <c r="AE663">
        <v>-15.195499999999999</v>
      </c>
      <c r="AF663">
        <v>-6.9998679058437103</v>
      </c>
      <c r="AG663">
        <v>-1.1057181640839999</v>
      </c>
      <c r="AH663">
        <v>16.102057754050001</v>
      </c>
      <c r="AI663">
        <v>93.6035054585182</v>
      </c>
      <c r="AJ663">
        <v>113.495492909842</v>
      </c>
      <c r="AK663">
        <v>17.592527597602501</v>
      </c>
    </row>
    <row r="664" spans="1:37" x14ac:dyDescent="0.2">
      <c r="A664" t="str">
        <f>"20200111150542464"</f>
        <v>20200111150542464</v>
      </c>
      <c r="B664" t="str">
        <f>"1578726342455996"</f>
        <v>1578726342455996</v>
      </c>
      <c r="C664" t="s">
        <v>37</v>
      </c>
      <c r="D664">
        <v>4.9217309999999896</v>
      </c>
      <c r="E664">
        <v>0.40401559999999997</v>
      </c>
      <c r="F664" t="s">
        <v>60</v>
      </c>
      <c r="G664">
        <v>-484.28449999999998</v>
      </c>
      <c r="H664" s="1">
        <v>3.7183069999999899E-6</v>
      </c>
      <c r="I664">
        <v>224.2687</v>
      </c>
      <c r="J664">
        <v>-493.29640000000001</v>
      </c>
      <c r="K664">
        <v>1.1057760000000001</v>
      </c>
      <c r="L664">
        <v>239.51910000000001</v>
      </c>
      <c r="M664">
        <v>0.1244305</v>
      </c>
      <c r="N664">
        <v>0</v>
      </c>
      <c r="O664">
        <v>-0.9921314</v>
      </c>
      <c r="P664">
        <v>0.27716599999999902</v>
      </c>
      <c r="Q664">
        <v>0.1034905</v>
      </c>
      <c r="R664">
        <v>-0.95523250000000004</v>
      </c>
      <c r="S664">
        <v>1.579132</v>
      </c>
      <c r="T664">
        <v>-0.193029799999999</v>
      </c>
      <c r="U664">
        <v>-2.704987</v>
      </c>
      <c r="V664">
        <v>-0.1567723</v>
      </c>
      <c r="W664">
        <v>0.1162681</v>
      </c>
      <c r="X664">
        <v>0.9807671</v>
      </c>
      <c r="Y664">
        <v>-0.39178639999999998</v>
      </c>
      <c r="Z664">
        <v>6.2597570000000005E-2</v>
      </c>
      <c r="AA664">
        <v>0.91792419999999997</v>
      </c>
      <c r="AB664">
        <v>25</v>
      </c>
      <c r="AC664">
        <v>9.0119000000000202</v>
      </c>
      <c r="AD664">
        <v>-1.105772281693</v>
      </c>
      <c r="AE664">
        <v>-15.250400000000001</v>
      </c>
      <c r="AF664">
        <v>-7.016709708614</v>
      </c>
      <c r="AG664">
        <v>-1.105772281693</v>
      </c>
      <c r="AH664">
        <v>16.190231060930099</v>
      </c>
      <c r="AI664">
        <v>93.585840090798499</v>
      </c>
      <c r="AJ664">
        <v>113.431502107697</v>
      </c>
      <c r="AK664">
        <v>17.679947094949799</v>
      </c>
    </row>
    <row r="665" spans="1:37" x14ac:dyDescent="0.2">
      <c r="A665" t="str">
        <f>"20200111150542487"</f>
        <v>20200111150542487</v>
      </c>
      <c r="B665" t="str">
        <f>"1578726342476491"</f>
        <v>1578726342476491</v>
      </c>
      <c r="C665" t="s">
        <v>37</v>
      </c>
      <c r="D665">
        <v>4.9452610000000004</v>
      </c>
      <c r="E665">
        <v>0.40407209999999899</v>
      </c>
      <c r="F665" t="s">
        <v>60</v>
      </c>
      <c r="G665">
        <v>-484.23970000000003</v>
      </c>
      <c r="H665" s="1">
        <v>3.6218249999999998E-6</v>
      </c>
      <c r="I665">
        <v>223.98939999999999</v>
      </c>
      <c r="J665">
        <v>-493.26190000000003</v>
      </c>
      <c r="K665">
        <v>1.10585</v>
      </c>
      <c r="L665">
        <v>239.27549999999999</v>
      </c>
      <c r="M665">
        <v>0.12789120000000001</v>
      </c>
      <c r="N665">
        <v>0</v>
      </c>
      <c r="O665">
        <v>-0.99169110000000005</v>
      </c>
      <c r="P665">
        <v>0.27883419999999998</v>
      </c>
      <c r="Q665">
        <v>0.1037254</v>
      </c>
      <c r="R665">
        <v>-0.95472109999999899</v>
      </c>
      <c r="S665">
        <v>1.5769040000000001</v>
      </c>
      <c r="T665">
        <v>-0.19253000000000001</v>
      </c>
      <c r="U665">
        <v>-2.7039339999999998</v>
      </c>
      <c r="V665">
        <v>-0.1550868</v>
      </c>
      <c r="W665">
        <v>0.1164902</v>
      </c>
      <c r="X665">
        <v>0.98100869999999996</v>
      </c>
      <c r="Y665">
        <v>-0.38816990000000001</v>
      </c>
      <c r="Z665">
        <v>6.2476820000000002E-2</v>
      </c>
      <c r="AA665">
        <v>0.9194677</v>
      </c>
      <c r="AB665">
        <v>25</v>
      </c>
      <c r="AC665">
        <v>9.0221999999999891</v>
      </c>
      <c r="AD665">
        <v>-1.1058463781750001</v>
      </c>
      <c r="AE665">
        <v>-15.286099999999999</v>
      </c>
      <c r="AF665">
        <v>-6.9659136681980298</v>
      </c>
      <c r="AG665">
        <v>-1.1058463781750001</v>
      </c>
      <c r="AH665">
        <v>16.251441989558099</v>
      </c>
      <c r="AI665">
        <v>93.578775838202006</v>
      </c>
      <c r="AJ665">
        <v>113.20159861541499</v>
      </c>
      <c r="AK665">
        <v>17.7159875870605</v>
      </c>
    </row>
    <row r="666" spans="1:37" x14ac:dyDescent="0.2">
      <c r="A666" t="str">
        <f>"20200111150542509"</f>
        <v>20200111150542509</v>
      </c>
      <c r="B666" t="str">
        <f>"1578726342505772"</f>
        <v>1578726342505772</v>
      </c>
      <c r="C666" t="s">
        <v>37</v>
      </c>
      <c r="D666">
        <v>4.8554079999999997</v>
      </c>
      <c r="E666">
        <v>0.40542410000000001</v>
      </c>
      <c r="F666" t="s">
        <v>60</v>
      </c>
      <c r="G666">
        <v>-483.95710000000003</v>
      </c>
      <c r="H666" s="1">
        <v>3.3697570000000002E-6</v>
      </c>
      <c r="I666">
        <v>223.37790000000001</v>
      </c>
      <c r="J666">
        <v>-493.22669999999999</v>
      </c>
      <c r="K666">
        <v>1.1059509999999999</v>
      </c>
      <c r="L666">
        <v>239.0341</v>
      </c>
      <c r="M666">
        <v>0.13147809999999999</v>
      </c>
      <c r="N666">
        <v>0</v>
      </c>
      <c r="O666">
        <v>-0.99122199999999905</v>
      </c>
      <c r="P666">
        <v>0.28054420000000002</v>
      </c>
      <c r="Q666">
        <v>0.10353469999999999</v>
      </c>
      <c r="R666">
        <v>-0.95424100000000001</v>
      </c>
      <c r="S666">
        <v>1.5808719999999901</v>
      </c>
      <c r="T666">
        <v>-0.1878822</v>
      </c>
      <c r="U666">
        <v>-2.7009889999999999</v>
      </c>
      <c r="V666">
        <v>-0.15331649999999999</v>
      </c>
      <c r="W666">
        <v>0.11627999999999999</v>
      </c>
      <c r="X666">
        <v>0.98131190000000001</v>
      </c>
      <c r="Y666">
        <v>-0.38632519999999998</v>
      </c>
      <c r="Z666">
        <v>6.099164E-2</v>
      </c>
      <c r="AA666">
        <v>0.92034389999999999</v>
      </c>
      <c r="AB666">
        <v>25</v>
      </c>
      <c r="AC666">
        <v>9.2695999999999596</v>
      </c>
      <c r="AD666">
        <v>-1.105947630243</v>
      </c>
      <c r="AE666">
        <v>-15.656199999999901</v>
      </c>
      <c r="AF666">
        <v>-7.10422182998472</v>
      </c>
      <c r="AG666">
        <v>-1.105947630243</v>
      </c>
      <c r="AH666">
        <v>16.6775107670159</v>
      </c>
      <c r="AI666">
        <v>93.491236619050895</v>
      </c>
      <c r="AJ666">
        <v>113.072847962011</v>
      </c>
      <c r="AK666">
        <v>18.161289969448799</v>
      </c>
    </row>
    <row r="667" spans="1:37" x14ac:dyDescent="0.2">
      <c r="A667" t="str">
        <f>"20200111150542531"</f>
        <v>20200111150542531</v>
      </c>
      <c r="B667" t="str">
        <f>"1578726342526267"</f>
        <v>1578726342526267</v>
      </c>
      <c r="C667" t="s">
        <v>37</v>
      </c>
      <c r="D667">
        <v>4.9564570000000003</v>
      </c>
      <c r="E667">
        <v>0.40721979999999902</v>
      </c>
      <c r="F667" t="s">
        <v>60</v>
      </c>
      <c r="G667">
        <v>-483.616999999999</v>
      </c>
      <c r="H667" s="1">
        <v>3.0632350000000001E-6</v>
      </c>
      <c r="I667">
        <v>222.56979999999999</v>
      </c>
      <c r="J667">
        <v>-493.19199999999898</v>
      </c>
      <c r="K667">
        <v>1.1060760000000001</v>
      </c>
      <c r="L667">
        <v>238.803</v>
      </c>
      <c r="M667">
        <v>0.13509070000000001</v>
      </c>
      <c r="N667">
        <v>0</v>
      </c>
      <c r="O667">
        <v>-0.99073580000000006</v>
      </c>
      <c r="P667">
        <v>0.2814989</v>
      </c>
      <c r="Q667">
        <v>0.10289719999999999</v>
      </c>
      <c r="R667">
        <v>-0.95402880000000001</v>
      </c>
      <c r="S667">
        <v>1.5760190000000001</v>
      </c>
      <c r="T667">
        <v>-0.18137899999999901</v>
      </c>
      <c r="U667">
        <v>-2.7001949999999999</v>
      </c>
      <c r="V667">
        <v>-0.15073710000000001</v>
      </c>
      <c r="W667">
        <v>0.1156268</v>
      </c>
      <c r="X667">
        <v>0.98178860000000001</v>
      </c>
      <c r="Y667">
        <v>-0.38190649999999998</v>
      </c>
      <c r="Z667">
        <v>5.8940890000000003E-2</v>
      </c>
      <c r="AA667">
        <v>0.92231960000000002</v>
      </c>
      <c r="AB667">
        <v>25</v>
      </c>
      <c r="AC667">
        <v>9.5749999999999797</v>
      </c>
      <c r="AD667">
        <v>-1.106072936765</v>
      </c>
      <c r="AE667">
        <v>-16.2332</v>
      </c>
      <c r="AF667">
        <v>-7.2690086647297099</v>
      </c>
      <c r="AG667">
        <v>-1.106072936765</v>
      </c>
      <c r="AH667">
        <v>17.318334473436099</v>
      </c>
      <c r="AI667">
        <v>93.370260472382697</v>
      </c>
      <c r="AJ667">
        <v>112.769209670181</v>
      </c>
      <c r="AK667">
        <v>18.814531438310301</v>
      </c>
    </row>
    <row r="668" spans="1:37" x14ac:dyDescent="0.2">
      <c r="A668" t="str">
        <f>"20200111150542554"</f>
        <v>20200111150542554</v>
      </c>
      <c r="B668" t="str">
        <f>"1578726342546681"</f>
        <v>1578726342546681</v>
      </c>
      <c r="C668" t="s">
        <v>37</v>
      </c>
      <c r="D668">
        <v>4.8862050000000004</v>
      </c>
      <c r="E668">
        <v>0.41031069999999997</v>
      </c>
      <c r="F668" t="s">
        <v>60</v>
      </c>
      <c r="G668">
        <v>-483.76679999999999</v>
      </c>
      <c r="H668" s="1">
        <v>3.0836419999999999E-6</v>
      </c>
      <c r="I668">
        <v>222.5419</v>
      </c>
      <c r="J668">
        <v>-493.15280000000001</v>
      </c>
      <c r="K668">
        <v>1.106233</v>
      </c>
      <c r="L668">
        <v>238.55099999999999</v>
      </c>
      <c r="M668">
        <v>0.13928109999999999</v>
      </c>
      <c r="N668">
        <v>0</v>
      </c>
      <c r="O668">
        <v>-0.99015540000000002</v>
      </c>
      <c r="P668">
        <v>0.28360289999999999</v>
      </c>
      <c r="Q668">
        <v>0.1033611</v>
      </c>
      <c r="R668">
        <v>-0.95335539999999996</v>
      </c>
      <c r="S668">
        <v>1.566254</v>
      </c>
      <c r="T668">
        <v>-0.18380450000000001</v>
      </c>
      <c r="U668">
        <v>-2.7022249999999999</v>
      </c>
      <c r="V668">
        <v>-0.1487986</v>
      </c>
      <c r="W668">
        <v>0.1160593</v>
      </c>
      <c r="X668">
        <v>0.98203320000000005</v>
      </c>
      <c r="Y668">
        <v>-0.3751699</v>
      </c>
      <c r="Z668">
        <v>5.9770499999999997E-2</v>
      </c>
      <c r="AA668">
        <v>0.92502709999999999</v>
      </c>
      <c r="AB668">
        <v>24</v>
      </c>
      <c r="AC668">
        <v>9.3860000000000205</v>
      </c>
      <c r="AD668">
        <v>-1.1062299163580001</v>
      </c>
      <c r="AE668">
        <v>-16.009099999999901</v>
      </c>
      <c r="AF668">
        <v>-7.0395014249148904</v>
      </c>
      <c r="AG668">
        <v>-1.1062299163580001</v>
      </c>
      <c r="AH668">
        <v>17.099684003575799</v>
      </c>
      <c r="AI668">
        <v>93.423474248087004</v>
      </c>
      <c r="AJ668">
        <v>112.375708779234</v>
      </c>
      <c r="AK668">
        <v>18.525051092004301</v>
      </c>
    </row>
    <row r="669" spans="1:37" x14ac:dyDescent="0.2">
      <c r="A669" t="str">
        <f>"20200111150542576"</f>
        <v>20200111150542576</v>
      </c>
      <c r="B669" t="str">
        <f>"1578726342566203"</f>
        <v>1578726342566203</v>
      </c>
      <c r="C669" t="s">
        <v>37</v>
      </c>
      <c r="D669">
        <v>4.9197800000000003</v>
      </c>
      <c r="E669">
        <v>0.41261329999999902</v>
      </c>
      <c r="F669" t="s">
        <v>60</v>
      </c>
      <c r="G669">
        <v>-484.06849999999997</v>
      </c>
      <c r="H669" s="1">
        <v>3.177806E-6</v>
      </c>
      <c r="I669">
        <v>222.67859999999999</v>
      </c>
      <c r="J669">
        <v>-493.11399999999998</v>
      </c>
      <c r="K669">
        <v>1.1063879999999999</v>
      </c>
      <c r="L669">
        <v>238.30959999999999</v>
      </c>
      <c r="M669">
        <v>0.14355129999999999</v>
      </c>
      <c r="N669">
        <v>0</v>
      </c>
      <c r="O669">
        <v>-0.98954519999999901</v>
      </c>
      <c r="P669">
        <v>0.28666970000000003</v>
      </c>
      <c r="Q669">
        <v>0.103071699999999</v>
      </c>
      <c r="R669">
        <v>-0.95246919999999902</v>
      </c>
      <c r="S669">
        <v>1.5489809999999999</v>
      </c>
      <c r="T669">
        <v>-0.18862579999999901</v>
      </c>
      <c r="U669">
        <v>-2.7064360000000001</v>
      </c>
      <c r="V669">
        <v>-0.14775849999999999</v>
      </c>
      <c r="W669">
        <v>0.1157329</v>
      </c>
      <c r="X669">
        <v>0.98222880000000001</v>
      </c>
      <c r="Y669">
        <v>-0.36604530000000002</v>
      </c>
      <c r="Z669">
        <v>6.1399540000000002E-2</v>
      </c>
      <c r="AA669">
        <v>0.92856930000000004</v>
      </c>
      <c r="AB669">
        <v>24</v>
      </c>
      <c r="AC669">
        <v>9.0455000000000592</v>
      </c>
      <c r="AD669">
        <v>-1.106384822194</v>
      </c>
      <c r="AE669">
        <v>-15.630999999999901</v>
      </c>
      <c r="AF669">
        <v>-6.6826481526640302</v>
      </c>
      <c r="AG669">
        <v>-1.106384822194</v>
      </c>
      <c r="AH669">
        <v>16.704998775053099</v>
      </c>
      <c r="AI669">
        <v>93.518852545393401</v>
      </c>
      <c r="AJ669">
        <v>111.803327350657</v>
      </c>
      <c r="AK669">
        <v>18.026060517528801</v>
      </c>
    </row>
    <row r="670" spans="1:37" x14ac:dyDescent="0.2">
      <c r="A670" t="str">
        <f>"20200111150542601"</f>
        <v>20200111150542601</v>
      </c>
      <c r="B670" t="str">
        <f>"1578726342596456"</f>
        <v>1578726342596456</v>
      </c>
      <c r="C670" t="s">
        <v>37</v>
      </c>
      <c r="D670">
        <v>4.8092829999999998</v>
      </c>
      <c r="E670">
        <v>0.41414220000000002</v>
      </c>
      <c r="F670" t="s">
        <v>60</v>
      </c>
      <c r="G670">
        <v>-484.30430000000001</v>
      </c>
      <c r="H670" s="1">
        <v>3.274823E-6</v>
      </c>
      <c r="I670">
        <v>222.82299999999901</v>
      </c>
      <c r="J670">
        <v>-493.07069999999999</v>
      </c>
      <c r="K670">
        <v>1.106536</v>
      </c>
      <c r="L670">
        <v>238.05090000000001</v>
      </c>
      <c r="M670">
        <v>0.14837139999999999</v>
      </c>
      <c r="N670">
        <v>0</v>
      </c>
      <c r="O670">
        <v>-0.98883379999999998</v>
      </c>
      <c r="P670">
        <v>0.29180929999999999</v>
      </c>
      <c r="Q670">
        <v>0.1025097</v>
      </c>
      <c r="R670">
        <v>-0.95096780000000003</v>
      </c>
      <c r="S670">
        <v>1.5399780000000001</v>
      </c>
      <c r="T670">
        <v>-0.19340170000000001</v>
      </c>
      <c r="U670">
        <v>-2.707138</v>
      </c>
      <c r="V670">
        <v>-0.14830869999999999</v>
      </c>
      <c r="W670">
        <v>0.1151224</v>
      </c>
      <c r="X670">
        <v>0.98221759999999902</v>
      </c>
      <c r="Y670">
        <v>-0.35901859999999902</v>
      </c>
      <c r="Z670">
        <v>6.3002749999999996E-2</v>
      </c>
      <c r="AA670">
        <v>0.93120149999999902</v>
      </c>
      <c r="AB670">
        <v>24</v>
      </c>
      <c r="AC670">
        <v>8.7663999999999707</v>
      </c>
      <c r="AD670">
        <v>-1.1065327251770001</v>
      </c>
      <c r="AE670">
        <v>-15.2279</v>
      </c>
      <c r="AF670">
        <v>-6.3844286617992001</v>
      </c>
      <c r="AG670">
        <v>-1.1065327251770001</v>
      </c>
      <c r="AH670">
        <v>16.295503662413498</v>
      </c>
      <c r="AI670">
        <v>93.617700578063094</v>
      </c>
      <c r="AJ670">
        <v>111.394789692968</v>
      </c>
      <c r="AK670">
        <v>17.5364986134981</v>
      </c>
    </row>
    <row r="671" spans="1:37" x14ac:dyDescent="0.2">
      <c r="A671" t="str">
        <f>"20200111150542624"</f>
        <v>20200111150542624</v>
      </c>
      <c r="B671" t="str">
        <f>"1578726342615976"</f>
        <v>1578726342615976</v>
      </c>
      <c r="C671" t="s">
        <v>37</v>
      </c>
      <c r="D671">
        <v>4.8120989999999999</v>
      </c>
      <c r="E671">
        <v>0.415210999999999</v>
      </c>
      <c r="F671" t="s">
        <v>60</v>
      </c>
      <c r="G671">
        <v>-484.38260000000002</v>
      </c>
      <c r="H671" s="1">
        <v>3.29665399999999E-6</v>
      </c>
      <c r="I671">
        <v>222.8374</v>
      </c>
      <c r="J671">
        <v>-493.02659999999997</v>
      </c>
      <c r="K671">
        <v>1.106681</v>
      </c>
      <c r="L671">
        <v>237.79499999999999</v>
      </c>
      <c r="M671">
        <v>0.1533938</v>
      </c>
      <c r="N671">
        <v>0</v>
      </c>
      <c r="O671">
        <v>-0.98806700000000003</v>
      </c>
      <c r="P671">
        <v>0.29790139999999998</v>
      </c>
      <c r="Q671">
        <v>0.102049399999999</v>
      </c>
      <c r="R671">
        <v>-0.94912629999999998</v>
      </c>
      <c r="S671">
        <v>1.5432429999999999</v>
      </c>
      <c r="T671">
        <v>-0.19655020000000001</v>
      </c>
      <c r="U671">
        <v>-2.7023320000000002</v>
      </c>
      <c r="V671">
        <v>-0.14964810000000001</v>
      </c>
      <c r="W671">
        <v>0.114607999999999</v>
      </c>
      <c r="X671">
        <v>0.98207459999999902</v>
      </c>
      <c r="Y671">
        <v>-0.35580209999999901</v>
      </c>
      <c r="Z671">
        <v>6.4070310000000005E-2</v>
      </c>
      <c r="AA671">
        <v>0.93236249999999998</v>
      </c>
      <c r="AB671">
        <v>24</v>
      </c>
      <c r="AC671">
        <v>8.6439999999999397</v>
      </c>
      <c r="AD671">
        <v>-1.106677703346</v>
      </c>
      <c r="AE671">
        <v>-14.9575999999999</v>
      </c>
      <c r="AF671">
        <v>-6.2215227666268698</v>
      </c>
      <c r="AG671">
        <v>-1.106677703346</v>
      </c>
      <c r="AH671">
        <v>16.040782799327399</v>
      </c>
      <c r="AI671">
        <v>93.680355252557305</v>
      </c>
      <c r="AJ671">
        <v>111.199109417654</v>
      </c>
      <c r="AK671">
        <v>17.240614661024601</v>
      </c>
    </row>
    <row r="672" spans="1:37" x14ac:dyDescent="0.2">
      <c r="A672" t="str">
        <f>"20200111150542644"</f>
        <v>20200111150542644</v>
      </c>
      <c r="B672" t="str">
        <f>"1578726342636472"</f>
        <v>1578726342636472</v>
      </c>
      <c r="C672" t="s">
        <v>37</v>
      </c>
      <c r="D672">
        <v>4.771655</v>
      </c>
      <c r="E672">
        <v>0.415900299999999</v>
      </c>
      <c r="F672" t="s">
        <v>60</v>
      </c>
      <c r="G672">
        <v>-484.42189999999999</v>
      </c>
      <c r="H672" s="1">
        <v>3.3107729999999899E-6</v>
      </c>
      <c r="I672">
        <v>222.85480000000001</v>
      </c>
      <c r="J672">
        <v>-492.99160000000001</v>
      </c>
      <c r="K672">
        <v>1.1067959999999999</v>
      </c>
      <c r="L672">
        <v>237.59880000000001</v>
      </c>
      <c r="M672">
        <v>0.1574431</v>
      </c>
      <c r="N672">
        <v>0</v>
      </c>
      <c r="O672">
        <v>-0.98742980000000002</v>
      </c>
      <c r="P672">
        <v>0.30286180000000001</v>
      </c>
      <c r="Q672">
        <v>0.10212309999999999</v>
      </c>
      <c r="R672">
        <v>-0.94754740000000004</v>
      </c>
      <c r="S672">
        <v>1.5521849999999999</v>
      </c>
      <c r="T672">
        <v>-0.1996329</v>
      </c>
      <c r="U672">
        <v>-2.6950529999999899</v>
      </c>
      <c r="V672">
        <v>-0.15079479999999901</v>
      </c>
      <c r="W672">
        <v>0.1146373</v>
      </c>
      <c r="X672">
        <v>0.98189570000000004</v>
      </c>
      <c r="Y672">
        <v>-0.3553481</v>
      </c>
      <c r="Z672">
        <v>6.511459E-2</v>
      </c>
      <c r="AA672">
        <v>0.93246329999999999</v>
      </c>
      <c r="AB672">
        <v>24</v>
      </c>
      <c r="AC672">
        <v>8.5697000000000099</v>
      </c>
      <c r="AD672">
        <v>-1.1067926892269999</v>
      </c>
      <c r="AE672">
        <v>-14.744</v>
      </c>
      <c r="AF672">
        <v>-6.1154729191725403</v>
      </c>
      <c r="AG672">
        <v>-1.1067926892269999</v>
      </c>
      <c r="AH672">
        <v>15.8427175028359</v>
      </c>
      <c r="AI672">
        <v>93.728932297383693</v>
      </c>
      <c r="AJ672">
        <v>111.10716732121</v>
      </c>
      <c r="AK672">
        <v>17.018099099391801</v>
      </c>
    </row>
    <row r="673" spans="1:37" x14ac:dyDescent="0.2">
      <c r="A673" t="str">
        <f>"20200111150542665"</f>
        <v>20200111150542665</v>
      </c>
      <c r="B673" t="str">
        <f>"1578726342655992"</f>
        <v>1578726342655992</v>
      </c>
      <c r="C673" t="s">
        <v>37</v>
      </c>
      <c r="D673">
        <v>4.7727129999999898</v>
      </c>
      <c r="E673">
        <v>0.41671629999999898</v>
      </c>
      <c r="F673" t="s">
        <v>60</v>
      </c>
      <c r="G673">
        <v>-484.37939999999998</v>
      </c>
      <c r="H673" s="1">
        <v>3.274556E-6</v>
      </c>
      <c r="I673">
        <v>222.76840000000001</v>
      </c>
      <c r="J673">
        <v>-492.94889999999998</v>
      </c>
      <c r="K673">
        <v>1.1069420000000001</v>
      </c>
      <c r="L673">
        <v>237.36680000000001</v>
      </c>
      <c r="M673">
        <v>0.16244839999999999</v>
      </c>
      <c r="N673">
        <v>0</v>
      </c>
      <c r="O673">
        <v>-0.98661829999999995</v>
      </c>
      <c r="P673">
        <v>0.30859639999999999</v>
      </c>
      <c r="Q673">
        <v>0.1024303</v>
      </c>
      <c r="R673">
        <v>-0.9456618</v>
      </c>
      <c r="S673">
        <v>1.56131</v>
      </c>
      <c r="T673">
        <v>-0.20065069999999999</v>
      </c>
      <c r="U673">
        <v>-2.688599</v>
      </c>
      <c r="V673">
        <v>-0.1518147</v>
      </c>
      <c r="W673">
        <v>0.114891699999999</v>
      </c>
      <c r="X673">
        <v>0.98170879999999905</v>
      </c>
      <c r="Y673">
        <v>-0.3539349</v>
      </c>
      <c r="Z673">
        <v>6.5465579999999995E-2</v>
      </c>
      <c r="AA673">
        <v>0.93297609999999997</v>
      </c>
      <c r="AB673">
        <v>24</v>
      </c>
      <c r="AC673">
        <v>8.5694999999999997</v>
      </c>
      <c r="AD673">
        <v>-1.106938725444</v>
      </c>
      <c r="AE673">
        <v>-14.5983999999999</v>
      </c>
      <c r="AF673">
        <v>-6.0580268496173098</v>
      </c>
      <c r="AG673">
        <v>-1.106938725444</v>
      </c>
      <c r="AH673">
        <v>15.7294286717989</v>
      </c>
      <c r="AI673">
        <v>93.757303317757902</v>
      </c>
      <c r="AJ673">
        <v>111.063674343131</v>
      </c>
      <c r="AK673">
        <v>16.892007843763899</v>
      </c>
    </row>
    <row r="674" spans="1:37" x14ac:dyDescent="0.2">
      <c r="A674" t="str">
        <f>"20200111150542689"</f>
        <v>20200111150542689</v>
      </c>
      <c r="B674" t="str">
        <f>"1578726342686248"</f>
        <v>1578726342686248</v>
      </c>
      <c r="C674" t="s">
        <v>37</v>
      </c>
      <c r="D674">
        <v>4.7637080000000003</v>
      </c>
      <c r="E674">
        <v>0.41766429999999999</v>
      </c>
      <c r="F674" t="s">
        <v>60</v>
      </c>
      <c r="G674">
        <v>-484.28320000000002</v>
      </c>
      <c r="H674" s="1">
        <v>3.1964870000000001E-6</v>
      </c>
      <c r="I674">
        <v>222.58519999999999</v>
      </c>
      <c r="J674">
        <v>-492.90359999999998</v>
      </c>
      <c r="K674">
        <v>1.1071120000000001</v>
      </c>
      <c r="L674">
        <v>237.1293</v>
      </c>
      <c r="M674">
        <v>0.16782649999999999</v>
      </c>
      <c r="N674">
        <v>0</v>
      </c>
      <c r="O674">
        <v>-0.98571769999999903</v>
      </c>
      <c r="P674">
        <v>0.31447559999999902</v>
      </c>
      <c r="Q674">
        <v>0.10177079999999999</v>
      </c>
      <c r="R674">
        <v>-0.94379439999999903</v>
      </c>
      <c r="S674">
        <v>1.5718379999999901</v>
      </c>
      <c r="T674">
        <v>-0.20078470000000001</v>
      </c>
      <c r="U674">
        <v>-2.68119799999999</v>
      </c>
      <c r="V674">
        <v>-0.1526006</v>
      </c>
      <c r="W674">
        <v>0.1141793</v>
      </c>
      <c r="X674">
        <v>0.98167009999999899</v>
      </c>
      <c r="Y674">
        <v>-0.3526823</v>
      </c>
      <c r="Z674">
        <v>6.5529989999999996E-2</v>
      </c>
      <c r="AA674">
        <v>0.93344579999999999</v>
      </c>
      <c r="AB674">
        <v>24</v>
      </c>
      <c r="AC674">
        <v>8.6203999999999592</v>
      </c>
      <c r="AD674">
        <v>-1.1071088035129999</v>
      </c>
      <c r="AE674">
        <v>-14.5441</v>
      </c>
      <c r="AF674">
        <v>-6.0311242538076</v>
      </c>
      <c r="AG674">
        <v>-1.1071088035129999</v>
      </c>
      <c r="AH674">
        <v>15.7172509998767</v>
      </c>
      <c r="AI674">
        <v>93.762557663699397</v>
      </c>
      <c r="AJ674">
        <v>110.993126893511</v>
      </c>
      <c r="AK674">
        <v>16.871044089231901</v>
      </c>
    </row>
    <row r="675" spans="1:37" x14ac:dyDescent="0.2">
      <c r="A675" t="str">
        <f>"20200111150542710"</f>
        <v>20200111150542710</v>
      </c>
      <c r="B675" t="str">
        <f>"1578726342706746"</f>
        <v>1578726342706746</v>
      </c>
      <c r="C675" t="s">
        <v>37</v>
      </c>
      <c r="D675">
        <v>4.7650439999999996</v>
      </c>
      <c r="E675">
        <v>0.41820269999999998</v>
      </c>
      <c r="F675" t="s">
        <v>60</v>
      </c>
      <c r="G675">
        <v>-484.2253</v>
      </c>
      <c r="H675" s="1">
        <v>3.146591E-6</v>
      </c>
      <c r="I675">
        <v>222.4588</v>
      </c>
      <c r="J675">
        <v>-492.85789999999997</v>
      </c>
      <c r="K675">
        <v>1.107289</v>
      </c>
      <c r="L675">
        <v>236.89760000000001</v>
      </c>
      <c r="M675">
        <v>0.17332529999999999</v>
      </c>
      <c r="N675">
        <v>0</v>
      </c>
      <c r="O675">
        <v>-0.98476540000000001</v>
      </c>
      <c r="P675">
        <v>0.32083820000000002</v>
      </c>
      <c r="Q675">
        <v>0.1005987</v>
      </c>
      <c r="R675">
        <v>-0.94177659999999996</v>
      </c>
      <c r="S675">
        <v>1.5814509999999999</v>
      </c>
      <c r="T675">
        <v>-0.2017496</v>
      </c>
      <c r="U675">
        <v>-2.6734309999999999</v>
      </c>
      <c r="V675">
        <v>-0.1537644</v>
      </c>
      <c r="W675">
        <v>0.1129489</v>
      </c>
      <c r="X675">
        <v>0.98163080000000003</v>
      </c>
      <c r="Y675">
        <v>-0.35112179999999998</v>
      </c>
      <c r="Z675">
        <v>6.5875690000000001E-2</v>
      </c>
      <c r="AA675">
        <v>0.9340096</v>
      </c>
      <c r="AB675">
        <v>24</v>
      </c>
      <c r="AC675">
        <v>8.6325999999999592</v>
      </c>
      <c r="AD675">
        <v>-1.107285853409</v>
      </c>
      <c r="AE675">
        <v>-14.438800000000001</v>
      </c>
      <c r="AF675">
        <v>-5.9731843030517302</v>
      </c>
      <c r="AG675">
        <v>-1.107285853409</v>
      </c>
      <c r="AH675">
        <v>15.6488171360831</v>
      </c>
      <c r="AI675">
        <v>93.782114389599698</v>
      </c>
      <c r="AJ675">
        <v>110.891953938299</v>
      </c>
      <c r="AK675">
        <v>16.786616408256599</v>
      </c>
    </row>
    <row r="676" spans="1:37" x14ac:dyDescent="0.2">
      <c r="A676" t="str">
        <f>"20200111150542737"</f>
        <v>20200111150542737</v>
      </c>
      <c r="B676" t="str">
        <f>"1578726342726265"</f>
        <v>1578726342726265</v>
      </c>
      <c r="C676" t="s">
        <v>37</v>
      </c>
      <c r="D676">
        <v>4.7520199999999999</v>
      </c>
      <c r="E676">
        <v>0.41857250000000001</v>
      </c>
      <c r="F676" t="s">
        <v>60</v>
      </c>
      <c r="G676">
        <v>-484.26760000000002</v>
      </c>
      <c r="H676" s="1">
        <v>3.1851159999999998E-6</v>
      </c>
      <c r="I676">
        <v>222.55969999999999</v>
      </c>
      <c r="J676">
        <v>-492.80309999999997</v>
      </c>
      <c r="K676">
        <v>1.107486</v>
      </c>
      <c r="L676">
        <v>236.63079999999999</v>
      </c>
      <c r="M676">
        <v>0.17999399999999999</v>
      </c>
      <c r="N676">
        <v>0</v>
      </c>
      <c r="O676">
        <v>-0.983568</v>
      </c>
      <c r="P676">
        <v>0.32781559999999998</v>
      </c>
      <c r="Q676">
        <v>0.10062169999999999</v>
      </c>
      <c r="R676">
        <v>-0.93936810000000004</v>
      </c>
      <c r="S676">
        <v>1.595917</v>
      </c>
      <c r="T676">
        <v>-0.20571390000000001</v>
      </c>
      <c r="U676">
        <v>-2.6637270000000002</v>
      </c>
      <c r="V676">
        <v>-0.1544517</v>
      </c>
      <c r="W676">
        <v>0.1129096</v>
      </c>
      <c r="X676">
        <v>0.98152739999999905</v>
      </c>
      <c r="Y676">
        <v>-0.34996479999999902</v>
      </c>
      <c r="Z676">
        <v>6.7178440000000006E-2</v>
      </c>
      <c r="AA676">
        <v>0.93435100000000004</v>
      </c>
      <c r="AB676">
        <v>24</v>
      </c>
      <c r="AC676">
        <v>8.5354999999999492</v>
      </c>
      <c r="AD676">
        <v>-1.1074828148839999</v>
      </c>
      <c r="AE676">
        <v>-14.071099999999999</v>
      </c>
      <c r="AF676">
        <v>-5.8366753777540898</v>
      </c>
      <c r="AG676">
        <v>-1.1074828148839999</v>
      </c>
      <c r="AH676">
        <v>15.308408214316101</v>
      </c>
      <c r="AI676">
        <v>93.867200909317106</v>
      </c>
      <c r="AJ676">
        <v>110.870474343151</v>
      </c>
      <c r="AK676">
        <v>16.420738707703901</v>
      </c>
    </row>
    <row r="677" spans="1:37" x14ac:dyDescent="0.2">
      <c r="A677" t="str">
        <f>"20200111150542758"</f>
        <v>20200111150542758</v>
      </c>
      <c r="B677" t="str">
        <f>"1578726342745785"</f>
        <v>1578726342745785</v>
      </c>
      <c r="C677" t="s">
        <v>37</v>
      </c>
      <c r="D677">
        <v>4.7755260000000002</v>
      </c>
      <c r="E677">
        <v>0.4189233</v>
      </c>
      <c r="F677" t="s">
        <v>60</v>
      </c>
      <c r="G677">
        <v>-484.13069999999999</v>
      </c>
      <c r="H677" s="1">
        <v>3.1090420000000001E-6</v>
      </c>
      <c r="I677">
        <v>222.36490000000001</v>
      </c>
      <c r="J677">
        <v>-492.75450000000001</v>
      </c>
      <c r="K677">
        <v>1.1076520000000001</v>
      </c>
      <c r="L677">
        <v>236.40299999999999</v>
      </c>
      <c r="M677">
        <v>0.185964299999999</v>
      </c>
      <c r="N677">
        <v>0</v>
      </c>
      <c r="O677">
        <v>-0.98245649999999995</v>
      </c>
      <c r="P677">
        <v>0.33441509999999902</v>
      </c>
      <c r="Q677">
        <v>0.1008251</v>
      </c>
      <c r="R677">
        <v>-0.93701690000000004</v>
      </c>
      <c r="S677">
        <v>1.6127320000000001</v>
      </c>
      <c r="T677">
        <v>-0.20594850000000001</v>
      </c>
      <c r="U677">
        <v>-2.652908</v>
      </c>
      <c r="V677">
        <v>-0.15544820000000001</v>
      </c>
      <c r="W677">
        <v>0.113057399999999</v>
      </c>
      <c r="X677">
        <v>0.98135309999999898</v>
      </c>
      <c r="Y677">
        <v>-0.3502885</v>
      </c>
      <c r="Z677">
        <v>6.7267430000000003E-2</v>
      </c>
      <c r="AA677">
        <v>0.93422320000000003</v>
      </c>
      <c r="AB677">
        <v>24</v>
      </c>
      <c r="AC677">
        <v>8.6238000000000099</v>
      </c>
      <c r="AD677">
        <v>-1.107648890958</v>
      </c>
      <c r="AE677">
        <v>-14.038099999999901</v>
      </c>
      <c r="AF677">
        <v>-5.8361200068778203</v>
      </c>
      <c r="AG677">
        <v>-1.107648890958</v>
      </c>
      <c r="AH677">
        <v>15.3277736760812</v>
      </c>
      <c r="AI677">
        <v>93.863570950896104</v>
      </c>
      <c r="AJ677">
        <v>110.84456044009499</v>
      </c>
      <c r="AK677">
        <v>16.438607868839998</v>
      </c>
    </row>
    <row r="678" spans="1:37" x14ac:dyDescent="0.2">
      <c r="A678" t="str">
        <f>"20200111150542790"</f>
        <v>20200111150542790</v>
      </c>
      <c r="B678" t="str">
        <f>"1578726342785800"</f>
        <v>1578726342785800</v>
      </c>
      <c r="C678" t="s">
        <v>37</v>
      </c>
      <c r="D678">
        <v>4.7506810000000002</v>
      </c>
      <c r="E678">
        <v>0.41976750000000002</v>
      </c>
      <c r="F678" t="s">
        <v>60</v>
      </c>
      <c r="G678">
        <v>-483.94529999999997</v>
      </c>
      <c r="H678" s="1">
        <v>3.0208829999999999E-6</v>
      </c>
      <c r="I678">
        <v>222.11490000000001</v>
      </c>
      <c r="J678">
        <v>-492.67930000000001</v>
      </c>
      <c r="K678">
        <v>1.1078589999999999</v>
      </c>
      <c r="L678">
        <v>236.0652</v>
      </c>
      <c r="M678">
        <v>0.19521079999999999</v>
      </c>
      <c r="N678">
        <v>0</v>
      </c>
      <c r="O678">
        <v>-0.98066070000000005</v>
      </c>
      <c r="P678">
        <v>0.34434229999999999</v>
      </c>
      <c r="Q678">
        <v>0.1012694</v>
      </c>
      <c r="R678">
        <v>-0.93336679999999905</v>
      </c>
      <c r="S678">
        <v>1.629089</v>
      </c>
      <c r="T678">
        <v>-0.204837399999999</v>
      </c>
      <c r="U678">
        <v>-2.6423030000000001</v>
      </c>
      <c r="V678">
        <v>-0.15669349999999899</v>
      </c>
      <c r="W678">
        <v>0.11343449999999999</v>
      </c>
      <c r="X678">
        <v>0.98111150000000003</v>
      </c>
      <c r="Y678">
        <v>-0.34734409999999999</v>
      </c>
      <c r="Z678">
        <v>6.6888260000000005E-2</v>
      </c>
      <c r="AA678">
        <v>0.93534919999999999</v>
      </c>
      <c r="AB678">
        <v>24</v>
      </c>
      <c r="AC678">
        <v>8.7340000000000302</v>
      </c>
      <c r="AD678">
        <v>-1.107855979117</v>
      </c>
      <c r="AE678">
        <v>-13.9503</v>
      </c>
      <c r="AF678">
        <v>-5.8160668091440098</v>
      </c>
      <c r="AG678">
        <v>-1.107855979117</v>
      </c>
      <c r="AH678">
        <v>15.3176005073275</v>
      </c>
      <c r="AI678">
        <v>93.868202768188695</v>
      </c>
      <c r="AJ678">
        <v>110.791684314004</v>
      </c>
      <c r="AK678">
        <v>16.4220237273294</v>
      </c>
    </row>
    <row r="679" spans="1:37" x14ac:dyDescent="0.2">
      <c r="A679" t="str">
        <f>"20200111150542811"</f>
        <v>20200111150542811</v>
      </c>
      <c r="B679" t="str">
        <f>"1578726342806296"</f>
        <v>1578726342806296</v>
      </c>
      <c r="C679" t="s">
        <v>37</v>
      </c>
      <c r="D679">
        <v>4.7634470000000002</v>
      </c>
      <c r="E679">
        <v>0.4201474</v>
      </c>
      <c r="F679" t="s">
        <v>60</v>
      </c>
      <c r="G679">
        <v>-483.7362</v>
      </c>
      <c r="H679" s="1">
        <v>2.921787E-6</v>
      </c>
      <c r="I679">
        <v>221.83439999999999</v>
      </c>
      <c r="J679">
        <v>-492.62959999999998</v>
      </c>
      <c r="K679">
        <v>1.1079749999999999</v>
      </c>
      <c r="L679">
        <v>235.85149999999999</v>
      </c>
      <c r="M679">
        <v>0.20132239999999901</v>
      </c>
      <c r="N679">
        <v>0</v>
      </c>
      <c r="O679">
        <v>-0.97942410000000002</v>
      </c>
      <c r="P679">
        <v>0.35044690000000001</v>
      </c>
      <c r="Q679">
        <v>0.1013971</v>
      </c>
      <c r="R679">
        <v>-0.93107799999999996</v>
      </c>
      <c r="S679">
        <v>1.65106199999999</v>
      </c>
      <c r="T679">
        <v>-0.20453080000000001</v>
      </c>
      <c r="U679">
        <v>-2.6272579999999999</v>
      </c>
      <c r="V679">
        <v>-0.15703800000000001</v>
      </c>
      <c r="W679">
        <v>0.1135293</v>
      </c>
      <c r="X679">
        <v>0.98104539999999996</v>
      </c>
      <c r="Y679">
        <v>-0.34951769999999999</v>
      </c>
      <c r="Z679">
        <v>6.6820320000000002E-2</v>
      </c>
      <c r="AA679">
        <v>0.93454400000000004</v>
      </c>
      <c r="AB679">
        <v>24</v>
      </c>
      <c r="AC679">
        <v>8.8933999999999802</v>
      </c>
      <c r="AD679">
        <v>-1.107972078213</v>
      </c>
      <c r="AE679">
        <v>-14.017099999999999</v>
      </c>
      <c r="AF679">
        <v>-5.8629184863466497</v>
      </c>
      <c r="AG679">
        <v>-1.107972078213</v>
      </c>
      <c r="AH679">
        <v>15.4518266753898</v>
      </c>
      <c r="AI679">
        <v>93.8354397566643</v>
      </c>
      <c r="AJ679">
        <v>110.77835123894999</v>
      </c>
      <c r="AK679">
        <v>16.563826940352001</v>
      </c>
    </row>
    <row r="680" spans="1:37" x14ac:dyDescent="0.2">
      <c r="A680" t="str">
        <f>"20200111150542834"</f>
        <v>20200111150542834</v>
      </c>
      <c r="B680" t="str">
        <f>"1578726342825816"</f>
        <v>1578726342825816</v>
      </c>
      <c r="C680" t="s">
        <v>37</v>
      </c>
      <c r="D680">
        <v>4.6213629999999997</v>
      </c>
      <c r="E680">
        <v>0.42062719999999998</v>
      </c>
      <c r="F680" t="s">
        <v>60</v>
      </c>
      <c r="G680">
        <v>-483.6574</v>
      </c>
      <c r="H680" s="1">
        <v>2.8881029999999998E-6</v>
      </c>
      <c r="I680">
        <v>221.74529999999999</v>
      </c>
      <c r="J680">
        <v>-492.57209999999998</v>
      </c>
      <c r="K680">
        <v>1.1081239999999899</v>
      </c>
      <c r="L680">
        <v>235.61240000000001</v>
      </c>
      <c r="M680">
        <v>0.20842910000000001</v>
      </c>
      <c r="N680">
        <v>0</v>
      </c>
      <c r="O680">
        <v>-0.97793589999999997</v>
      </c>
      <c r="P680">
        <v>0.35782529999999901</v>
      </c>
      <c r="Q680">
        <v>0.1015576</v>
      </c>
      <c r="R680">
        <v>-0.92824959999999901</v>
      </c>
      <c r="S680">
        <v>1.6650389999999999</v>
      </c>
      <c r="T680">
        <v>-0.20561469999999901</v>
      </c>
      <c r="U680">
        <v>-2.6177980000000001</v>
      </c>
      <c r="V680">
        <v>-0.1577469</v>
      </c>
      <c r="W680">
        <v>0.11364629999999901</v>
      </c>
      <c r="X680">
        <v>0.98091819999999896</v>
      </c>
      <c r="Y680">
        <v>-0.34778409999999998</v>
      </c>
      <c r="Z680">
        <v>6.7157899999999895E-2</v>
      </c>
      <c r="AA680">
        <v>0.93516630000000001</v>
      </c>
      <c r="AB680">
        <v>24</v>
      </c>
      <c r="AC680">
        <v>8.9146999999999803</v>
      </c>
      <c r="AD680">
        <v>-1.10812111189699</v>
      </c>
      <c r="AE680">
        <v>-13.867100000000001</v>
      </c>
      <c r="AF680">
        <v>-5.8020615347479403</v>
      </c>
      <c r="AG680">
        <v>-1.10812111189699</v>
      </c>
      <c r="AH680">
        <v>15.3513875744519</v>
      </c>
      <c r="AI680">
        <v>93.862865366265197</v>
      </c>
      <c r="AJ680">
        <v>110.704100489919</v>
      </c>
      <c r="AK680">
        <v>16.448615470995399</v>
      </c>
    </row>
    <row r="681" spans="1:37" x14ac:dyDescent="0.2">
      <c r="A681" t="str">
        <f>"20200111150542860"</f>
        <v>20200111150542860</v>
      </c>
      <c r="B681" t="str">
        <f>"1578726342856072"</f>
        <v>1578726342856072</v>
      </c>
      <c r="C681" t="s">
        <v>37</v>
      </c>
      <c r="D681">
        <v>4.5534989999999897</v>
      </c>
      <c r="E681">
        <v>0.42150409999999999</v>
      </c>
      <c r="F681" t="s">
        <v>60</v>
      </c>
      <c r="G681">
        <v>-483.54320000000001</v>
      </c>
      <c r="H681" s="1">
        <v>2.8405320000000002E-6</v>
      </c>
      <c r="I681">
        <v>221.6217</v>
      </c>
      <c r="J681">
        <v>-492.50490000000002</v>
      </c>
      <c r="K681">
        <v>1.1082969999999901</v>
      </c>
      <c r="L681">
        <v>235.34379999999999</v>
      </c>
      <c r="M681">
        <v>0.21674189999999999</v>
      </c>
      <c r="N681">
        <v>0</v>
      </c>
      <c r="O681">
        <v>-0.97612679999999996</v>
      </c>
      <c r="P681">
        <v>0.36642909999999901</v>
      </c>
      <c r="Q681">
        <v>0.1010804</v>
      </c>
      <c r="R681">
        <v>-0.92493939999999997</v>
      </c>
      <c r="S681">
        <v>1.6818849999999901</v>
      </c>
      <c r="T681">
        <v>-0.20641770000000001</v>
      </c>
      <c r="U681">
        <v>-2.6061399999999999</v>
      </c>
      <c r="V681">
        <v>-0.158542299999999</v>
      </c>
      <c r="W681">
        <v>0.113119</v>
      </c>
      <c r="X681">
        <v>0.98085089999999997</v>
      </c>
      <c r="Y681">
        <v>-0.34597129999999998</v>
      </c>
      <c r="Z681">
        <v>6.7399810000000004E-2</v>
      </c>
      <c r="AA681">
        <v>0.93582109999999996</v>
      </c>
      <c r="AB681">
        <v>24</v>
      </c>
      <c r="AC681">
        <v>8.9617000000000004</v>
      </c>
      <c r="AD681">
        <v>-1.10829415946799</v>
      </c>
      <c r="AE681">
        <v>-13.7220999999999</v>
      </c>
      <c r="AF681">
        <v>-5.7478927910890203</v>
      </c>
      <c r="AG681">
        <v>-1.10829415946799</v>
      </c>
      <c r="AH681">
        <v>15.268593274619199</v>
      </c>
      <c r="AI681">
        <v>93.886268953976597</v>
      </c>
      <c r="AJ681">
        <v>110.628948159031</v>
      </c>
      <c r="AK681">
        <v>16.352263698568201</v>
      </c>
    </row>
    <row r="682" spans="1:37" x14ac:dyDescent="0.2">
      <c r="A682" t="str">
        <f>"20200111150542879"</f>
        <v>20200111150542879</v>
      </c>
      <c r="B682" t="str">
        <f>"1578726342876568"</f>
        <v>1578726342876568</v>
      </c>
      <c r="C682" t="s">
        <v>37</v>
      </c>
      <c r="D682">
        <v>4.5981750000000003</v>
      </c>
      <c r="E682">
        <v>0.42177479999999901</v>
      </c>
      <c r="F682" t="s">
        <v>60</v>
      </c>
      <c r="G682">
        <v>-483.47829999999999</v>
      </c>
      <c r="H682" s="1">
        <v>2.8163160000000001E-6</v>
      </c>
      <c r="I682">
        <v>221.5643</v>
      </c>
      <c r="J682">
        <v>-492.45569999999998</v>
      </c>
      <c r="K682">
        <v>1.108411</v>
      </c>
      <c r="L682">
        <v>235.1541</v>
      </c>
      <c r="M682">
        <v>0.22277049999999901</v>
      </c>
      <c r="N682">
        <v>0</v>
      </c>
      <c r="O682">
        <v>-0.97476849999999904</v>
      </c>
      <c r="P682">
        <v>0.3727703</v>
      </c>
      <c r="Q682">
        <v>0.10007530000000001</v>
      </c>
      <c r="R682">
        <v>-0.92251130000000003</v>
      </c>
      <c r="S682">
        <v>1.698761</v>
      </c>
      <c r="T682">
        <v>-0.20857519999999999</v>
      </c>
      <c r="U682">
        <v>-2.5932309999999998</v>
      </c>
      <c r="V682">
        <v>-0.1592112</v>
      </c>
      <c r="W682">
        <v>0.112081399999999</v>
      </c>
      <c r="X682">
        <v>0.98086169999999995</v>
      </c>
      <c r="Y682">
        <v>-0.34654049999999997</v>
      </c>
      <c r="Z682">
        <v>6.8122849999999999E-2</v>
      </c>
      <c r="AA682">
        <v>0.93555809999999995</v>
      </c>
      <c r="AB682">
        <v>24</v>
      </c>
      <c r="AC682">
        <v>8.9773999999999798</v>
      </c>
      <c r="AD682">
        <v>-1.1084081836839901</v>
      </c>
      <c r="AE682">
        <v>-13.589799999999901</v>
      </c>
      <c r="AF682">
        <v>-5.69766422830459</v>
      </c>
      <c r="AG682">
        <v>-1.1084081836839901</v>
      </c>
      <c r="AH682">
        <v>15.1780375698076</v>
      </c>
      <c r="AI682">
        <v>93.911149894085895</v>
      </c>
      <c r="AJ682">
        <v>110.575569313833</v>
      </c>
      <c r="AK682">
        <v>16.250069871562101</v>
      </c>
    </row>
    <row r="683" spans="1:37" x14ac:dyDescent="0.2">
      <c r="A683" t="str">
        <f>"20200111150542925"</f>
        <v>20200111150542925</v>
      </c>
      <c r="B683" t="str">
        <f>"1578726342916584"</f>
        <v>1578726342916584</v>
      </c>
      <c r="C683" t="s">
        <v>37</v>
      </c>
      <c r="D683">
        <v>4.4563290000000002</v>
      </c>
      <c r="E683">
        <v>0.44284849999999998</v>
      </c>
      <c r="F683" t="s">
        <v>60</v>
      </c>
      <c r="G683">
        <v>-483.50229999999999</v>
      </c>
      <c r="H683" s="1">
        <v>2.8421389999999999E-6</v>
      </c>
      <c r="I683">
        <v>221.6618</v>
      </c>
      <c r="J683">
        <v>-492.32560000000001</v>
      </c>
      <c r="K683">
        <v>1.108676</v>
      </c>
      <c r="L683">
        <v>234.67670000000001</v>
      </c>
      <c r="M683">
        <v>0.2386172</v>
      </c>
      <c r="N683">
        <v>0</v>
      </c>
      <c r="O683">
        <v>-0.97101009999999999</v>
      </c>
      <c r="P683">
        <v>0.38750800000000002</v>
      </c>
      <c r="Q683">
        <v>9.9077419999999999E-2</v>
      </c>
      <c r="R683">
        <v>-0.91652719999999899</v>
      </c>
      <c r="S683">
        <v>1.71377599999999</v>
      </c>
      <c r="T683">
        <v>-0.212159499999999</v>
      </c>
      <c r="U683">
        <v>-2.5825499999999999</v>
      </c>
      <c r="V683">
        <v>-0.1589911</v>
      </c>
      <c r="W683">
        <v>0.1110313</v>
      </c>
      <c r="X683">
        <v>0.98101679999999902</v>
      </c>
      <c r="Y683">
        <v>-0.33676420000000001</v>
      </c>
      <c r="Z683">
        <v>6.9153099999999995E-2</v>
      </c>
      <c r="AA683">
        <v>0.939046099999999</v>
      </c>
      <c r="AB683">
        <v>24</v>
      </c>
      <c r="AC683">
        <v>8.8233000000000104</v>
      </c>
      <c r="AD683">
        <v>-1.1086731578610001</v>
      </c>
      <c r="AE683">
        <v>-13.014900000000001</v>
      </c>
      <c r="AF683">
        <v>-5.4354613772906104</v>
      </c>
      <c r="AG683">
        <v>-1.1086731578610001</v>
      </c>
      <c r="AH683">
        <v>14.6715337923976</v>
      </c>
      <c r="AI683">
        <v>94.053188508452394</v>
      </c>
      <c r="AJ683">
        <v>110.328493834878</v>
      </c>
      <c r="AK683">
        <v>15.6852574214274</v>
      </c>
    </row>
    <row r="684" spans="1:37" x14ac:dyDescent="0.2">
      <c r="A684" t="str">
        <f>"20200111150542950"</f>
        <v>20200111150542950</v>
      </c>
      <c r="B684" t="str">
        <f>"1578726342945864"</f>
        <v>1578726342945864</v>
      </c>
      <c r="C684" t="s">
        <v>37</v>
      </c>
      <c r="D684">
        <v>4.3389720000000001</v>
      </c>
      <c r="E684">
        <v>0.44266729999999999</v>
      </c>
      <c r="F684" t="s">
        <v>60</v>
      </c>
      <c r="G684">
        <v>-485.327</v>
      </c>
      <c r="H684" s="1">
        <v>3.6206259999999898E-6</v>
      </c>
      <c r="I684">
        <v>223.2073</v>
      </c>
      <c r="J684">
        <v>-492.25470000000001</v>
      </c>
      <c r="K684">
        <v>1.1088089999999999</v>
      </c>
      <c r="L684">
        <v>234.43</v>
      </c>
      <c r="M684">
        <v>0.247186499999999</v>
      </c>
      <c r="N684">
        <v>0</v>
      </c>
      <c r="O684">
        <v>-0.968863699999999</v>
      </c>
      <c r="P684">
        <v>0.39559759999999899</v>
      </c>
      <c r="Q684">
        <v>9.8948720000000004E-2</v>
      </c>
      <c r="R684">
        <v>-0.913078099999999</v>
      </c>
      <c r="S684">
        <v>1.601013</v>
      </c>
      <c r="T684">
        <v>-0.25362119999999999</v>
      </c>
      <c r="U684">
        <v>-2.6237490000000001</v>
      </c>
      <c r="V684">
        <v>-0.15903029999999899</v>
      </c>
      <c r="W684">
        <v>0.1108763</v>
      </c>
      <c r="X684">
        <v>0.98102800000000001</v>
      </c>
      <c r="Y684">
        <v>-0.29186580000000001</v>
      </c>
      <c r="Z684">
        <v>8.2730139999999994E-2</v>
      </c>
      <c r="AA684">
        <v>0.95287469999999996</v>
      </c>
      <c r="AB684">
        <v>24</v>
      </c>
      <c r="AC684">
        <v>6.9277000000000104</v>
      </c>
      <c r="AD684">
        <v>-1.108805379374</v>
      </c>
      <c r="AE684">
        <v>-11.2227</v>
      </c>
      <c r="AF684">
        <v>-3.91065372891976</v>
      </c>
      <c r="AG684">
        <v>-1.108805379374</v>
      </c>
      <c r="AH684">
        <v>12.4986294264235</v>
      </c>
      <c r="AI684">
        <v>94.839494891969395</v>
      </c>
      <c r="AJ684">
        <v>107.374202536757</v>
      </c>
      <c r="AK684">
        <v>13.142998116712199</v>
      </c>
    </row>
    <row r="685" spans="1:37" x14ac:dyDescent="0.2">
      <c r="A685" t="str">
        <f>"20200111150542968"</f>
        <v>20200111150542968</v>
      </c>
      <c r="B685" t="str">
        <f>"1578726342966360"</f>
        <v>1578726342966360</v>
      </c>
      <c r="C685" t="s">
        <v>37</v>
      </c>
      <c r="D685">
        <v>4.4578610000000003</v>
      </c>
      <c r="E685">
        <v>0.44089319999999999</v>
      </c>
      <c r="F685" t="s">
        <v>60</v>
      </c>
      <c r="G685">
        <v>-485.1848</v>
      </c>
      <c r="H685" s="1">
        <v>3.54839099999999E-6</v>
      </c>
      <c r="I685">
        <v>223.07589999999999</v>
      </c>
      <c r="J685">
        <v>-492.20069999999998</v>
      </c>
      <c r="K685">
        <v>1.1089059999999999</v>
      </c>
      <c r="L685">
        <v>234.24870000000001</v>
      </c>
      <c r="M685">
        <v>0.25367060000000002</v>
      </c>
      <c r="N685">
        <v>0</v>
      </c>
      <c r="O685">
        <v>-0.96718609999999905</v>
      </c>
      <c r="P685">
        <v>0.40095619999999998</v>
      </c>
      <c r="Q685">
        <v>9.8507399999999995E-2</v>
      </c>
      <c r="R685">
        <v>-0.91078579999999998</v>
      </c>
      <c r="S685">
        <v>1.624725</v>
      </c>
      <c r="T685">
        <v>-0.25481429999999999</v>
      </c>
      <c r="U685">
        <v>-2.609283</v>
      </c>
      <c r="V685">
        <v>-0.15823209999999999</v>
      </c>
      <c r="W685">
        <v>0.110430399999999</v>
      </c>
      <c r="X685">
        <v>0.9812073</v>
      </c>
      <c r="Y685">
        <v>-0.29405480000000001</v>
      </c>
      <c r="Z685">
        <v>8.3079879999999995E-2</v>
      </c>
      <c r="AA685">
        <v>0.95217099999999899</v>
      </c>
      <c r="AB685">
        <v>24</v>
      </c>
      <c r="AC685">
        <v>7.0158999999999798</v>
      </c>
      <c r="AD685">
        <v>-1.108902451609</v>
      </c>
      <c r="AE685">
        <v>-11.172800000000001</v>
      </c>
      <c r="AF685">
        <v>-3.9241463426123402</v>
      </c>
      <c r="AG685">
        <v>-1.108902451609</v>
      </c>
      <c r="AH685">
        <v>12.498875053931499</v>
      </c>
      <c r="AI685">
        <v>94.838346612067994</v>
      </c>
      <c r="AJ685">
        <v>107.430200472797</v>
      </c>
      <c r="AK685">
        <v>13.147260808975201</v>
      </c>
    </row>
    <row r="686" spans="1:37" x14ac:dyDescent="0.2">
      <c r="A686" t="str">
        <f>"20200111150542991"</f>
        <v>20200111150542991</v>
      </c>
      <c r="B686" t="str">
        <f>"1578726342985881"</f>
        <v>1578726342985881</v>
      </c>
      <c r="C686" t="s">
        <v>37</v>
      </c>
      <c r="D686">
        <v>4.3509409999999997</v>
      </c>
      <c r="E686">
        <v>0.40666790000000003</v>
      </c>
      <c r="F686" t="s">
        <v>60</v>
      </c>
      <c r="G686">
        <v>-485.23840000000001</v>
      </c>
      <c r="H686" s="1">
        <v>3.6353569999999998E-6</v>
      </c>
      <c r="I686">
        <v>223.31819999999999</v>
      </c>
      <c r="J686">
        <v>-492.13139999999999</v>
      </c>
      <c r="K686">
        <v>1.1090359999999999</v>
      </c>
      <c r="L686">
        <v>234.0224</v>
      </c>
      <c r="M686">
        <v>0.2619534</v>
      </c>
      <c r="N686">
        <v>0</v>
      </c>
      <c r="O686">
        <v>-0.96497540000000004</v>
      </c>
      <c r="P686">
        <v>0.4079816</v>
      </c>
      <c r="Q686">
        <v>9.866395E-2</v>
      </c>
      <c r="R686">
        <v>-0.90764349999999905</v>
      </c>
      <c r="S686">
        <v>1.6527400000000001</v>
      </c>
      <c r="T686">
        <v>-0.26323489999999999</v>
      </c>
      <c r="U686">
        <v>-2.5947110000000002</v>
      </c>
      <c r="V686">
        <v>-0.15744069999999999</v>
      </c>
      <c r="W686">
        <v>0.1105759</v>
      </c>
      <c r="X686">
        <v>0.98131819999999903</v>
      </c>
      <c r="Y686">
        <v>-0.29548550000000001</v>
      </c>
      <c r="Z686">
        <v>8.5670469999999999E-2</v>
      </c>
      <c r="AA686">
        <v>0.95149819999999996</v>
      </c>
      <c r="AB686">
        <v>24</v>
      </c>
      <c r="AC686">
        <v>6.8929999999999696</v>
      </c>
      <c r="AD686">
        <v>-1.109032364643</v>
      </c>
      <c r="AE686">
        <v>-10.7042</v>
      </c>
      <c r="AF686">
        <v>-3.81898603699215</v>
      </c>
      <c r="AG686">
        <v>-1.109032364643</v>
      </c>
      <c r="AH686">
        <v>12.0447708362003</v>
      </c>
      <c r="AI686">
        <v>95.015979128776905</v>
      </c>
      <c r="AJ686">
        <v>107.592045738496</v>
      </c>
      <c r="AK686">
        <v>12.6842860119578</v>
      </c>
    </row>
    <row r="687" spans="1:37" x14ac:dyDescent="0.2">
      <c r="A687" t="str">
        <f>"20200111150543016"</f>
        <v>20200111150543016</v>
      </c>
      <c r="B687" t="str">
        <f>"1578726343006377"</f>
        <v>1578726343006377</v>
      </c>
      <c r="C687" t="s">
        <v>37</v>
      </c>
      <c r="D687">
        <v>4.3262589999999896</v>
      </c>
      <c r="E687">
        <v>0.40734540000000002</v>
      </c>
      <c r="F687" t="s">
        <v>60</v>
      </c>
      <c r="G687">
        <v>-480.15010000000001</v>
      </c>
      <c r="H687" s="1">
        <v>1.7528489999999901E-6</v>
      </c>
      <c r="I687">
        <v>218.64619999999999</v>
      </c>
      <c r="J687">
        <v>-492.05419999999998</v>
      </c>
      <c r="K687">
        <v>1.1091759999999999</v>
      </c>
      <c r="L687">
        <v>233.77969999999999</v>
      </c>
      <c r="M687">
        <v>0.27109329999999998</v>
      </c>
      <c r="N687">
        <v>0</v>
      </c>
      <c r="O687">
        <v>-0.96244699999999905</v>
      </c>
      <c r="P687">
        <v>0.41619060000000002</v>
      </c>
      <c r="Q687">
        <v>9.8972699999999997E-2</v>
      </c>
      <c r="R687">
        <v>-0.90387489999999904</v>
      </c>
      <c r="S687">
        <v>1.918579</v>
      </c>
      <c r="T687">
        <v>-0.1775901</v>
      </c>
      <c r="U687">
        <v>-2.462189</v>
      </c>
      <c r="V687">
        <v>-0.15707760000000001</v>
      </c>
      <c r="W687">
        <v>0.1108664</v>
      </c>
      <c r="X687">
        <v>0.98134359999999998</v>
      </c>
      <c r="Y687">
        <v>-0.376718099999999</v>
      </c>
      <c r="Z687">
        <v>5.7692710000000001E-2</v>
      </c>
      <c r="AA687">
        <v>0.92452969999999901</v>
      </c>
      <c r="AB687">
        <v>24</v>
      </c>
      <c r="AC687">
        <v>11.9040999999999</v>
      </c>
      <c r="AD687">
        <v>-1.109174247151</v>
      </c>
      <c r="AE687">
        <v>-15.1334999999999</v>
      </c>
      <c r="AF687">
        <v>-7.3308983066017799</v>
      </c>
      <c r="AG687">
        <v>-1.109174247151</v>
      </c>
      <c r="AH687">
        <v>17.735275808473201</v>
      </c>
      <c r="AI687">
        <v>93.307875998182595</v>
      </c>
      <c r="AJ687">
        <v>112.457815428855</v>
      </c>
      <c r="AK687">
        <v>19.222703906966299</v>
      </c>
    </row>
    <row r="688" spans="1:37" x14ac:dyDescent="0.2">
      <c r="A688" t="str">
        <f>"20200111150543035"</f>
        <v>20200111150543035</v>
      </c>
      <c r="B688" t="str">
        <f>"1578726343025897"</f>
        <v>1578726343025897</v>
      </c>
      <c r="C688" t="s">
        <v>37</v>
      </c>
      <c r="D688">
        <v>4.2018500000000003</v>
      </c>
      <c r="E688">
        <v>0.40822649999999999</v>
      </c>
      <c r="F688" t="s">
        <v>60</v>
      </c>
      <c r="G688">
        <v>-479.59899999999999</v>
      </c>
      <c r="H688" s="1">
        <v>1.85104E-6</v>
      </c>
      <c r="I688">
        <v>218.0333</v>
      </c>
      <c r="J688">
        <v>-491.98930000000001</v>
      </c>
      <c r="K688">
        <v>1.1092819999999901</v>
      </c>
      <c r="L688">
        <v>233.58179999999999</v>
      </c>
      <c r="M688">
        <v>0.27871209999999902</v>
      </c>
      <c r="N688">
        <v>0</v>
      </c>
      <c r="O688">
        <v>-0.96026809999999996</v>
      </c>
      <c r="P688">
        <v>0.42343890000000001</v>
      </c>
      <c r="Q688">
        <v>9.9380369999999996E-2</v>
      </c>
      <c r="R688">
        <v>-0.90045750000000002</v>
      </c>
      <c r="S688">
        <v>1.9353639999999901</v>
      </c>
      <c r="T688">
        <v>-0.17235039999999999</v>
      </c>
      <c r="U688">
        <v>-2.4467620000000001</v>
      </c>
      <c r="V688">
        <v>-0.15723119999999999</v>
      </c>
      <c r="W688">
        <v>0.11125450000000001</v>
      </c>
      <c r="X688">
        <v>0.98127509999999996</v>
      </c>
      <c r="Y688">
        <v>-0.37617390000000001</v>
      </c>
      <c r="Z688">
        <v>5.5984630000000001E-2</v>
      </c>
      <c r="AA688">
        <v>0.92485620000000002</v>
      </c>
      <c r="AB688">
        <v>24</v>
      </c>
      <c r="AC688">
        <v>12.3903</v>
      </c>
      <c r="AD688">
        <v>-1.1092801489599999</v>
      </c>
      <c r="AE688">
        <v>-15.548499999999899</v>
      </c>
      <c r="AF688">
        <v>-7.5417515834320099</v>
      </c>
      <c r="AG688">
        <v>-1.1092801489599999</v>
      </c>
      <c r="AH688">
        <v>18.328879091190402</v>
      </c>
      <c r="AI688">
        <v>93.203398774599194</v>
      </c>
      <c r="AJ688">
        <v>112.365609695177</v>
      </c>
      <c r="AK688">
        <v>19.850852075781301</v>
      </c>
    </row>
    <row r="689" spans="1:37" x14ac:dyDescent="0.2">
      <c r="A689" t="str">
        <f>"20200111150543058"</f>
        <v>20200111150543058</v>
      </c>
      <c r="B689" t="str">
        <f>"1578726343046396"</f>
        <v>1578726343046396</v>
      </c>
      <c r="C689" t="s">
        <v>37</v>
      </c>
      <c r="D689">
        <v>4.3459329999999996</v>
      </c>
      <c r="E689">
        <v>0.40900690000000001</v>
      </c>
      <c r="F689" t="s">
        <v>60</v>
      </c>
      <c r="G689">
        <v>-479.2131</v>
      </c>
      <c r="H689" s="1">
        <v>2.0039380000000002E-6</v>
      </c>
      <c r="I689">
        <v>217.6164</v>
      </c>
      <c r="J689">
        <v>-491.9151</v>
      </c>
      <c r="K689">
        <v>1.1093759999999999</v>
      </c>
      <c r="L689">
        <v>233.3631</v>
      </c>
      <c r="M689">
        <v>0.2872982</v>
      </c>
      <c r="N689">
        <v>0</v>
      </c>
      <c r="O689">
        <v>-0.95773399999999997</v>
      </c>
      <c r="P689">
        <v>0.43140400000000001</v>
      </c>
      <c r="Q689">
        <v>9.9945510000000001E-2</v>
      </c>
      <c r="R689">
        <v>-0.89660589999999996</v>
      </c>
      <c r="S689">
        <v>1.9479979999999999</v>
      </c>
      <c r="T689">
        <v>-0.16913399999999901</v>
      </c>
      <c r="U689">
        <v>-2.43427999999999</v>
      </c>
      <c r="V689">
        <v>-0.15719520000000001</v>
      </c>
      <c r="W689">
        <v>0.11180799999999901</v>
      </c>
      <c r="X689">
        <v>0.98121789999999998</v>
      </c>
      <c r="Y689">
        <v>-0.3731526</v>
      </c>
      <c r="Z689">
        <v>5.4903609999999999E-2</v>
      </c>
      <c r="AA689">
        <v>0.92614399999999997</v>
      </c>
      <c r="AB689">
        <v>24</v>
      </c>
      <c r="AC689">
        <v>12.7019999999999</v>
      </c>
      <c r="AD689">
        <v>-1.1093739960619999</v>
      </c>
      <c r="AE689">
        <v>-15.746700000000001</v>
      </c>
      <c r="AF689">
        <v>-7.6190139015392901</v>
      </c>
      <c r="AG689">
        <v>-1.1093739960619999</v>
      </c>
      <c r="AH689">
        <v>18.676178092876501</v>
      </c>
      <c r="AI689">
        <v>93.148086443811806</v>
      </c>
      <c r="AJ689">
        <v>112.19317987237901</v>
      </c>
      <c r="AK689">
        <v>20.2009829377639</v>
      </c>
    </row>
    <row r="690" spans="1:37" x14ac:dyDescent="0.2">
      <c r="A690" t="str">
        <f>"20200111150543084"</f>
        <v>20200111150543084</v>
      </c>
      <c r="B690" t="str">
        <f>"1578726343076649"</f>
        <v>1578726343076649</v>
      </c>
      <c r="C690" t="s">
        <v>37</v>
      </c>
      <c r="D690">
        <v>4.3182679999999998</v>
      </c>
      <c r="E690">
        <v>0.41061540000000002</v>
      </c>
      <c r="F690" t="s">
        <v>60</v>
      </c>
      <c r="G690">
        <v>-479.00209999999998</v>
      </c>
      <c r="H690" s="1">
        <v>2.0901239999999999E-6</v>
      </c>
      <c r="I690">
        <v>217.44669999999999</v>
      </c>
      <c r="J690">
        <v>-491.8252</v>
      </c>
      <c r="K690">
        <v>1.1094629999999901</v>
      </c>
      <c r="L690">
        <v>233.10679999999999</v>
      </c>
      <c r="M690">
        <v>0.29754159999999902</v>
      </c>
      <c r="N690">
        <v>0</v>
      </c>
      <c r="O690">
        <v>-0.95460100000000003</v>
      </c>
      <c r="P690">
        <v>0.44041209999999997</v>
      </c>
      <c r="Q690">
        <v>0.10049619999999999</v>
      </c>
      <c r="R690">
        <v>-0.89215370000000005</v>
      </c>
      <c r="S690">
        <v>1.963379</v>
      </c>
      <c r="T690">
        <v>-0.1686761</v>
      </c>
      <c r="U690">
        <v>-2.420013</v>
      </c>
      <c r="V690">
        <v>-0.15661410000000001</v>
      </c>
      <c r="W690">
        <v>0.112360899999999</v>
      </c>
      <c r="X690">
        <v>0.98124769999999994</v>
      </c>
      <c r="Y690">
        <v>-0.36943779999999998</v>
      </c>
      <c r="Z690">
        <v>5.4685730000000002E-2</v>
      </c>
      <c r="AA690">
        <v>0.92764500000000005</v>
      </c>
      <c r="AB690">
        <v>24</v>
      </c>
      <c r="AC690">
        <v>12.8231</v>
      </c>
      <c r="AD690">
        <v>-1.10946090987599</v>
      </c>
      <c r="AE690">
        <v>-15.6601</v>
      </c>
      <c r="AF690">
        <v>-7.5594802562939201</v>
      </c>
      <c r="AG690">
        <v>-1.10946090987599</v>
      </c>
      <c r="AH690">
        <v>18.710267976526101</v>
      </c>
      <c r="AI690">
        <v>93.146901495484499</v>
      </c>
      <c r="AJ690">
        <v>112.000108727276</v>
      </c>
      <c r="AK690">
        <v>20.2101650910936</v>
      </c>
    </row>
    <row r="691" spans="1:37" x14ac:dyDescent="0.2">
      <c r="A691" t="str">
        <f>"20200111150543103"</f>
        <v>20200111150543103</v>
      </c>
      <c r="B691" t="str">
        <f>"1578726343096168"</f>
        <v>1578726343096168</v>
      </c>
      <c r="C691" t="s">
        <v>37</v>
      </c>
      <c r="D691">
        <v>4.2606000000000002</v>
      </c>
      <c r="E691">
        <v>0.4118272</v>
      </c>
      <c r="F691" t="s">
        <v>60</v>
      </c>
      <c r="G691">
        <v>-478.97590000000002</v>
      </c>
      <c r="H691" s="1">
        <v>2.102156E-6</v>
      </c>
      <c r="I691">
        <v>217.45679999999999</v>
      </c>
      <c r="J691">
        <v>-491.75720000000001</v>
      </c>
      <c r="K691">
        <v>1.1095090000000001</v>
      </c>
      <c r="L691">
        <v>232.91890000000001</v>
      </c>
      <c r="M691">
        <v>0.30516759999999998</v>
      </c>
      <c r="N691">
        <v>0</v>
      </c>
      <c r="O691">
        <v>-0.95219019999999999</v>
      </c>
      <c r="P691">
        <v>0.44687199999999999</v>
      </c>
      <c r="Q691">
        <v>0.1005404</v>
      </c>
      <c r="R691">
        <v>-0.88893049999999996</v>
      </c>
      <c r="S691">
        <v>1.97583</v>
      </c>
      <c r="T691">
        <v>-0.17060159999999999</v>
      </c>
      <c r="U691">
        <v>-2.4064939999999999</v>
      </c>
      <c r="V691">
        <v>-0.15589720000000001</v>
      </c>
      <c r="W691">
        <v>0.1124154</v>
      </c>
      <c r="X691">
        <v>0.98135559999999999</v>
      </c>
      <c r="Y691">
        <v>-0.367401599999999</v>
      </c>
      <c r="Z691">
        <v>5.5283640000000002E-2</v>
      </c>
      <c r="AA691">
        <v>0.92841790000000002</v>
      </c>
      <c r="AB691">
        <v>24</v>
      </c>
      <c r="AC691">
        <v>12.7812999999999</v>
      </c>
      <c r="AD691">
        <v>-1.1095068978439999</v>
      </c>
      <c r="AE691">
        <v>-15.4621</v>
      </c>
      <c r="AF691">
        <v>-7.4297397824806897</v>
      </c>
      <c r="AG691">
        <v>-1.1095068978439999</v>
      </c>
      <c r="AH691">
        <v>18.5684240663672</v>
      </c>
      <c r="AI691">
        <v>93.175298394802695</v>
      </c>
      <c r="AJ691">
        <v>111.807713939181</v>
      </c>
      <c r="AK691">
        <v>20.030437117052202</v>
      </c>
    </row>
    <row r="692" spans="1:37" x14ac:dyDescent="0.2">
      <c r="A692" t="str">
        <f>"20200111150543127"</f>
        <v>20200111150543127</v>
      </c>
      <c r="B692" t="str">
        <f>"1578726343116664"</f>
        <v>1578726343116664</v>
      </c>
      <c r="C692" t="s">
        <v>37</v>
      </c>
      <c r="D692">
        <v>4.3508519999999997</v>
      </c>
      <c r="E692">
        <v>0.41275020000000001</v>
      </c>
      <c r="F692" t="s">
        <v>60</v>
      </c>
      <c r="G692">
        <v>-478.89980000000003</v>
      </c>
      <c r="H692" s="1">
        <v>2.1328869999999998E-6</v>
      </c>
      <c r="I692">
        <v>217.38740000000001</v>
      </c>
      <c r="J692">
        <v>-491.67230000000001</v>
      </c>
      <c r="K692">
        <v>1.109548</v>
      </c>
      <c r="L692">
        <v>232.6908</v>
      </c>
      <c r="M692">
        <v>0.31453239999999999</v>
      </c>
      <c r="N692">
        <v>0</v>
      </c>
      <c r="O692">
        <v>-0.94913789999999998</v>
      </c>
      <c r="P692">
        <v>0.45570859999999902</v>
      </c>
      <c r="Q692">
        <v>9.9439620000000006E-2</v>
      </c>
      <c r="R692">
        <v>-0.88455790000000001</v>
      </c>
      <c r="S692">
        <v>1.9841310000000001</v>
      </c>
      <c r="T692">
        <v>-0.17121649999999999</v>
      </c>
      <c r="U692">
        <v>-2.3967900000000002</v>
      </c>
      <c r="V692">
        <v>-0.1559671</v>
      </c>
      <c r="W692">
        <v>0.1113166</v>
      </c>
      <c r="X692">
        <v>0.98146979999999995</v>
      </c>
      <c r="Y692">
        <v>-0.36198179999999902</v>
      </c>
      <c r="Z692">
        <v>5.5399999999999998E-2</v>
      </c>
      <c r="AA692">
        <v>0.93053750000000002</v>
      </c>
      <c r="AB692">
        <v>24</v>
      </c>
      <c r="AC692">
        <v>12.7724999999999</v>
      </c>
      <c r="AD692">
        <v>-1.1095458671130001</v>
      </c>
      <c r="AE692">
        <v>-15.3033999999999</v>
      </c>
      <c r="AF692">
        <v>-7.2876239242900498</v>
      </c>
      <c r="AG692">
        <v>-1.1095458671130001</v>
      </c>
      <c r="AH692">
        <v>18.487037552327902</v>
      </c>
      <c r="AI692">
        <v>93.195836827716704</v>
      </c>
      <c r="AJ692">
        <v>111.51444933841201</v>
      </c>
      <c r="AK692">
        <v>19.902540339220302</v>
      </c>
    </row>
    <row r="693" spans="1:37" x14ac:dyDescent="0.2">
      <c r="A693" t="str">
        <f>"20200111150543148"</f>
        <v>20200111150543148</v>
      </c>
      <c r="B693" t="str">
        <f>"1578726343146452"</f>
        <v>1578726343146452</v>
      </c>
      <c r="C693" t="s">
        <v>37</v>
      </c>
      <c r="D693">
        <v>4.3084439999999997</v>
      </c>
      <c r="E693">
        <v>0.41388839999999999</v>
      </c>
      <c r="F693" t="s">
        <v>60</v>
      </c>
      <c r="G693">
        <v>-478.7996</v>
      </c>
      <c r="H693" s="1">
        <v>2.1767010000000001E-6</v>
      </c>
      <c r="I693">
        <v>217.3733</v>
      </c>
      <c r="J693">
        <v>-491.59190000000001</v>
      </c>
      <c r="K693">
        <v>1.109569</v>
      </c>
      <c r="L693">
        <v>232.4811</v>
      </c>
      <c r="M693">
        <v>0.32322319999999999</v>
      </c>
      <c r="N693">
        <v>0</v>
      </c>
      <c r="O693">
        <v>-0.94621309999999903</v>
      </c>
      <c r="P693">
        <v>0.46503</v>
      </c>
      <c r="Q693">
        <v>9.8707699999999995E-2</v>
      </c>
      <c r="R693">
        <v>-0.87977510000000003</v>
      </c>
      <c r="S693">
        <v>2.000397</v>
      </c>
      <c r="T693">
        <v>-0.17242150000000001</v>
      </c>
      <c r="U693">
        <v>-2.3803099999999899</v>
      </c>
      <c r="V693">
        <v>-0.1573107</v>
      </c>
      <c r="W693">
        <v>0.110566899999999</v>
      </c>
      <c r="X693">
        <v>0.98134009999999905</v>
      </c>
      <c r="Y693">
        <v>-0.36031570000000002</v>
      </c>
      <c r="Z693">
        <v>5.57408E-2</v>
      </c>
      <c r="AA693">
        <v>0.93116350000000003</v>
      </c>
      <c r="AB693">
        <v>24</v>
      </c>
      <c r="AC693">
        <v>12.792299999999999</v>
      </c>
      <c r="AD693">
        <v>-1.1095668232989999</v>
      </c>
      <c r="AE693">
        <v>-15.1077999999999</v>
      </c>
      <c r="AF693">
        <v>-7.1991831828317299</v>
      </c>
      <c r="AG693">
        <v>-1.1095668232989999</v>
      </c>
      <c r="AH693">
        <v>18.3741557413334</v>
      </c>
      <c r="AI693">
        <v>93.218103441959599</v>
      </c>
      <c r="AJ693">
        <v>111.395756742351</v>
      </c>
      <c r="AK693">
        <v>19.7653478654465</v>
      </c>
    </row>
    <row r="694" spans="1:37" x14ac:dyDescent="0.2">
      <c r="A694" t="str">
        <f>"20200111150543169"</f>
        <v>20200111150543169</v>
      </c>
      <c r="B694" t="str">
        <f>"1578726343165972"</f>
        <v>1578726343165972</v>
      </c>
      <c r="C694" t="s">
        <v>37</v>
      </c>
      <c r="D694">
        <v>4.3057169999999996</v>
      </c>
      <c r="E694">
        <v>0.41481999999999902</v>
      </c>
      <c r="F694" t="s">
        <v>60</v>
      </c>
      <c r="G694">
        <v>-479.1832</v>
      </c>
      <c r="H694" s="1">
        <v>2.0310990000000001E-6</v>
      </c>
      <c r="I694">
        <v>217.93379999999999</v>
      </c>
      <c r="J694">
        <v>-491.5111</v>
      </c>
      <c r="K694">
        <v>1.109577</v>
      </c>
      <c r="L694">
        <v>232.2765</v>
      </c>
      <c r="M694">
        <v>0.33175179999999999</v>
      </c>
      <c r="N694">
        <v>0</v>
      </c>
      <c r="O694">
        <v>-0.94325639999999999</v>
      </c>
      <c r="P694">
        <v>0.47531879999999999</v>
      </c>
      <c r="Q694">
        <v>9.8240069999999999E-2</v>
      </c>
      <c r="R694">
        <v>-0.87431199999999998</v>
      </c>
      <c r="S694">
        <v>2.0166629999999999</v>
      </c>
      <c r="T694">
        <v>-0.18032709999999999</v>
      </c>
      <c r="U694">
        <v>-2.3642270000000001</v>
      </c>
      <c r="V694">
        <v>-0.15994720000000001</v>
      </c>
      <c r="W694">
        <v>0.1100612</v>
      </c>
      <c r="X694">
        <v>0.98097069999999997</v>
      </c>
      <c r="Y694">
        <v>-0.35863079999999897</v>
      </c>
      <c r="Z694">
        <v>5.8225079999999999E-2</v>
      </c>
      <c r="AA694">
        <v>0.93166179999999998</v>
      </c>
      <c r="AB694">
        <v>23</v>
      </c>
      <c r="AC694">
        <v>12.3279</v>
      </c>
      <c r="AD694">
        <v>-1.1095749689009999</v>
      </c>
      <c r="AE694">
        <v>-14.342700000000001</v>
      </c>
      <c r="AF694">
        <v>-6.8473008449751802</v>
      </c>
      <c r="AG694">
        <v>-1.1095749689009999</v>
      </c>
      <c r="AH694">
        <v>17.5600391318543</v>
      </c>
      <c r="AI694">
        <v>93.369124699434906</v>
      </c>
      <c r="AJ694">
        <v>111.302627422887</v>
      </c>
      <c r="AK694">
        <v>18.880457086242998</v>
      </c>
    </row>
    <row r="695" spans="1:37" x14ac:dyDescent="0.2">
      <c r="A695" t="str">
        <f>"20200111150543193"</f>
        <v>20200111150543193</v>
      </c>
      <c r="B695" t="str">
        <f>"1578726343186468"</f>
        <v>1578726343186468</v>
      </c>
      <c r="C695" t="s">
        <v>37</v>
      </c>
      <c r="D695">
        <v>4.3697629999999998</v>
      </c>
      <c r="E695">
        <v>0.41600229999999999</v>
      </c>
      <c r="F695" t="s">
        <v>60</v>
      </c>
      <c r="G695">
        <v>-479.26870000000002</v>
      </c>
      <c r="H695" s="1">
        <v>2.00416599999999E-6</v>
      </c>
      <c r="I695">
        <v>218.18510000000001</v>
      </c>
      <c r="J695">
        <v>-491.42309999999998</v>
      </c>
      <c r="K695">
        <v>1.109569</v>
      </c>
      <c r="L695">
        <v>232.05930000000001</v>
      </c>
      <c r="M695">
        <v>0.34083989999999997</v>
      </c>
      <c r="N695">
        <v>0</v>
      </c>
      <c r="O695">
        <v>-0.94001049999999997</v>
      </c>
      <c r="P695">
        <v>0.486124</v>
      </c>
      <c r="Q695">
        <v>9.7167799999999999E-2</v>
      </c>
      <c r="R695">
        <v>-0.86847129999999995</v>
      </c>
      <c r="S695">
        <v>2.0369570000000001</v>
      </c>
      <c r="T695">
        <v>-0.18461620000000001</v>
      </c>
      <c r="U695">
        <v>-2.344589</v>
      </c>
      <c r="V695">
        <v>-0.16259109999999999</v>
      </c>
      <c r="W695">
        <v>0.108955</v>
      </c>
      <c r="X695">
        <v>0.98065939999999996</v>
      </c>
      <c r="Y695">
        <v>-0.3580238</v>
      </c>
      <c r="Z695">
        <v>5.9538090000000002E-2</v>
      </c>
      <c r="AA695">
        <v>0.93181229999999904</v>
      </c>
      <c r="AB695">
        <v>23</v>
      </c>
      <c r="AC695">
        <v>12.1543999999999</v>
      </c>
      <c r="AD695">
        <v>-1.109566995834</v>
      </c>
      <c r="AE695">
        <v>-13.8742</v>
      </c>
      <c r="AF695">
        <v>-6.6729337838914802</v>
      </c>
      <c r="AG695">
        <v>-1.109566995834</v>
      </c>
      <c r="AH695">
        <v>17.124422407050599</v>
      </c>
      <c r="AI695">
        <v>93.454906590021096</v>
      </c>
      <c r="AJ695">
        <v>111.28954494622199</v>
      </c>
      <c r="AK695">
        <v>18.412089152987001</v>
      </c>
    </row>
    <row r="696" spans="1:37" x14ac:dyDescent="0.2">
      <c r="A696" t="str">
        <f>"20200111150543214"</f>
        <v>20200111150543214</v>
      </c>
      <c r="B696" t="str">
        <f>"1578726343205988"</f>
        <v>1578726343205988</v>
      </c>
      <c r="C696" t="s">
        <v>37</v>
      </c>
      <c r="D696">
        <v>4.3632589999999896</v>
      </c>
      <c r="E696">
        <v>0.41740680000000002</v>
      </c>
      <c r="F696" t="s">
        <v>60</v>
      </c>
      <c r="G696">
        <v>-479.48329999999999</v>
      </c>
      <c r="H696" s="1">
        <v>1.9259270000000002E-6</v>
      </c>
      <c r="I696">
        <v>218.57299999999901</v>
      </c>
      <c r="J696">
        <v>-491.33569999999997</v>
      </c>
      <c r="K696">
        <v>1.109548</v>
      </c>
      <c r="L696">
        <v>231.85</v>
      </c>
      <c r="M696">
        <v>0.3496185</v>
      </c>
      <c r="N696">
        <v>0</v>
      </c>
      <c r="O696">
        <v>-0.93678090000000003</v>
      </c>
      <c r="P696">
        <v>0.4971759</v>
      </c>
      <c r="Q696">
        <v>9.5628580000000005E-2</v>
      </c>
      <c r="R696">
        <v>-0.86236389999999996</v>
      </c>
      <c r="S696">
        <v>2.0575559999999999</v>
      </c>
      <c r="T696">
        <v>-0.19120970000000001</v>
      </c>
      <c r="U696">
        <v>-2.3240660000000002</v>
      </c>
      <c r="V696">
        <v>-0.16585949999999999</v>
      </c>
      <c r="W696">
        <v>0.1073731</v>
      </c>
      <c r="X696">
        <v>0.98028649999999995</v>
      </c>
      <c r="Y696">
        <v>-0.35791200000000001</v>
      </c>
      <c r="Z696">
        <v>6.1594370000000002E-2</v>
      </c>
      <c r="AA696">
        <v>0.93172160000000004</v>
      </c>
      <c r="AB696">
        <v>23</v>
      </c>
      <c r="AC696">
        <v>11.8523999999999</v>
      </c>
      <c r="AD696">
        <v>-1.1095460740729901</v>
      </c>
      <c r="AE696">
        <v>-13.276999999999999</v>
      </c>
      <c r="AF696">
        <v>-6.4368734856082401</v>
      </c>
      <c r="AG696">
        <v>-1.1095460740729901</v>
      </c>
      <c r="AH696">
        <v>16.518985124674099</v>
      </c>
      <c r="AI696">
        <v>93.581151328784102</v>
      </c>
      <c r="AJ696">
        <v>111.289131118312</v>
      </c>
      <c r="AK696">
        <v>17.7634822686719</v>
      </c>
    </row>
    <row r="697" spans="1:37" x14ac:dyDescent="0.2">
      <c r="A697" t="str">
        <f>"20200111150543238"</f>
        <v>20200111150543238</v>
      </c>
      <c r="B697" t="str">
        <f>"1578726343226484"</f>
        <v>1578726343226484</v>
      </c>
      <c r="C697" t="s">
        <v>37</v>
      </c>
      <c r="D697">
        <v>4.3179210000000001</v>
      </c>
      <c r="E697">
        <v>0.43893219999999999</v>
      </c>
      <c r="F697" t="s">
        <v>60</v>
      </c>
      <c r="G697">
        <v>-480.08920000000001</v>
      </c>
      <c r="H697" s="1">
        <v>1.7737469999999899E-6</v>
      </c>
      <c r="I697">
        <v>219.37119999999999</v>
      </c>
      <c r="J697">
        <v>-491.24180000000001</v>
      </c>
      <c r="K697">
        <v>1.1095120000000001</v>
      </c>
      <c r="L697">
        <v>231.6311</v>
      </c>
      <c r="M697">
        <v>0.35880420000000002</v>
      </c>
      <c r="N697">
        <v>0</v>
      </c>
      <c r="O697">
        <v>-0.93330119999999905</v>
      </c>
      <c r="P697">
        <v>0.50804229999999995</v>
      </c>
      <c r="Q697">
        <v>9.4146750000000001E-2</v>
      </c>
      <c r="R697">
        <v>-0.85617140000000003</v>
      </c>
      <c r="S697">
        <v>2.076721</v>
      </c>
      <c r="T697">
        <v>-0.2048836</v>
      </c>
      <c r="U697">
        <v>-2.30427599999999</v>
      </c>
      <c r="V697">
        <v>-0.16854379999999999</v>
      </c>
      <c r="W697">
        <v>0.1058616</v>
      </c>
      <c r="X697">
        <v>0.979993</v>
      </c>
      <c r="Y697">
        <v>-0.35679640000000001</v>
      </c>
      <c r="Z697">
        <v>6.5893430000000003E-2</v>
      </c>
      <c r="AA697">
        <v>0.93185529999999905</v>
      </c>
      <c r="AB697">
        <v>23</v>
      </c>
      <c r="AC697">
        <v>11.1526</v>
      </c>
      <c r="AD697">
        <v>-1.1095102262530001</v>
      </c>
      <c r="AE697">
        <v>-12.2599</v>
      </c>
      <c r="AF697">
        <v>-5.9836418295880502</v>
      </c>
      <c r="AG697">
        <v>-1.1095102262530001</v>
      </c>
      <c r="AH697">
        <v>15.376478513453099</v>
      </c>
      <c r="AI697">
        <v>93.847021449659394</v>
      </c>
      <c r="AJ697">
        <v>111.263128140503</v>
      </c>
      <c r="AK697">
        <v>16.536960844170899</v>
      </c>
    </row>
    <row r="698" spans="1:37" x14ac:dyDescent="0.2">
      <c r="A698" t="str">
        <f>"20200111150543260"</f>
        <v>20200111150543260</v>
      </c>
      <c r="B698" t="str">
        <f>"1578726343255766"</f>
        <v>1578726343255766</v>
      </c>
      <c r="C698" t="s">
        <v>37</v>
      </c>
      <c r="D698">
        <v>4.3871729999999998</v>
      </c>
      <c r="E698">
        <v>0.43855680000000002</v>
      </c>
      <c r="F698" t="s">
        <v>60</v>
      </c>
      <c r="G698">
        <v>-483.7165</v>
      </c>
      <c r="H698" s="1">
        <v>3.0699419999999999E-6</v>
      </c>
      <c r="I698">
        <v>222.5204</v>
      </c>
      <c r="J698">
        <v>-491.1506</v>
      </c>
      <c r="K698">
        <v>1.109486</v>
      </c>
      <c r="L698">
        <v>231.4238</v>
      </c>
      <c r="M698">
        <v>0.36750859999999902</v>
      </c>
      <c r="N698">
        <v>0</v>
      </c>
      <c r="O698">
        <v>-0.92990799999999996</v>
      </c>
      <c r="P698">
        <v>0.51721790000000001</v>
      </c>
      <c r="Q698">
        <v>9.2753189999999999E-2</v>
      </c>
      <c r="R698">
        <v>-0.85081319999999905</v>
      </c>
      <c r="S698">
        <v>1.9599</v>
      </c>
      <c r="T698">
        <v>-0.28895920000000003</v>
      </c>
      <c r="U698">
        <v>-2.37280299999999</v>
      </c>
      <c r="V698">
        <v>-0.16984189999999999</v>
      </c>
      <c r="W698">
        <v>0.10446179999999999</v>
      </c>
      <c r="X698">
        <v>0.97991909999999904</v>
      </c>
      <c r="Y698">
        <v>-0.30599399999999999</v>
      </c>
      <c r="Z698">
        <v>9.2364970000000005E-2</v>
      </c>
      <c r="AA698">
        <v>0.94754229999999995</v>
      </c>
      <c r="AB698">
        <v>23</v>
      </c>
      <c r="AC698">
        <v>7.4340999999999999</v>
      </c>
      <c r="AD698">
        <v>-1.109482930058</v>
      </c>
      <c r="AE698">
        <v>-8.9033999999999995</v>
      </c>
      <c r="AF698">
        <v>-3.6083180728732001</v>
      </c>
      <c r="AG698">
        <v>-1.109482930058</v>
      </c>
      <c r="AH698">
        <v>10.912739843772201</v>
      </c>
      <c r="AI698">
        <v>95.5136027537757</v>
      </c>
      <c r="AJ698">
        <v>108.29656601194201</v>
      </c>
      <c r="AK698">
        <v>11.547242206906599</v>
      </c>
    </row>
    <row r="699" spans="1:37" x14ac:dyDescent="0.2">
      <c r="A699" t="str">
        <f>"20200111150543293"</f>
        <v>20200111150543293</v>
      </c>
      <c r="B699" t="str">
        <f>"1578726343286021"</f>
        <v>1578726343286021</v>
      </c>
      <c r="C699" t="s">
        <v>37</v>
      </c>
      <c r="D699">
        <v>4.4071150000000001</v>
      </c>
      <c r="E699">
        <v>0.43849269999999901</v>
      </c>
      <c r="F699" t="s">
        <v>60</v>
      </c>
      <c r="G699">
        <v>-483.58539999999999</v>
      </c>
      <c r="H699" s="1">
        <v>3.0388290000000002E-6</v>
      </c>
      <c r="I699">
        <v>222.48480000000001</v>
      </c>
      <c r="J699">
        <v>-491.0111</v>
      </c>
      <c r="K699">
        <v>1.1094539999999999</v>
      </c>
      <c r="L699">
        <v>231.11599999999899</v>
      </c>
      <c r="M699">
        <v>0.3804167</v>
      </c>
      <c r="N699">
        <v>0</v>
      </c>
      <c r="O699">
        <v>-0.92470239999999904</v>
      </c>
      <c r="P699">
        <v>0.52809640000000002</v>
      </c>
      <c r="Q699">
        <v>9.4361340000000002E-2</v>
      </c>
      <c r="R699">
        <v>-0.8439257</v>
      </c>
      <c r="S699">
        <v>1.988159</v>
      </c>
      <c r="T699">
        <v>-0.29157699999999998</v>
      </c>
      <c r="U699">
        <v>-2.3492130000000002</v>
      </c>
      <c r="V699">
        <v>-0.16885810000000001</v>
      </c>
      <c r="W699">
        <v>0.106104399999999</v>
      </c>
      <c r="X699">
        <v>0.97991260000000002</v>
      </c>
      <c r="Y699">
        <v>-0.30404140000000002</v>
      </c>
      <c r="Z699">
        <v>9.2858579999999996E-2</v>
      </c>
      <c r="AA699">
        <v>0.94812240000000003</v>
      </c>
      <c r="AB699">
        <v>23</v>
      </c>
      <c r="AC699">
        <v>7.4257</v>
      </c>
      <c r="AD699">
        <v>-1.1094509611709999</v>
      </c>
      <c r="AE699">
        <v>-8.6311999999999696</v>
      </c>
      <c r="AF699">
        <v>-3.5497796440804099</v>
      </c>
      <c r="AG699">
        <v>-1.1094509611709999</v>
      </c>
      <c r="AH699">
        <v>10.7056320451145</v>
      </c>
      <c r="AI699">
        <v>95.617882889092002</v>
      </c>
      <c r="AJ699">
        <v>108.344518329061</v>
      </c>
      <c r="AK699">
        <v>11.333242009334899</v>
      </c>
    </row>
    <row r="700" spans="1:37" x14ac:dyDescent="0.2">
      <c r="A700" t="str">
        <f>"20200111150543317"</f>
        <v>20200111150543317</v>
      </c>
      <c r="B700" t="str">
        <f>"1578726343306516"</f>
        <v>1578726343306516</v>
      </c>
      <c r="C700" t="s">
        <v>37</v>
      </c>
      <c r="D700">
        <v>4.1902369999999998</v>
      </c>
      <c r="E700">
        <v>0.44001030000000002</v>
      </c>
      <c r="F700" t="s">
        <v>60</v>
      </c>
      <c r="G700">
        <v>-483.1198</v>
      </c>
      <c r="H700" s="1">
        <v>2.8559019999999899E-6</v>
      </c>
      <c r="I700">
        <v>222.03099999999901</v>
      </c>
      <c r="J700">
        <v>-490.90699999999998</v>
      </c>
      <c r="K700">
        <v>1.1094310000000001</v>
      </c>
      <c r="L700">
        <v>230.89420000000001</v>
      </c>
      <c r="M700">
        <v>0.38970969999999999</v>
      </c>
      <c r="N700">
        <v>0</v>
      </c>
      <c r="O700">
        <v>-0.92082439999999999</v>
      </c>
      <c r="P700">
        <v>0.53692289999999998</v>
      </c>
      <c r="Q700">
        <v>9.5435240000000005E-2</v>
      </c>
      <c r="R700">
        <v>-0.83821619999999997</v>
      </c>
      <c r="S700">
        <v>2.0182799999999999</v>
      </c>
      <c r="T700">
        <v>-0.28375250000000002</v>
      </c>
      <c r="U700">
        <v>-2.323563</v>
      </c>
      <c r="V700">
        <v>-0.1693286</v>
      </c>
      <c r="W700">
        <v>0.1071797</v>
      </c>
      <c r="X700">
        <v>0.97971450000000004</v>
      </c>
      <c r="Y700">
        <v>-0.30680400000000002</v>
      </c>
      <c r="Z700">
        <v>9.0213589999999996E-2</v>
      </c>
      <c r="AA700">
        <v>0.94748770000000004</v>
      </c>
      <c r="AB700">
        <v>23</v>
      </c>
      <c r="AC700">
        <v>7.7871999999999799</v>
      </c>
      <c r="AD700">
        <v>-1.1094281440979901</v>
      </c>
      <c r="AE700">
        <v>-8.8632000000000293</v>
      </c>
      <c r="AF700">
        <v>-3.6843781103844302</v>
      </c>
      <c r="AG700">
        <v>-1.1094281440979901</v>
      </c>
      <c r="AH700">
        <v>11.099223580471101</v>
      </c>
      <c r="AI700">
        <v>95.419169758228094</v>
      </c>
      <c r="AJ700">
        <v>108.36354341998501</v>
      </c>
      <c r="AK700">
        <v>11.7472650841156</v>
      </c>
    </row>
    <row r="701" spans="1:37" x14ac:dyDescent="0.2">
      <c r="A701" t="str">
        <f>"20200111150543427"</f>
        <v>20200111150543427</v>
      </c>
      <c r="B701" t="str">
        <f>"1578726343416804"</f>
        <v>1578726343416804</v>
      </c>
      <c r="C701" t="s">
        <v>37</v>
      </c>
      <c r="D701">
        <v>4.5264769999999999</v>
      </c>
      <c r="E701">
        <v>0.39530720000000003</v>
      </c>
      <c r="F701" t="s">
        <v>60</v>
      </c>
      <c r="G701">
        <v>-482.8648</v>
      </c>
      <c r="H701" s="1">
        <v>2.749671E-6</v>
      </c>
      <c r="I701">
        <v>221.7551</v>
      </c>
      <c r="J701">
        <v>-490.4008</v>
      </c>
      <c r="K701">
        <v>1.109316</v>
      </c>
      <c r="L701">
        <v>229.88820000000001</v>
      </c>
      <c r="M701">
        <v>0.43185649999999998</v>
      </c>
      <c r="N701">
        <v>0</v>
      </c>
      <c r="O701">
        <v>-0.90182680000000004</v>
      </c>
      <c r="P701">
        <v>0.57980640000000006</v>
      </c>
      <c r="Q701">
        <v>9.4044589999999997E-2</v>
      </c>
      <c r="R701">
        <v>-0.80930859999999905</v>
      </c>
      <c r="S701">
        <v>2.0321039999999999</v>
      </c>
      <c r="T701">
        <v>-0.28032859999999998</v>
      </c>
      <c r="U701">
        <v>-2.30925</v>
      </c>
      <c r="V701">
        <v>-0.1749095</v>
      </c>
      <c r="W701">
        <v>0.105732199999999</v>
      </c>
      <c r="X701">
        <v>0.97889090000000001</v>
      </c>
      <c r="Y701">
        <v>-0.26883229999999902</v>
      </c>
      <c r="Z701">
        <v>8.7268670000000007E-2</v>
      </c>
      <c r="AA701">
        <v>0.95922540000000001</v>
      </c>
      <c r="AB701">
        <v>23</v>
      </c>
      <c r="AC701">
        <v>7.5359999999999996</v>
      </c>
      <c r="AD701">
        <v>-1.109313250329</v>
      </c>
      <c r="AE701">
        <v>-8.1331000000000095</v>
      </c>
      <c r="AF701">
        <v>-3.2516291114397</v>
      </c>
      <c r="AG701">
        <v>-1.109313250329</v>
      </c>
      <c r="AH701">
        <v>10.485267467984199</v>
      </c>
      <c r="AI701">
        <v>95.770142153567207</v>
      </c>
      <c r="AJ701">
        <v>107.229399419007</v>
      </c>
      <c r="AK701">
        <v>11.0337890881096</v>
      </c>
    </row>
    <row r="702" spans="1:37" x14ac:dyDescent="0.2">
      <c r="A702" t="str">
        <f>"20200111150543449"</f>
        <v>20200111150543449</v>
      </c>
      <c r="B702" t="str">
        <f>"1578726343446084"</f>
        <v>1578726343446084</v>
      </c>
      <c r="C702" t="s">
        <v>37</v>
      </c>
      <c r="D702">
        <v>4.552187</v>
      </c>
      <c r="E702">
        <v>0.38792109999999902</v>
      </c>
      <c r="F702" t="s">
        <v>60</v>
      </c>
      <c r="G702">
        <v>-471.67450000000002</v>
      </c>
      <c r="H702" s="1">
        <v>5.217286E-6</v>
      </c>
      <c r="I702">
        <v>214.64869999999999</v>
      </c>
      <c r="J702">
        <v>-490.29689999999999</v>
      </c>
      <c r="K702">
        <v>1.1093040000000001</v>
      </c>
      <c r="L702">
        <v>229.69499999999999</v>
      </c>
      <c r="M702">
        <v>0.43996279999999999</v>
      </c>
      <c r="N702">
        <v>0</v>
      </c>
      <c r="O702">
        <v>-0.89790009999999998</v>
      </c>
      <c r="P702">
        <v>0.58679099999999995</v>
      </c>
      <c r="Q702">
        <v>9.3427319999999994E-2</v>
      </c>
      <c r="R702">
        <v>-0.80433080000000001</v>
      </c>
      <c r="S702">
        <v>2.4333800000000001</v>
      </c>
      <c r="T702">
        <v>-0.14414869999999999</v>
      </c>
      <c r="U702">
        <v>-1.980286</v>
      </c>
      <c r="V702">
        <v>-0.17452029999999999</v>
      </c>
      <c r="W702">
        <v>0.1051266</v>
      </c>
      <c r="X702">
        <v>0.97902549999999899</v>
      </c>
      <c r="Y702">
        <v>-0.4178907</v>
      </c>
      <c r="Z702">
        <v>4.5645770000000002E-2</v>
      </c>
      <c r="AA702">
        <v>0.90734989999999904</v>
      </c>
      <c r="AB702">
        <v>23</v>
      </c>
      <c r="AC702">
        <v>18.622399999999899</v>
      </c>
      <c r="AD702">
        <v>-1.109298782714</v>
      </c>
      <c r="AE702">
        <v>-15.0463</v>
      </c>
      <c r="AF702">
        <v>-10.0806522916515</v>
      </c>
      <c r="AG702">
        <v>-1.109298782714</v>
      </c>
      <c r="AH702">
        <v>21.6589978995022</v>
      </c>
      <c r="AI702">
        <v>92.658540754985907</v>
      </c>
      <c r="AJ702">
        <v>114.958474638048</v>
      </c>
      <c r="AK702">
        <v>23.915732989501901</v>
      </c>
    </row>
    <row r="703" spans="1:37" x14ac:dyDescent="0.2">
      <c r="A703" t="str">
        <f>"20200111150543472"</f>
        <v>20200111150543472</v>
      </c>
      <c r="B703" t="str">
        <f>"1578726343466580"</f>
        <v>1578726343466580</v>
      </c>
      <c r="C703" t="s">
        <v>37</v>
      </c>
      <c r="D703">
        <v>4.8268339999999998</v>
      </c>
      <c r="E703">
        <v>0.38614499999999902</v>
      </c>
      <c r="F703" t="s">
        <v>60</v>
      </c>
      <c r="G703">
        <v>-472.5652</v>
      </c>
      <c r="H703" s="1">
        <v>4.8826079999999999E-6</v>
      </c>
      <c r="I703">
        <v>216.029</v>
      </c>
      <c r="J703">
        <v>-490.18549999999999</v>
      </c>
      <c r="K703">
        <v>1.109291</v>
      </c>
      <c r="L703">
        <v>229.4924</v>
      </c>
      <c r="M703">
        <v>0.44847100000000001</v>
      </c>
      <c r="N703">
        <v>0</v>
      </c>
      <c r="O703">
        <v>-0.89368099999999995</v>
      </c>
      <c r="P703">
        <v>0.59421829999999998</v>
      </c>
      <c r="Q703">
        <v>9.346931E-2</v>
      </c>
      <c r="R703">
        <v>-0.79885450000000002</v>
      </c>
      <c r="S703">
        <v>2.4982599999999899</v>
      </c>
      <c r="T703">
        <v>-0.1562924</v>
      </c>
      <c r="U703">
        <v>-1.925446</v>
      </c>
      <c r="V703">
        <v>-0.1742911</v>
      </c>
      <c r="W703">
        <v>0.105176399999999</v>
      </c>
      <c r="X703">
        <v>0.97906109999999902</v>
      </c>
      <c r="Y703">
        <v>-0.43307299999999899</v>
      </c>
      <c r="Z703">
        <v>4.929973E-2</v>
      </c>
      <c r="AA703">
        <v>0.90000959999999997</v>
      </c>
      <c r="AB703">
        <v>23</v>
      </c>
      <c r="AC703">
        <v>17.620299999999901</v>
      </c>
      <c r="AD703">
        <v>-1.1092861173919999</v>
      </c>
      <c r="AE703">
        <v>-13.463399999999901</v>
      </c>
      <c r="AF703">
        <v>-9.68575546975047</v>
      </c>
      <c r="AG703">
        <v>-1.1092861173919999</v>
      </c>
      <c r="AH703">
        <v>19.886488583419101</v>
      </c>
      <c r="AI703">
        <v>92.870919481626899</v>
      </c>
      <c r="AJ703">
        <v>115.968493648532</v>
      </c>
      <c r="AK703">
        <v>22.147613932171101</v>
      </c>
    </row>
    <row r="704" spans="1:37" x14ac:dyDescent="0.2">
      <c r="A704" t="str">
        <f>"20200111150543494"</f>
        <v>20200111150543494</v>
      </c>
      <c r="B704" t="str">
        <f>"1578726343486101"</f>
        <v>1578726343486101</v>
      </c>
      <c r="C704" t="s">
        <v>37</v>
      </c>
      <c r="D704">
        <v>4.6352900000000004</v>
      </c>
      <c r="E704">
        <v>0.38581709999999902</v>
      </c>
      <c r="F704" t="s">
        <v>38</v>
      </c>
      <c r="G704">
        <v>-489.36579999999998</v>
      </c>
      <c r="H704">
        <v>1.057455</v>
      </c>
      <c r="I704">
        <v>228.87819999999999</v>
      </c>
      <c r="J704">
        <v>-490.07380000000001</v>
      </c>
      <c r="K704">
        <v>1.1092770000000001</v>
      </c>
      <c r="L704">
        <v>229.29419999999999</v>
      </c>
      <c r="M704">
        <v>0.45680879999999902</v>
      </c>
      <c r="N704">
        <v>0</v>
      </c>
      <c r="O704">
        <v>-0.88944780000000001</v>
      </c>
      <c r="P704">
        <v>0.60172969999999903</v>
      </c>
      <c r="Q704">
        <v>9.4457449999999998E-2</v>
      </c>
      <c r="R704">
        <v>-0.79309490000000005</v>
      </c>
      <c r="S704">
        <v>2.5274049999999999</v>
      </c>
      <c r="T704">
        <v>-0.1598523</v>
      </c>
      <c r="U704">
        <v>-1.8940889999999999</v>
      </c>
      <c r="V704">
        <v>-0.17443649999999999</v>
      </c>
      <c r="W704">
        <v>0.1061646</v>
      </c>
      <c r="X704">
        <v>0.97892849999999998</v>
      </c>
      <c r="Y704">
        <v>-0.436745299999999</v>
      </c>
      <c r="Z704">
        <v>5.0284809999999999E-2</v>
      </c>
      <c r="AA704">
        <v>0.8981787</v>
      </c>
      <c r="AB704">
        <v>23</v>
      </c>
      <c r="AC704">
        <v>0.70800000000002605</v>
      </c>
      <c r="AD704">
        <v>-5.1822E-2</v>
      </c>
      <c r="AE704">
        <v>-0.41599999999999598</v>
      </c>
      <c r="AF704">
        <v>-0.43799803669455101</v>
      </c>
      <c r="AG704">
        <v>-5.1822E-2</v>
      </c>
      <c r="AH704">
        <v>0.690752196288834</v>
      </c>
      <c r="AI704">
        <v>93.625349018926201</v>
      </c>
      <c r="AJ704">
        <v>122.37831481625101</v>
      </c>
      <c r="AK704">
        <v>0.81955255872343502</v>
      </c>
    </row>
    <row r="705" spans="1:37" x14ac:dyDescent="0.2">
      <c r="A705" t="str">
        <f>"20200111150543517"</f>
        <v>20200111150543517</v>
      </c>
      <c r="B705" t="str">
        <f>"1578726343506596"</f>
        <v>1578726343506596</v>
      </c>
      <c r="C705" t="s">
        <v>37</v>
      </c>
      <c r="D705">
        <v>4.6369480000000003</v>
      </c>
      <c r="E705">
        <v>0.3860229</v>
      </c>
      <c r="F705" t="s">
        <v>38</v>
      </c>
      <c r="G705">
        <v>-489.26900000000001</v>
      </c>
      <c r="H705">
        <v>1.058335</v>
      </c>
      <c r="I705">
        <v>228.7037</v>
      </c>
      <c r="J705">
        <v>-489.96409999999997</v>
      </c>
      <c r="K705">
        <v>1.10927</v>
      </c>
      <c r="L705">
        <v>229.1035</v>
      </c>
      <c r="M705">
        <v>0.46483429999999998</v>
      </c>
      <c r="N705">
        <v>0</v>
      </c>
      <c r="O705">
        <v>-0.88528030000000002</v>
      </c>
      <c r="P705">
        <v>0.60893240000000004</v>
      </c>
      <c r="Q705">
        <v>9.5298140000000003E-2</v>
      </c>
      <c r="R705">
        <v>-0.78747730000000005</v>
      </c>
      <c r="S705">
        <v>2.5476679999999998</v>
      </c>
      <c r="T705">
        <v>-0.16123789999999999</v>
      </c>
      <c r="U705">
        <v>-1.8689119999999999</v>
      </c>
      <c r="V705">
        <v>-0.17455879999999999</v>
      </c>
      <c r="W705">
        <v>0.10700519999999999</v>
      </c>
      <c r="X705">
        <v>0.97881509999999905</v>
      </c>
      <c r="Y705">
        <v>-0.43777769999999999</v>
      </c>
      <c r="Z705">
        <v>5.0595510000000003E-2</v>
      </c>
      <c r="AA705">
        <v>0.89765849999999903</v>
      </c>
      <c r="AB705">
        <v>23</v>
      </c>
      <c r="AC705">
        <v>0.69509999999996797</v>
      </c>
      <c r="AD705">
        <v>-5.0934999999999897E-2</v>
      </c>
      <c r="AE705">
        <v>-0.39979999999999899</v>
      </c>
      <c r="AF705">
        <v>-0.42783601055134701</v>
      </c>
      <c r="AG705">
        <v>-5.0934999999999897E-2</v>
      </c>
      <c r="AH705">
        <v>0.67439075071759302</v>
      </c>
      <c r="AI705">
        <v>93.649161308447404</v>
      </c>
      <c r="AJ705">
        <v>122.391194333245</v>
      </c>
      <c r="AK705">
        <v>0.80027552180666595</v>
      </c>
    </row>
    <row r="706" spans="1:37" x14ac:dyDescent="0.2">
      <c r="A706" t="str">
        <f>"20200111150543539"</f>
        <v>20200111150543539</v>
      </c>
      <c r="B706" t="str">
        <f>"1578726343536852"</f>
        <v>1578726343536852</v>
      </c>
      <c r="C706" t="s">
        <v>37</v>
      </c>
      <c r="D706">
        <v>4.7008760000000001</v>
      </c>
      <c r="E706">
        <v>0.38713629999999999</v>
      </c>
      <c r="F706" t="s">
        <v>38</v>
      </c>
      <c r="G706">
        <v>-489.1694</v>
      </c>
      <c r="H706">
        <v>1.059696</v>
      </c>
      <c r="I706">
        <v>228.53129999999999</v>
      </c>
      <c r="J706">
        <v>-489.84660000000002</v>
      </c>
      <c r="K706">
        <v>1.109254</v>
      </c>
      <c r="L706">
        <v>228.90369999999999</v>
      </c>
      <c r="M706">
        <v>0.4732478</v>
      </c>
      <c r="N706">
        <v>0</v>
      </c>
      <c r="O706">
        <v>-0.88081119999999902</v>
      </c>
      <c r="P706">
        <v>0.61601839999999997</v>
      </c>
      <c r="Q706">
        <v>9.6631159999999994E-2</v>
      </c>
      <c r="R706">
        <v>-0.7817828</v>
      </c>
      <c r="S706">
        <v>2.5640869999999998</v>
      </c>
      <c r="T706">
        <v>-0.15994739999999999</v>
      </c>
      <c r="U706">
        <v>-1.846252</v>
      </c>
      <c r="V706">
        <v>-0.17416229999999999</v>
      </c>
      <c r="W706">
        <v>0.10834629999999899</v>
      </c>
      <c r="X706">
        <v>0.9787382</v>
      </c>
      <c r="Y706">
        <v>-0.43718570000000001</v>
      </c>
      <c r="Z706">
        <v>5.0056150000000001E-2</v>
      </c>
      <c r="AA706">
        <v>0.89797719999999903</v>
      </c>
      <c r="AB706">
        <v>23</v>
      </c>
      <c r="AC706">
        <v>0.677200000000027</v>
      </c>
      <c r="AD706">
        <v>-4.9558000000000199E-2</v>
      </c>
      <c r="AE706">
        <v>-0.37239999999999801</v>
      </c>
      <c r="AF706">
        <v>-0.41857046486515398</v>
      </c>
      <c r="AG706">
        <v>-4.9558000000000199E-2</v>
      </c>
      <c r="AH706">
        <v>0.64590905458085901</v>
      </c>
      <c r="AI706">
        <v>93.684086997965807</v>
      </c>
      <c r="AJ706">
        <v>122.94457421151201</v>
      </c>
      <c r="AK706">
        <v>0.77126891303291301</v>
      </c>
    </row>
    <row r="707" spans="1:37" x14ac:dyDescent="0.2">
      <c r="A707" t="str">
        <f>"20200111150543563"</f>
        <v>20200111150543563</v>
      </c>
      <c r="B707" t="str">
        <f>"1578726343556373"</f>
        <v>1578726343556373</v>
      </c>
      <c r="C707" t="s">
        <v>37</v>
      </c>
      <c r="D707">
        <v>4.6527900000000004</v>
      </c>
      <c r="E707">
        <v>0.40886440000000002</v>
      </c>
      <c r="F707" t="s">
        <v>38</v>
      </c>
      <c r="G707">
        <v>-489.04500000000002</v>
      </c>
      <c r="H707">
        <v>1.0600399999999901</v>
      </c>
      <c r="I707">
        <v>228.334</v>
      </c>
      <c r="J707">
        <v>-489.72890000000001</v>
      </c>
      <c r="K707">
        <v>1.1092409999999999</v>
      </c>
      <c r="L707">
        <v>228.70760000000001</v>
      </c>
      <c r="M707">
        <v>0.48151519999999998</v>
      </c>
      <c r="N707">
        <v>0</v>
      </c>
      <c r="O707">
        <v>-0.87631930000000002</v>
      </c>
      <c r="P707">
        <v>0.62354089999999995</v>
      </c>
      <c r="Q707">
        <v>9.7052910000000006E-2</v>
      </c>
      <c r="R707">
        <v>-0.77574339999999997</v>
      </c>
      <c r="S707">
        <v>2.57437099999999</v>
      </c>
      <c r="T707">
        <v>-0.15795490000000001</v>
      </c>
      <c r="U707">
        <v>-1.8284149999999999</v>
      </c>
      <c r="V707">
        <v>-0.17443339999999999</v>
      </c>
      <c r="W707">
        <v>0.1087658</v>
      </c>
      <c r="X707">
        <v>0.97864340000000005</v>
      </c>
      <c r="Y707">
        <v>-0.43458049999999998</v>
      </c>
      <c r="Z707">
        <v>4.929948E-2</v>
      </c>
      <c r="AA707">
        <v>0.89928269999999899</v>
      </c>
      <c r="AB707">
        <v>23</v>
      </c>
      <c r="AC707">
        <v>0.68389999999999396</v>
      </c>
      <c r="AD707">
        <v>-4.9201000000000002E-2</v>
      </c>
      <c r="AE707">
        <v>-0.37360000000000998</v>
      </c>
      <c r="AF707">
        <v>-0.41779884784524901</v>
      </c>
      <c r="AG707">
        <v>-4.9201000000000002E-2</v>
      </c>
      <c r="AH707">
        <v>0.65416176188021402</v>
      </c>
      <c r="AI707">
        <v>93.626964815632405</v>
      </c>
      <c r="AJ707">
        <v>122.565483292956</v>
      </c>
      <c r="AK707">
        <v>0.77775589124611799</v>
      </c>
    </row>
    <row r="708" spans="1:37" x14ac:dyDescent="0.2">
      <c r="A708" t="str">
        <f>"20200111150543584"</f>
        <v>20200111150543584</v>
      </c>
      <c r="B708" t="str">
        <f>"1578726343575894"</f>
        <v>1578726343575894</v>
      </c>
      <c r="C708" t="s">
        <v>37</v>
      </c>
      <c r="D708">
        <v>4.7051419999999897</v>
      </c>
      <c r="E708">
        <v>0.40775600000000001</v>
      </c>
      <c r="F708" t="s">
        <v>60</v>
      </c>
      <c r="G708">
        <v>-479.98419999999999</v>
      </c>
      <c r="H708" s="1">
        <v>2.0922130000000002E-6</v>
      </c>
      <c r="I708">
        <v>221.0925</v>
      </c>
      <c r="J708">
        <v>-489.61630000000002</v>
      </c>
      <c r="K708">
        <v>1.109227</v>
      </c>
      <c r="L708">
        <v>228.5239</v>
      </c>
      <c r="M708">
        <v>0.48926049999999899</v>
      </c>
      <c r="N708">
        <v>0</v>
      </c>
      <c r="O708">
        <v>-0.87201859999999998</v>
      </c>
      <c r="P708">
        <v>0.63062559999999901</v>
      </c>
      <c r="Q708">
        <v>9.728009E-2</v>
      </c>
      <c r="R708">
        <v>-0.76996609999999999</v>
      </c>
      <c r="S708">
        <v>2.4616389999999999</v>
      </c>
      <c r="T708">
        <v>-0.28020879999999998</v>
      </c>
      <c r="U708">
        <v>-1.9236599999999999</v>
      </c>
      <c r="V708">
        <v>-0.17474679999999901</v>
      </c>
      <c r="W708">
        <v>0.1089905</v>
      </c>
      <c r="X708">
        <v>0.9785625</v>
      </c>
      <c r="Y708">
        <v>-0.38256669999999998</v>
      </c>
      <c r="Z708">
        <v>8.6663850000000001E-2</v>
      </c>
      <c r="AA708">
        <v>0.91985439999999996</v>
      </c>
      <c r="AB708">
        <v>23</v>
      </c>
      <c r="AC708">
        <v>9.6321000000000296</v>
      </c>
      <c r="AD708">
        <v>-1.109224907787</v>
      </c>
      <c r="AE708">
        <v>-7.4313999999999902</v>
      </c>
      <c r="AF708">
        <v>-4.7246973178510796</v>
      </c>
      <c r="AG708">
        <v>-1.109224907787</v>
      </c>
      <c r="AH708">
        <v>11.1017962696771</v>
      </c>
      <c r="AI708">
        <v>95.252708071667499</v>
      </c>
      <c r="AJ708">
        <v>113.053611101038</v>
      </c>
      <c r="AK708">
        <v>12.116229820153601</v>
      </c>
    </row>
    <row r="709" spans="1:37" x14ac:dyDescent="0.2">
      <c r="A709" t="str">
        <f>"20200111150543607"</f>
        <v>20200111150543607</v>
      </c>
      <c r="B709" t="str">
        <f>"1578726343596388"</f>
        <v>1578726343596388</v>
      </c>
      <c r="C709" t="s">
        <v>37</v>
      </c>
      <c r="D709">
        <v>4.6766579999999998</v>
      </c>
      <c r="E709">
        <v>0.40763939999999999</v>
      </c>
      <c r="F709" t="s">
        <v>60</v>
      </c>
      <c r="G709">
        <v>-479.09550000000002</v>
      </c>
      <c r="H709" s="1">
        <v>2.2635200000000001E-6</v>
      </c>
      <c r="I709">
        <v>220.50489999999999</v>
      </c>
      <c r="J709">
        <v>-489.4966</v>
      </c>
      <c r="K709">
        <v>1.109219</v>
      </c>
      <c r="L709">
        <v>228.33250000000001</v>
      </c>
      <c r="M709">
        <v>0.49733729999999998</v>
      </c>
      <c r="N709">
        <v>0</v>
      </c>
      <c r="O709">
        <v>-0.86743760000000003</v>
      </c>
      <c r="P709">
        <v>0.63808920000000002</v>
      </c>
      <c r="Q709">
        <v>9.7263840000000004E-2</v>
      </c>
      <c r="R709">
        <v>-0.7637948</v>
      </c>
      <c r="S709">
        <v>2.484985</v>
      </c>
      <c r="T709">
        <v>-0.26199420000000001</v>
      </c>
      <c r="U709">
        <v>-1.894058</v>
      </c>
      <c r="V709">
        <v>-0.17517839999999901</v>
      </c>
      <c r="W709">
        <v>0.108969699999999</v>
      </c>
      <c r="X709">
        <v>0.97848769999999996</v>
      </c>
      <c r="Y709">
        <v>-0.38551809999999997</v>
      </c>
      <c r="Z709">
        <v>8.0875429999999998E-2</v>
      </c>
      <c r="AA709">
        <v>0.91914899999999999</v>
      </c>
      <c r="AB709">
        <v>23</v>
      </c>
      <c r="AC709">
        <v>10.4010999999999</v>
      </c>
      <c r="AD709">
        <v>-1.1092167364799901</v>
      </c>
      <c r="AE709">
        <v>-7.8276000000000101</v>
      </c>
      <c r="AF709">
        <v>-5.09290212884253</v>
      </c>
      <c r="AG709">
        <v>-1.1092167364799901</v>
      </c>
      <c r="AH709">
        <v>11.8778099921348</v>
      </c>
      <c r="AI709">
        <v>94.905595657862605</v>
      </c>
      <c r="AJ709">
        <v>113.208419834636</v>
      </c>
      <c r="AK709">
        <v>12.9711365759409</v>
      </c>
    </row>
    <row r="710" spans="1:37" x14ac:dyDescent="0.2">
      <c r="A710" t="str">
        <f>"20200111150543630"</f>
        <v>20200111150543630</v>
      </c>
      <c r="B710" t="str">
        <f>"1578726343626644"</f>
        <v>1578726343626644</v>
      </c>
      <c r="C710" t="s">
        <v>37</v>
      </c>
      <c r="D710">
        <v>4.7133659999999997</v>
      </c>
      <c r="E710">
        <v>0.40720669999999998</v>
      </c>
      <c r="F710" t="s">
        <v>60</v>
      </c>
      <c r="G710">
        <v>-478.52910000000003</v>
      </c>
      <c r="H710" s="1">
        <v>2.4652269999999998E-6</v>
      </c>
      <c r="I710">
        <v>220.1491</v>
      </c>
      <c r="J710">
        <v>-489.37270000000001</v>
      </c>
      <c r="K710">
        <v>1.109205</v>
      </c>
      <c r="L710">
        <v>228.13829999999999</v>
      </c>
      <c r="M710">
        <v>0.50553499999999996</v>
      </c>
      <c r="N710">
        <v>0</v>
      </c>
      <c r="O710">
        <v>-0.86268609999999901</v>
      </c>
      <c r="P710">
        <v>0.64565620000000001</v>
      </c>
      <c r="Q710">
        <v>9.756186E-2</v>
      </c>
      <c r="R710">
        <v>-0.75737049999999995</v>
      </c>
      <c r="S710">
        <v>2.5038149999999999</v>
      </c>
      <c r="T710">
        <v>-0.25322699999999998</v>
      </c>
      <c r="U710">
        <v>-1.868225</v>
      </c>
      <c r="V710">
        <v>-0.17566019999999999</v>
      </c>
      <c r="W710">
        <v>0.1092631</v>
      </c>
      <c r="X710">
        <v>0.97836859999999903</v>
      </c>
      <c r="Y710">
        <v>-0.3863856</v>
      </c>
      <c r="Z710">
        <v>7.7966679999999997E-2</v>
      </c>
      <c r="AA710">
        <v>0.91903609999999902</v>
      </c>
      <c r="AB710">
        <v>23</v>
      </c>
      <c r="AC710">
        <v>10.843599999999901</v>
      </c>
      <c r="AD710">
        <v>-1.1092025347729999</v>
      </c>
      <c r="AE710">
        <v>-7.9891999999999799</v>
      </c>
      <c r="AF710">
        <v>-5.2805405381548001</v>
      </c>
      <c r="AG710">
        <v>-1.1092025347729999</v>
      </c>
      <c r="AH710">
        <v>12.291908580977401</v>
      </c>
      <c r="AI710">
        <v>94.739635487433901</v>
      </c>
      <c r="AJ710">
        <v>113.248110588114</v>
      </c>
      <c r="AK710">
        <v>13.4240625446006</v>
      </c>
    </row>
    <row r="711" spans="1:37" x14ac:dyDescent="0.2">
      <c r="A711" t="str">
        <f>"20200111150543652"</f>
        <v>20200111150543652</v>
      </c>
      <c r="B711" t="str">
        <f>"1578726343646166"</f>
        <v>1578726343646166</v>
      </c>
      <c r="C711" t="s">
        <v>37</v>
      </c>
      <c r="D711">
        <v>4.368646</v>
      </c>
      <c r="E711">
        <v>0.40720669999999998</v>
      </c>
      <c r="F711" t="s">
        <v>60</v>
      </c>
      <c r="G711">
        <v>-477.6284</v>
      </c>
      <c r="H711" s="1">
        <v>2.7925430000000001E-6</v>
      </c>
      <c r="I711">
        <v>219.5805</v>
      </c>
      <c r="J711">
        <v>-489.25380000000001</v>
      </c>
      <c r="K711">
        <v>1.1091879999999901</v>
      </c>
      <c r="L711">
        <v>227.95570000000001</v>
      </c>
      <c r="M711">
        <v>0.51324879999999995</v>
      </c>
      <c r="N711">
        <v>0</v>
      </c>
      <c r="O711">
        <v>-0.85811899999999997</v>
      </c>
      <c r="P711">
        <v>0.65335159999999903</v>
      </c>
      <c r="Q711">
        <v>9.7876379999999999E-2</v>
      </c>
      <c r="R711">
        <v>-0.75070119999999996</v>
      </c>
      <c r="S711">
        <v>2.524597</v>
      </c>
      <c r="T711">
        <v>-0.23843789999999901</v>
      </c>
      <c r="U711">
        <v>-1.8396299999999901</v>
      </c>
      <c r="V711">
        <v>-0.1768952</v>
      </c>
      <c r="W711">
        <v>0.1095598</v>
      </c>
      <c r="X711">
        <v>0.9781128</v>
      </c>
      <c r="Y711">
        <v>-0.38884049999999998</v>
      </c>
      <c r="Z711">
        <v>7.3266460000000005E-2</v>
      </c>
      <c r="AA711">
        <v>0.91838719999999996</v>
      </c>
      <c r="AB711">
        <v>23</v>
      </c>
      <c r="AC711">
        <v>11.625400000000001</v>
      </c>
      <c r="AD711">
        <v>-1.1091852074570001</v>
      </c>
      <c r="AE711">
        <v>-8.3751999999999995</v>
      </c>
      <c r="AF711">
        <v>-5.6441796380872997</v>
      </c>
      <c r="AG711">
        <v>-1.1091852074570001</v>
      </c>
      <c r="AH711">
        <v>13.076639328809099</v>
      </c>
      <c r="AI711">
        <v>94.453053194850597</v>
      </c>
      <c r="AJ711">
        <v>113.346143600576</v>
      </c>
      <c r="AK711">
        <v>14.285851453350499</v>
      </c>
    </row>
    <row r="712" spans="1:37" x14ac:dyDescent="0.2">
      <c r="A712" t="str">
        <f>"20200111150543675"</f>
        <v>20200111150543675</v>
      </c>
      <c r="B712" t="str">
        <f>"1578726343666660"</f>
        <v>1578726343666660</v>
      </c>
      <c r="C712" t="s">
        <v>37</v>
      </c>
      <c r="D712">
        <v>5.1922239999999897</v>
      </c>
      <c r="E712">
        <v>0.36710329999999902</v>
      </c>
      <c r="F712" t="s">
        <v>60</v>
      </c>
      <c r="G712">
        <v>-478.24090000000001</v>
      </c>
      <c r="H712">
        <v>8.0000089999999996E-2</v>
      </c>
      <c r="I712">
        <v>220.10050000000001</v>
      </c>
      <c r="J712">
        <v>-489.12650000000002</v>
      </c>
      <c r="K712">
        <v>1.109165</v>
      </c>
      <c r="L712">
        <v>227.76429999999999</v>
      </c>
      <c r="M712">
        <v>0.52134069999999999</v>
      </c>
      <c r="N712">
        <v>0</v>
      </c>
      <c r="O712">
        <v>-0.85322719999999896</v>
      </c>
      <c r="P712">
        <v>0.6609718</v>
      </c>
      <c r="Q712">
        <v>9.7265519999999994E-2</v>
      </c>
      <c r="R712">
        <v>-0.74408069999999904</v>
      </c>
      <c r="S712">
        <v>2.543091</v>
      </c>
      <c r="T712">
        <v>-0.23765890000000001</v>
      </c>
      <c r="U712">
        <v>-1.8139189999999901</v>
      </c>
      <c r="V712">
        <v>-0.1775649</v>
      </c>
      <c r="W712">
        <v>0.1089422</v>
      </c>
      <c r="X712">
        <v>0.9780605</v>
      </c>
      <c r="Y712">
        <v>-0.38946909999999901</v>
      </c>
      <c r="Z712">
        <v>7.279716E-2</v>
      </c>
      <c r="AA712">
        <v>0.91815820000000004</v>
      </c>
      <c r="AB712">
        <v>23</v>
      </c>
      <c r="AC712">
        <v>10.8856</v>
      </c>
      <c r="AD712">
        <v>-1.02916491</v>
      </c>
      <c r="AE712">
        <v>-7.6637999999999797</v>
      </c>
      <c r="AF712">
        <v>-5.2615430244052499</v>
      </c>
      <c r="AG712">
        <v>-1.02916491</v>
      </c>
      <c r="AH712">
        <v>12.142765818463101</v>
      </c>
      <c r="AI712">
        <v>94.446858856793895</v>
      </c>
      <c r="AJ712">
        <v>113.427412984054</v>
      </c>
      <c r="AK712">
        <v>13.2736497291317</v>
      </c>
    </row>
    <row r="713" spans="1:37" x14ac:dyDescent="0.2">
      <c r="A713" t="str">
        <f>"20200111150543697"</f>
        <v>20200111150543697</v>
      </c>
      <c r="B713" t="str">
        <f>"1578726343686180"</f>
        <v>1578726343686180</v>
      </c>
      <c r="C713" t="s">
        <v>37</v>
      </c>
      <c r="D713">
        <v>4.7022599999999999</v>
      </c>
      <c r="E713">
        <v>0.39148359999999999</v>
      </c>
      <c r="F713" t="s">
        <v>46</v>
      </c>
      <c r="G713">
        <v>-428.38170000000002</v>
      </c>
      <c r="H713">
        <v>-0.05</v>
      </c>
      <c r="I713">
        <v>193.84540000000001</v>
      </c>
      <c r="J713">
        <v>-489.00009999999997</v>
      </c>
      <c r="K713">
        <v>1.109146</v>
      </c>
      <c r="L713">
        <v>227.57820000000001</v>
      </c>
      <c r="M713">
        <v>0.52921399999999996</v>
      </c>
      <c r="N713">
        <v>0</v>
      </c>
      <c r="O713">
        <v>-0.84836630000000002</v>
      </c>
      <c r="P713">
        <v>0.66766179999999997</v>
      </c>
      <c r="Q713">
        <v>9.6325869999999994E-2</v>
      </c>
      <c r="R713">
        <v>-0.73820669999999899</v>
      </c>
      <c r="S713">
        <v>2.7918090000000002</v>
      </c>
      <c r="T713">
        <v>-5.3274750000000003E-2</v>
      </c>
      <c r="U713">
        <v>-1.558899</v>
      </c>
      <c r="V713">
        <v>-0.17726029999999901</v>
      </c>
      <c r="W713">
        <v>0.1080117</v>
      </c>
      <c r="X713">
        <v>0.9782189</v>
      </c>
      <c r="Y713">
        <v>-0.48262460000000001</v>
      </c>
      <c r="Z713">
        <v>1.6403239999999999E-2</v>
      </c>
      <c r="AA713">
        <v>0.87567379999999995</v>
      </c>
      <c r="AB713">
        <v>23</v>
      </c>
      <c r="AC713">
        <v>60.618399999999902</v>
      </c>
      <c r="AD713">
        <v>-1.159146</v>
      </c>
      <c r="AE713">
        <v>-33.732799999999997</v>
      </c>
      <c r="AF713">
        <v>-33.5688437434478</v>
      </c>
      <c r="AG713">
        <v>-1.159146</v>
      </c>
      <c r="AH713">
        <v>60.687221308957902</v>
      </c>
      <c r="AI713">
        <v>90.957539181111798</v>
      </c>
      <c r="AJ713">
        <v>118.948963400335</v>
      </c>
      <c r="AK713">
        <v>69.362451801560198</v>
      </c>
    </row>
    <row r="714" spans="1:37" x14ac:dyDescent="0.2">
      <c r="A714" t="str">
        <f>"20200111150543741"</f>
        <v>20200111150543741</v>
      </c>
      <c r="B714" t="str">
        <f>"1578726343735955"</f>
        <v>1578726343735955</v>
      </c>
      <c r="C714" t="s">
        <v>37</v>
      </c>
      <c r="D714">
        <v>4.8397800000000002</v>
      </c>
      <c r="E714">
        <v>0.38530320000000001</v>
      </c>
      <c r="F714" t="s">
        <v>38</v>
      </c>
      <c r="G714">
        <v>-488.1429</v>
      </c>
      <c r="H714">
        <v>1.0093259999999999</v>
      </c>
      <c r="I714">
        <v>227.03720000000001</v>
      </c>
      <c r="J714">
        <v>-488.75209999999998</v>
      </c>
      <c r="K714">
        <v>1.109113</v>
      </c>
      <c r="L714">
        <v>227.22319999999999</v>
      </c>
      <c r="M714">
        <v>0.54423909999999998</v>
      </c>
      <c r="N714">
        <v>0</v>
      </c>
      <c r="O714">
        <v>-0.83880679999999996</v>
      </c>
      <c r="P714">
        <v>0.68080669999999899</v>
      </c>
      <c r="Q714">
        <v>9.6052899999999997E-2</v>
      </c>
      <c r="R714">
        <v>-0.7261379</v>
      </c>
      <c r="S714">
        <v>2.6734309999999999</v>
      </c>
      <c r="T714">
        <v>-0.31120249999999999</v>
      </c>
      <c r="U714">
        <v>-1.6865840000000001</v>
      </c>
      <c r="V714">
        <v>-0.17736759999999999</v>
      </c>
      <c r="W714">
        <v>0.1077433</v>
      </c>
      <c r="X714">
        <v>0.97822900000000002</v>
      </c>
      <c r="Y714">
        <v>-0.41476750000000001</v>
      </c>
      <c r="Z714">
        <v>9.3876970000000004E-2</v>
      </c>
      <c r="AA714">
        <v>0.90507190000000004</v>
      </c>
      <c r="AB714">
        <v>23</v>
      </c>
      <c r="AC714">
        <v>0.60919999999998697</v>
      </c>
      <c r="AD714">
        <v>-9.9787000000000001E-2</v>
      </c>
      <c r="AE714">
        <v>-0.18599999999997799</v>
      </c>
      <c r="AF714">
        <v>-0.399998040825503</v>
      </c>
      <c r="AG714">
        <v>-9.9787000000000001E-2</v>
      </c>
      <c r="AH714">
        <v>0.47593821626204902</v>
      </c>
      <c r="AI714">
        <v>99.118525569507895</v>
      </c>
      <c r="AJ714">
        <v>130.045074010256</v>
      </c>
      <c r="AK714">
        <v>0.62966107052281794</v>
      </c>
    </row>
    <row r="715" spans="1:37" x14ac:dyDescent="0.2">
      <c r="A715" t="str">
        <f>"20200111150543763"</f>
        <v>20200111150543763</v>
      </c>
      <c r="B715" t="str">
        <f>"1578726343756452"</f>
        <v>1578726343756452</v>
      </c>
      <c r="C715" t="s">
        <v>37</v>
      </c>
      <c r="D715">
        <v>4.8357830000000002</v>
      </c>
      <c r="E715">
        <v>0.38553670000000001</v>
      </c>
      <c r="F715" t="s">
        <v>38</v>
      </c>
      <c r="G715">
        <v>-487.91890000000001</v>
      </c>
      <c r="H715">
        <v>1.044894</v>
      </c>
      <c r="I715">
        <v>226.73650000000001</v>
      </c>
      <c r="J715">
        <v>-488.62199999999899</v>
      </c>
      <c r="K715">
        <v>1.109097</v>
      </c>
      <c r="L715">
        <v>227.04239999999999</v>
      </c>
      <c r="M715">
        <v>0.55189860000000002</v>
      </c>
      <c r="N715">
        <v>0</v>
      </c>
      <c r="O715">
        <v>-0.83378739999999996</v>
      </c>
      <c r="P715">
        <v>0.68730239999999998</v>
      </c>
      <c r="Q715">
        <v>9.6074720000000002E-2</v>
      </c>
      <c r="R715">
        <v>-0.71998969999999995</v>
      </c>
      <c r="S715">
        <v>2.7338559999999998</v>
      </c>
      <c r="T715">
        <v>-0.21063019999999999</v>
      </c>
      <c r="U715">
        <v>-1.5961000000000001</v>
      </c>
      <c r="V715">
        <v>-0.17719360000000001</v>
      </c>
      <c r="W715">
        <v>0.1077708</v>
      </c>
      <c r="X715">
        <v>0.97825759999999995</v>
      </c>
      <c r="Y715">
        <v>-0.43979220000000002</v>
      </c>
      <c r="Z715">
        <v>6.3884339999999998E-2</v>
      </c>
      <c r="AA715">
        <v>0.89582459999999997</v>
      </c>
      <c r="AB715">
        <v>23</v>
      </c>
      <c r="AC715">
        <v>0.70309999999994899</v>
      </c>
      <c r="AD715">
        <v>-6.4202999999999996E-2</v>
      </c>
      <c r="AE715">
        <v>-0.30589999999997902</v>
      </c>
      <c r="AF715">
        <v>-0.41454679591642701</v>
      </c>
      <c r="AG715">
        <v>-6.4202999999999996E-2</v>
      </c>
      <c r="AH715">
        <v>0.63868397546599898</v>
      </c>
      <c r="AI715">
        <v>94.819759748889794</v>
      </c>
      <c r="AJ715">
        <v>122.986152274875</v>
      </c>
      <c r="AK715">
        <v>0.76412583501058795</v>
      </c>
    </row>
    <row r="716" spans="1:37" x14ac:dyDescent="0.2">
      <c r="A716" t="str">
        <f>"20200111150543786"</f>
        <v>20200111150543786</v>
      </c>
      <c r="B716" t="str">
        <f>"1578726343776948"</f>
        <v>1578726343776948</v>
      </c>
      <c r="C716" t="s">
        <v>37</v>
      </c>
      <c r="D716">
        <v>4.8356269999999997</v>
      </c>
      <c r="E716">
        <v>0.3858028</v>
      </c>
      <c r="F716" t="s">
        <v>38</v>
      </c>
      <c r="G716">
        <v>-487.77199999999999</v>
      </c>
      <c r="H716">
        <v>1.044171</v>
      </c>
      <c r="I716">
        <v>226.5558</v>
      </c>
      <c r="J716">
        <v>-488.4898</v>
      </c>
      <c r="K716">
        <v>1.109081</v>
      </c>
      <c r="L716">
        <v>226.86189999999999</v>
      </c>
      <c r="M716">
        <v>0.55954879999999996</v>
      </c>
      <c r="N716">
        <v>0</v>
      </c>
      <c r="O716">
        <v>-0.82867279999999999</v>
      </c>
      <c r="P716">
        <v>0.69394270000000002</v>
      </c>
      <c r="Q716">
        <v>9.6371650000000003E-2</v>
      </c>
      <c r="R716">
        <v>-0.71355210000000002</v>
      </c>
      <c r="S716">
        <v>2.746826</v>
      </c>
      <c r="T716">
        <v>-0.20981529999999901</v>
      </c>
      <c r="U716">
        <v>-1.5726009999999999</v>
      </c>
      <c r="V716">
        <v>-0.17727509999999999</v>
      </c>
      <c r="W716">
        <v>0.108065699999999</v>
      </c>
      <c r="X716">
        <v>0.97821029999999998</v>
      </c>
      <c r="Y716">
        <v>-0.43914940000000002</v>
      </c>
      <c r="Z716">
        <v>6.3414280000000003E-2</v>
      </c>
      <c r="AA716">
        <v>0.8961732</v>
      </c>
      <c r="AB716">
        <v>23</v>
      </c>
      <c r="AC716">
        <v>0.71780000000001098</v>
      </c>
      <c r="AD716">
        <v>-6.4909999999999995E-2</v>
      </c>
      <c r="AE716">
        <v>-0.30609999999998599</v>
      </c>
      <c r="AF716">
        <v>-0.42067646734558201</v>
      </c>
      <c r="AG716">
        <v>-6.4909999999999995E-2</v>
      </c>
      <c r="AH716">
        <v>0.65086511757389998</v>
      </c>
      <c r="AI716">
        <v>94.787747396011198</v>
      </c>
      <c r="AJ716">
        <v>122.875973323404</v>
      </c>
      <c r="AK716">
        <v>0.77769364119352602</v>
      </c>
    </row>
    <row r="717" spans="1:37" x14ac:dyDescent="0.2">
      <c r="A717" t="str">
        <f>"20200111150543808"</f>
        <v>20200111150543808</v>
      </c>
      <c r="B717" t="str">
        <f>"1578726343796468"</f>
        <v>1578726343796468</v>
      </c>
      <c r="C717" t="s">
        <v>37</v>
      </c>
      <c r="D717">
        <v>4.8351499999999996</v>
      </c>
      <c r="E717">
        <v>0.3861639</v>
      </c>
      <c r="F717" t="s">
        <v>60</v>
      </c>
      <c r="G717">
        <v>-473.52330000000001</v>
      </c>
      <c r="H717" s="1">
        <v>4.5642159999999999E-6</v>
      </c>
      <c r="I717">
        <v>218.46510000000001</v>
      </c>
      <c r="J717">
        <v>-488.3623</v>
      </c>
      <c r="K717">
        <v>1.1090629999999999</v>
      </c>
      <c r="L717">
        <v>226.69120000000001</v>
      </c>
      <c r="M717">
        <v>0.56679469999999899</v>
      </c>
      <c r="N717">
        <v>0</v>
      </c>
      <c r="O717">
        <v>-0.82373399999999997</v>
      </c>
      <c r="P717">
        <v>0.7005015</v>
      </c>
      <c r="Q717">
        <v>9.6287020000000001E-2</v>
      </c>
      <c r="R717">
        <v>-0.70712569999999997</v>
      </c>
      <c r="S717">
        <v>2.7594910000000001</v>
      </c>
      <c r="T717">
        <v>-0.20448959999999999</v>
      </c>
      <c r="U717">
        <v>-1.548203</v>
      </c>
      <c r="V717">
        <v>-0.17771779999999901</v>
      </c>
      <c r="W717">
        <v>0.1079681</v>
      </c>
      <c r="X717">
        <v>0.97814069999999997</v>
      </c>
      <c r="Y717">
        <v>-0.43916329999999998</v>
      </c>
      <c r="Z717">
        <v>6.1619859999999999E-2</v>
      </c>
      <c r="AA717">
        <v>0.89629159999999997</v>
      </c>
      <c r="AB717">
        <v>23</v>
      </c>
      <c r="AC717">
        <v>14.839</v>
      </c>
      <c r="AD717">
        <v>-1.1090584357840001</v>
      </c>
      <c r="AE717">
        <v>-8.2261000000000006</v>
      </c>
      <c r="AF717">
        <v>-7.5294855060869201</v>
      </c>
      <c r="AG717">
        <v>-1.1090584357840001</v>
      </c>
      <c r="AH717">
        <v>15.123727936680901</v>
      </c>
      <c r="AI717">
        <v>93.755881969331597</v>
      </c>
      <c r="AJ717">
        <v>116.466835315792</v>
      </c>
      <c r="AK717">
        <v>16.930750405788299</v>
      </c>
    </row>
    <row r="718" spans="1:37" x14ac:dyDescent="0.2">
      <c r="A718" t="str">
        <f>"20200111150543830"</f>
        <v>20200111150543830</v>
      </c>
      <c r="B718" t="str">
        <f>"1578726343826724"</f>
        <v>1578726343826724</v>
      </c>
      <c r="C718" t="s">
        <v>37</v>
      </c>
      <c r="D718">
        <v>4.811121</v>
      </c>
      <c r="E718">
        <v>0.38671450000000002</v>
      </c>
      <c r="F718" t="s">
        <v>60</v>
      </c>
      <c r="G718">
        <v>-473.03930000000003</v>
      </c>
      <c r="H718" s="1">
        <v>4.7699909999999996E-6</v>
      </c>
      <c r="I718">
        <v>218.26220000000001</v>
      </c>
      <c r="J718">
        <v>-488.23</v>
      </c>
      <c r="K718">
        <v>1.109049</v>
      </c>
      <c r="L718">
        <v>226.5172</v>
      </c>
      <c r="M718">
        <v>0.57417940000000001</v>
      </c>
      <c r="N718">
        <v>0</v>
      </c>
      <c r="O718">
        <v>-0.818604</v>
      </c>
      <c r="P718">
        <v>0.70733380000000001</v>
      </c>
      <c r="Q718">
        <v>9.6190540000000005E-2</v>
      </c>
      <c r="R718">
        <v>-0.7003047</v>
      </c>
      <c r="S718">
        <v>2.7713009999999998</v>
      </c>
      <c r="T718">
        <v>-0.20058329999999999</v>
      </c>
      <c r="U718">
        <v>-1.5244599999999999</v>
      </c>
      <c r="V718">
        <v>-0.1784066</v>
      </c>
      <c r="W718">
        <v>0.1078519</v>
      </c>
      <c r="X718">
        <v>0.97802819999999902</v>
      </c>
      <c r="Y718">
        <v>-0.43867410000000001</v>
      </c>
      <c r="Z718">
        <v>6.0242789999999997E-2</v>
      </c>
      <c r="AA718">
        <v>0.89662469999999905</v>
      </c>
      <c r="AB718">
        <v>22</v>
      </c>
      <c r="AC718">
        <v>15.1906999999999</v>
      </c>
      <c r="AD718">
        <v>-1.109044230009</v>
      </c>
      <c r="AE718">
        <v>-8.2549999999999901</v>
      </c>
      <c r="AF718">
        <v>-7.6645680924538802</v>
      </c>
      <c r="AG718">
        <v>-1.109044230009</v>
      </c>
      <c r="AH718">
        <v>15.41790940415</v>
      </c>
      <c r="AI718">
        <v>93.685451599583104</v>
      </c>
      <c r="AJ718">
        <v>116.43294025062001</v>
      </c>
      <c r="AK718">
        <v>17.253623200433999</v>
      </c>
    </row>
    <row r="719" spans="1:37" x14ac:dyDescent="0.2">
      <c r="A719" t="str">
        <f>"20200111150543853"</f>
        <v>20200111150543853</v>
      </c>
      <c r="B719" t="str">
        <f>"1578726343846244"</f>
        <v>1578726343846244</v>
      </c>
      <c r="C719" t="s">
        <v>37</v>
      </c>
      <c r="D719">
        <v>4.8193010000000003</v>
      </c>
      <c r="E719">
        <v>0.38702209999999998</v>
      </c>
      <c r="F719" t="s">
        <v>60</v>
      </c>
      <c r="G719">
        <v>-472.8768</v>
      </c>
      <c r="H719" s="1">
        <v>4.8411019999999997E-6</v>
      </c>
      <c r="I719">
        <v>218.24</v>
      </c>
      <c r="J719">
        <v>-488.09269999999998</v>
      </c>
      <c r="K719">
        <v>1.109035</v>
      </c>
      <c r="L719">
        <v>226.3399</v>
      </c>
      <c r="M719">
        <v>0.58171300000000004</v>
      </c>
      <c r="N719">
        <v>0</v>
      </c>
      <c r="O719">
        <v>-0.81326790000000004</v>
      </c>
      <c r="P719">
        <v>0.71414369999999905</v>
      </c>
      <c r="Q719">
        <v>9.6019569999999999E-2</v>
      </c>
      <c r="R719">
        <v>-0.69338269999999902</v>
      </c>
      <c r="S719">
        <v>2.7830509999999999</v>
      </c>
      <c r="T719">
        <v>-0.2010344</v>
      </c>
      <c r="U719">
        <v>-1.500397</v>
      </c>
      <c r="V719">
        <v>-0.178914299999999</v>
      </c>
      <c r="W719">
        <v>0.1076661</v>
      </c>
      <c r="X719">
        <v>0.97795589999999999</v>
      </c>
      <c r="Y719">
        <v>-0.43796489999999999</v>
      </c>
      <c r="Z719">
        <v>6.0157519999999999E-2</v>
      </c>
      <c r="AA719">
        <v>0.89697700000000002</v>
      </c>
      <c r="AB719">
        <v>22</v>
      </c>
      <c r="AC719">
        <v>15.2158999999999</v>
      </c>
      <c r="AD719">
        <v>-1.1090301588980001</v>
      </c>
      <c r="AE719">
        <v>-8.0998999999999892</v>
      </c>
      <c r="AF719">
        <v>-7.6319808351095801</v>
      </c>
      <c r="AG719">
        <v>-1.1090301588980001</v>
      </c>
      <c r="AH719">
        <v>15.3766106615389</v>
      </c>
      <c r="AI719">
        <v>93.696427291505103</v>
      </c>
      <c r="AJ719">
        <v>116.39690582738299</v>
      </c>
      <c r="AK719">
        <v>17.202245051079199</v>
      </c>
    </row>
    <row r="720" spans="1:37" x14ac:dyDescent="0.2">
      <c r="A720" t="str">
        <f>"20200111150543897"</f>
        <v>20200111150543897</v>
      </c>
      <c r="B720" t="str">
        <f>"1578726343886260"</f>
        <v>1578726343886260</v>
      </c>
      <c r="C720" t="s">
        <v>37</v>
      </c>
      <c r="D720">
        <v>4.5563370000000001</v>
      </c>
      <c r="E720">
        <v>0.38635049999999999</v>
      </c>
      <c r="F720" t="s">
        <v>38</v>
      </c>
      <c r="G720">
        <v>-487.19119999999998</v>
      </c>
      <c r="H720">
        <v>1.0437559999999999</v>
      </c>
      <c r="I720">
        <v>225.864</v>
      </c>
      <c r="J720">
        <v>-487.8184</v>
      </c>
      <c r="K720">
        <v>1.109003</v>
      </c>
      <c r="L720">
        <v>225.99629999999999</v>
      </c>
      <c r="M720">
        <v>0.59634100000000001</v>
      </c>
      <c r="N720">
        <v>0</v>
      </c>
      <c r="O720">
        <v>-0.80260399999999998</v>
      </c>
      <c r="P720">
        <v>0.72612239999999995</v>
      </c>
      <c r="Q720">
        <v>9.6123280000000005E-2</v>
      </c>
      <c r="R720">
        <v>-0.68081380000000002</v>
      </c>
      <c r="S720">
        <v>2.795715</v>
      </c>
      <c r="T720">
        <v>-0.20237459999999999</v>
      </c>
      <c r="U720">
        <v>-1.47522</v>
      </c>
      <c r="V720">
        <v>-0.1782589</v>
      </c>
      <c r="W720">
        <v>0.107768899999999</v>
      </c>
      <c r="X720">
        <v>0.97806419999999905</v>
      </c>
      <c r="Y720">
        <v>-0.42967230000000001</v>
      </c>
      <c r="Z720">
        <v>5.9920479999999998E-2</v>
      </c>
      <c r="AA720">
        <v>0.90099459999999998</v>
      </c>
      <c r="AB720">
        <v>22</v>
      </c>
      <c r="AC720">
        <v>0.62720000000001597</v>
      </c>
      <c r="AD720">
        <v>-6.5246999999999999E-2</v>
      </c>
      <c r="AE720">
        <v>-0.13229999999998601</v>
      </c>
      <c r="AF720">
        <v>-0.420187099195164</v>
      </c>
      <c r="AG720">
        <v>-6.5246999999999999E-2</v>
      </c>
      <c r="AH720">
        <v>0.47533368382414298</v>
      </c>
      <c r="AI720">
        <v>95.871869956546405</v>
      </c>
      <c r="AJ720">
        <v>131.47614919002601</v>
      </c>
      <c r="AK720">
        <v>0.63777463128982903</v>
      </c>
    </row>
    <row r="721" spans="1:37" x14ac:dyDescent="0.2">
      <c r="A721" t="str">
        <f>"20200111150543920"</f>
        <v>20200111150543920</v>
      </c>
      <c r="B721" t="str">
        <f>"1578726343916516"</f>
        <v>1578726343916516</v>
      </c>
      <c r="C721" t="s">
        <v>37</v>
      </c>
      <c r="D721">
        <v>4.7001589999999904</v>
      </c>
      <c r="E721">
        <v>0.38521270000000002</v>
      </c>
      <c r="F721" t="s">
        <v>38</v>
      </c>
      <c r="G721">
        <v>-486.9495</v>
      </c>
      <c r="H721">
        <v>1.048438</v>
      </c>
      <c r="I721">
        <v>225.55860000000001</v>
      </c>
      <c r="J721">
        <v>-487.6764</v>
      </c>
      <c r="K721">
        <v>1.108981</v>
      </c>
      <c r="L721">
        <v>225.82320000000001</v>
      </c>
      <c r="M721">
        <v>0.60371549999999996</v>
      </c>
      <c r="N721">
        <v>0</v>
      </c>
      <c r="O721">
        <v>-0.7970718</v>
      </c>
      <c r="P721">
        <v>0.73253230000000003</v>
      </c>
      <c r="Q721">
        <v>9.5396220000000004E-2</v>
      </c>
      <c r="R721">
        <v>-0.67401519999999904</v>
      </c>
      <c r="S721">
        <v>2.824646</v>
      </c>
      <c r="T721">
        <v>-0.19679839999999901</v>
      </c>
      <c r="U721">
        <v>-1.4216610000000001</v>
      </c>
      <c r="V721">
        <v>-0.178421</v>
      </c>
      <c r="W721">
        <v>0.10703459999999999</v>
      </c>
      <c r="X721">
        <v>0.97811530000000002</v>
      </c>
      <c r="Y721">
        <v>-0.43877840000000001</v>
      </c>
      <c r="Z721">
        <v>5.8212739999999999E-2</v>
      </c>
      <c r="AA721">
        <v>0.89670780000000005</v>
      </c>
      <c r="AB721">
        <v>22</v>
      </c>
      <c r="AC721">
        <v>0.72689999999999999</v>
      </c>
      <c r="AD721">
        <v>-6.0543E-2</v>
      </c>
      <c r="AE721">
        <v>-0.264600000000001</v>
      </c>
      <c r="AF721">
        <v>-0.41713606052186297</v>
      </c>
      <c r="AG721">
        <v>-6.0543E-2</v>
      </c>
      <c r="AH721">
        <v>0.64585615979539801</v>
      </c>
      <c r="AI721">
        <v>94.502449420550704</v>
      </c>
      <c r="AJ721">
        <v>122.857013028277</v>
      </c>
      <c r="AK721">
        <v>0.77123156508428703</v>
      </c>
    </row>
    <row r="722" spans="1:37" x14ac:dyDescent="0.2">
      <c r="A722" t="str">
        <f>"20200111150543942"</f>
        <v>20200111150543942</v>
      </c>
      <c r="B722" t="str">
        <f>"1578726343936036"</f>
        <v>1578726343936036</v>
      </c>
      <c r="C722" t="s">
        <v>37</v>
      </c>
      <c r="D722">
        <v>4.678007</v>
      </c>
      <c r="E722">
        <v>0.38472580000000001</v>
      </c>
      <c r="F722" t="s">
        <v>38</v>
      </c>
      <c r="G722">
        <v>-486.8193</v>
      </c>
      <c r="H722">
        <v>1.0518259999999999</v>
      </c>
      <c r="I722">
        <v>225.40479999999999</v>
      </c>
      <c r="J722">
        <v>-487.53219999999999</v>
      </c>
      <c r="K722">
        <v>1.1089579999999899</v>
      </c>
      <c r="L722">
        <v>225.6507</v>
      </c>
      <c r="M722">
        <v>0.61107250000000002</v>
      </c>
      <c r="N722">
        <v>0</v>
      </c>
      <c r="O722">
        <v>-0.79144569999999903</v>
      </c>
      <c r="P722">
        <v>0.73927419999999899</v>
      </c>
      <c r="Q722">
        <v>9.4338889999999995E-2</v>
      </c>
      <c r="R722">
        <v>-0.66676400000000002</v>
      </c>
      <c r="S722">
        <v>2.8428650000000002</v>
      </c>
      <c r="T722">
        <v>-0.18960299999999999</v>
      </c>
      <c r="U722">
        <v>-1.3880920000000001</v>
      </c>
      <c r="V722">
        <v>-0.17908949999999901</v>
      </c>
      <c r="W722">
        <v>0.1059631</v>
      </c>
      <c r="X722">
        <v>0.97810980000000003</v>
      </c>
      <c r="Y722">
        <v>-0.44141740000000002</v>
      </c>
      <c r="Z722">
        <v>5.5887260000000001E-2</v>
      </c>
      <c r="AA722">
        <v>0.89555980000000002</v>
      </c>
      <c r="AB722">
        <v>22</v>
      </c>
      <c r="AC722">
        <v>0.71289999999998999</v>
      </c>
      <c r="AD722">
        <v>-5.7131999999999898E-2</v>
      </c>
      <c r="AE722">
        <v>-0.245900000000006</v>
      </c>
      <c r="AF722">
        <v>-0.41163852750162</v>
      </c>
      <c r="AG722">
        <v>-5.7131999999999898E-2</v>
      </c>
      <c r="AH722">
        <v>0.62671731104651696</v>
      </c>
      <c r="AI722">
        <v>94.3572274532265</v>
      </c>
      <c r="AJ722">
        <v>123.297585897179</v>
      </c>
      <c r="AK722">
        <v>0.75198732084595699</v>
      </c>
    </row>
    <row r="723" spans="1:37" x14ac:dyDescent="0.2">
      <c r="A723" t="str">
        <f>"20200111150543965"</f>
        <v>20200111150543965</v>
      </c>
      <c r="B723" t="str">
        <f>"1578726343956532"</f>
        <v>1578726343956532</v>
      </c>
      <c r="C723" t="s">
        <v>37</v>
      </c>
      <c r="D723">
        <v>4.7069070000000002</v>
      </c>
      <c r="E723">
        <v>0.38415070000000001</v>
      </c>
      <c r="F723" t="s">
        <v>38</v>
      </c>
      <c r="G723">
        <v>-486.66250000000002</v>
      </c>
      <c r="H723">
        <v>1.0516030000000001</v>
      </c>
      <c r="I723">
        <v>225.2379</v>
      </c>
      <c r="J723">
        <v>-487.392</v>
      </c>
      <c r="K723">
        <v>1.1089500000000001</v>
      </c>
      <c r="L723">
        <v>225.48599999999999</v>
      </c>
      <c r="M723">
        <v>0.61810100000000001</v>
      </c>
      <c r="N723">
        <v>0</v>
      </c>
      <c r="O723">
        <v>-0.78596929999999998</v>
      </c>
      <c r="P723">
        <v>0.7446488</v>
      </c>
      <c r="Q723">
        <v>9.3767119999999995E-2</v>
      </c>
      <c r="R723">
        <v>-0.66083740000000002</v>
      </c>
      <c r="S723">
        <v>2.8587950000000002</v>
      </c>
      <c r="T723">
        <v>-0.18848699999999999</v>
      </c>
      <c r="U723">
        <v>-1.3563689999999999</v>
      </c>
      <c r="V723">
        <v>-0.17823120000000001</v>
      </c>
      <c r="W723">
        <v>0.1054017</v>
      </c>
      <c r="X723">
        <v>0.97832719999999995</v>
      </c>
      <c r="Y723">
        <v>-0.44349670000000002</v>
      </c>
      <c r="Z723">
        <v>5.536572E-2</v>
      </c>
      <c r="AA723">
        <v>0.89456429999999998</v>
      </c>
      <c r="AB723">
        <v>22</v>
      </c>
      <c r="AC723">
        <v>0.72949999999997295</v>
      </c>
      <c r="AD723">
        <v>-5.7347000000000002E-2</v>
      </c>
      <c r="AE723">
        <v>-0.24809999999999299</v>
      </c>
      <c r="AF723">
        <v>-0.41774256536573401</v>
      </c>
      <c r="AG723">
        <v>-5.7347000000000002E-2</v>
      </c>
      <c r="AH723">
        <v>0.64241100558915398</v>
      </c>
      <c r="AI723">
        <v>94.279876383280694</v>
      </c>
      <c r="AJ723">
        <v>123.034864242067</v>
      </c>
      <c r="AK723">
        <v>0.76843310016514299</v>
      </c>
    </row>
    <row r="724" spans="1:37" x14ac:dyDescent="0.2">
      <c r="A724" t="str">
        <f>"20200111150544011"</f>
        <v>20200111150544011</v>
      </c>
      <c r="B724" t="str">
        <f>"1578726344006308"</f>
        <v>1578726344006308</v>
      </c>
      <c r="C724" t="s">
        <v>37</v>
      </c>
      <c r="D724">
        <v>4.6987170000000003</v>
      </c>
      <c r="E724">
        <v>0.38324140000000001</v>
      </c>
      <c r="F724" t="s">
        <v>38</v>
      </c>
      <c r="G724">
        <v>-486.51220000000001</v>
      </c>
      <c r="H724">
        <v>1.0528949999999999</v>
      </c>
      <c r="I724">
        <v>225.07910000000001</v>
      </c>
      <c r="J724">
        <v>-487.0985</v>
      </c>
      <c r="K724">
        <v>1.108932</v>
      </c>
      <c r="L724">
        <v>225.1506</v>
      </c>
      <c r="M724">
        <v>0.63242940000000003</v>
      </c>
      <c r="N724">
        <v>0</v>
      </c>
      <c r="O724">
        <v>-0.77448689999999998</v>
      </c>
      <c r="P724">
        <v>0.75636599999999998</v>
      </c>
      <c r="Q724">
        <v>9.4493830000000001E-2</v>
      </c>
      <c r="R724">
        <v>-0.64728779999999997</v>
      </c>
      <c r="S724">
        <v>2.8727719999999999</v>
      </c>
      <c r="T724">
        <v>-0.18306229999999901</v>
      </c>
      <c r="U724">
        <v>-1.3285830000000001</v>
      </c>
      <c r="V724">
        <v>-0.17785770000000001</v>
      </c>
      <c r="W724">
        <v>0.1061267</v>
      </c>
      <c r="X724">
        <v>0.97831679999999999</v>
      </c>
      <c r="Y724">
        <v>-0.43593859999999901</v>
      </c>
      <c r="Z724">
        <v>5.3130280000000002E-2</v>
      </c>
      <c r="AA724">
        <v>0.89840679999999995</v>
      </c>
      <c r="AB724">
        <v>22</v>
      </c>
      <c r="AC724">
        <v>0.58629999999999405</v>
      </c>
      <c r="AD724">
        <v>-5.6036999999999802E-2</v>
      </c>
      <c r="AE724">
        <v>-7.1499999999986102E-2</v>
      </c>
      <c r="AF724">
        <v>-0.405256710932901</v>
      </c>
      <c r="AG724">
        <v>-5.6036999999999802E-2</v>
      </c>
      <c r="AH724">
        <v>0.42241026982006202</v>
      </c>
      <c r="AI724">
        <v>95.468173030875107</v>
      </c>
      <c r="AJ724">
        <v>133.81270381936099</v>
      </c>
      <c r="AK724">
        <v>0.588050663782136</v>
      </c>
    </row>
    <row r="725" spans="1:37" x14ac:dyDescent="0.2">
      <c r="A725" t="str">
        <f>"20200111150544035"</f>
        <v>20200111150544035</v>
      </c>
      <c r="B725" t="str">
        <f>"1578726344026804"</f>
        <v>1578726344026804</v>
      </c>
      <c r="C725" t="s">
        <v>37</v>
      </c>
      <c r="D725">
        <v>4.6808889999999996</v>
      </c>
      <c r="E725">
        <v>0.3829825</v>
      </c>
      <c r="F725" t="s">
        <v>63</v>
      </c>
      <c r="G725">
        <v>-468.95530000000002</v>
      </c>
      <c r="H725" s="1">
        <v>3.1160299999999999E-6</v>
      </c>
      <c r="I725">
        <v>217.19560000000001</v>
      </c>
      <c r="J725">
        <v>-486.94240000000002</v>
      </c>
      <c r="K725">
        <v>1.10891299999999</v>
      </c>
      <c r="L725">
        <v>224.97720000000001</v>
      </c>
      <c r="M725">
        <v>0.63984750000000001</v>
      </c>
      <c r="N725">
        <v>0</v>
      </c>
      <c r="O725">
        <v>-0.76836990000000005</v>
      </c>
      <c r="P725">
        <v>0.76250399999999996</v>
      </c>
      <c r="Q725">
        <v>9.3785229999999997E-2</v>
      </c>
      <c r="R725">
        <v>-0.64015010000000006</v>
      </c>
      <c r="S725">
        <v>2.9001769999999998</v>
      </c>
      <c r="T725">
        <v>-0.17726120000000001</v>
      </c>
      <c r="U725">
        <v>-1.2715909999999999</v>
      </c>
      <c r="V725">
        <v>-0.17769949999999901</v>
      </c>
      <c r="W725">
        <v>0.105418699999999</v>
      </c>
      <c r="X725">
        <v>0.97842209999999996</v>
      </c>
      <c r="Y725">
        <v>-0.44530530000000002</v>
      </c>
      <c r="Z725">
        <v>5.1375339999999999E-2</v>
      </c>
      <c r="AA725">
        <v>0.89390369999999997</v>
      </c>
      <c r="AB725">
        <v>22</v>
      </c>
      <c r="AC725">
        <v>17.987099999999899</v>
      </c>
      <c r="AD725">
        <v>-1.10890988396999</v>
      </c>
      <c r="AE725">
        <v>-7.7815999999999903</v>
      </c>
      <c r="AF725">
        <v>-8.8143862168699396</v>
      </c>
      <c r="AG725">
        <v>-1.10890988396999</v>
      </c>
      <c r="AH725">
        <v>17.4341061938119</v>
      </c>
      <c r="AI725">
        <v>93.248817502717003</v>
      </c>
      <c r="AJ725">
        <v>116.82038122805299</v>
      </c>
      <c r="AK725">
        <v>19.567093404183101</v>
      </c>
    </row>
    <row r="726" spans="1:37" x14ac:dyDescent="0.2">
      <c r="A726" t="str">
        <f>"20200111150544058"</f>
        <v>20200111150544058</v>
      </c>
      <c r="B726" t="str">
        <f>"1578726344046324"</f>
        <v>1578726344046324</v>
      </c>
      <c r="C726" t="s">
        <v>37</v>
      </c>
      <c r="D726">
        <v>4.7272829999999999</v>
      </c>
      <c r="E726">
        <v>0.38264910000000002</v>
      </c>
      <c r="F726" t="s">
        <v>38</v>
      </c>
      <c r="G726">
        <v>-486.02429999999998</v>
      </c>
      <c r="H726">
        <v>1.0523549999999999</v>
      </c>
      <c r="I726">
        <v>224.5856</v>
      </c>
      <c r="J726">
        <v>-486.79169999999999</v>
      </c>
      <c r="K726">
        <v>1.108892</v>
      </c>
      <c r="L726">
        <v>224.81299999999999</v>
      </c>
      <c r="M726">
        <v>0.64687569999999905</v>
      </c>
      <c r="N726">
        <v>0</v>
      </c>
      <c r="O726">
        <v>-0.76246289999999906</v>
      </c>
      <c r="P726">
        <v>0.76795429999999998</v>
      </c>
      <c r="Q726">
        <v>9.2926969999999998E-2</v>
      </c>
      <c r="R726">
        <v>-0.63372810000000002</v>
      </c>
      <c r="S726">
        <v>2.9135740000000001</v>
      </c>
      <c r="T726">
        <v>-0.17945920000000001</v>
      </c>
      <c r="U726">
        <v>-1.242264</v>
      </c>
      <c r="V726">
        <v>-0.1769908</v>
      </c>
      <c r="W726">
        <v>0.10457180000000001</v>
      </c>
      <c r="X726">
        <v>0.97864139999999999</v>
      </c>
      <c r="Y726">
        <v>-0.44615569999999999</v>
      </c>
      <c r="Z726">
        <v>5.177814E-2</v>
      </c>
      <c r="AA726">
        <v>0.89345629999999998</v>
      </c>
      <c r="AB726">
        <v>22</v>
      </c>
      <c r="AC726">
        <v>0.76740000000000896</v>
      </c>
      <c r="AD726">
        <v>-5.6536999999999997E-2</v>
      </c>
      <c r="AE726">
        <v>-0.227399999999988</v>
      </c>
      <c r="AF726">
        <v>-0.43588387074157198</v>
      </c>
      <c r="AG726">
        <v>-5.6536999999999997E-2</v>
      </c>
      <c r="AH726">
        <v>0.66653839897326905</v>
      </c>
      <c r="AI726">
        <v>94.060607061111398</v>
      </c>
      <c r="AJ726">
        <v>123.182744819213</v>
      </c>
      <c r="AK726">
        <v>0.79841381403849998</v>
      </c>
    </row>
    <row r="727" spans="1:37" x14ac:dyDescent="0.2">
      <c r="A727" t="str">
        <f>"20200111150544078"</f>
        <v>20200111150544078</v>
      </c>
      <c r="B727" t="str">
        <f>"1578726344066820"</f>
        <v>1578726344066820</v>
      </c>
      <c r="C727" t="s">
        <v>37</v>
      </c>
      <c r="D727">
        <v>4.6930069999999997</v>
      </c>
      <c r="E727">
        <v>0.38257720000000001</v>
      </c>
      <c r="F727" t="s">
        <v>38</v>
      </c>
      <c r="G727">
        <v>-485.8965</v>
      </c>
      <c r="H727">
        <v>1.0539799999999999</v>
      </c>
      <c r="I727">
        <v>224.44099999999901</v>
      </c>
      <c r="J727">
        <v>-486.65719999999999</v>
      </c>
      <c r="K727">
        <v>1.108873</v>
      </c>
      <c r="L727">
        <v>224.66909999999999</v>
      </c>
      <c r="M727">
        <v>0.65304569999999995</v>
      </c>
      <c r="N727">
        <v>0</v>
      </c>
      <c r="O727">
        <v>-0.757185</v>
      </c>
      <c r="P727">
        <v>0.77330639999999995</v>
      </c>
      <c r="Q727">
        <v>9.2936519999999995E-2</v>
      </c>
      <c r="R727">
        <v>-0.62718459999999998</v>
      </c>
      <c r="S727">
        <v>2.9255979999999999</v>
      </c>
      <c r="T727">
        <v>-0.1793749</v>
      </c>
      <c r="U727">
        <v>-1.21492</v>
      </c>
      <c r="V727">
        <v>-0.17735010000000001</v>
      </c>
      <c r="W727">
        <v>0.1045751</v>
      </c>
      <c r="X727">
        <v>0.978576</v>
      </c>
      <c r="Y727">
        <v>-0.44732309999999997</v>
      </c>
      <c r="Z727">
        <v>5.1555620000000003E-2</v>
      </c>
      <c r="AA727">
        <v>0.89288529999999999</v>
      </c>
      <c r="AB727">
        <v>22</v>
      </c>
      <c r="AC727">
        <v>0.76069999999998505</v>
      </c>
      <c r="AD727">
        <v>-5.4892999999999997E-2</v>
      </c>
      <c r="AE727">
        <v>-0.22810000000001199</v>
      </c>
      <c r="AF727">
        <v>-0.42504337010337201</v>
      </c>
      <c r="AG727">
        <v>-5.4892999999999997E-2</v>
      </c>
      <c r="AH727">
        <v>0.66636976662165903</v>
      </c>
      <c r="AI727">
        <v>93.972861071983601</v>
      </c>
      <c r="AJ727">
        <v>122.531731265619</v>
      </c>
      <c r="AK727">
        <v>0.792290208058409</v>
      </c>
    </row>
    <row r="728" spans="1:37" x14ac:dyDescent="0.2">
      <c r="A728" t="str">
        <f>"20200111150544100"</f>
        <v>20200111150544100</v>
      </c>
      <c r="B728" t="str">
        <f>"1578726344096101"</f>
        <v>1578726344096101</v>
      </c>
      <c r="C728" t="s">
        <v>37</v>
      </c>
      <c r="D728">
        <v>4.7330300000000003</v>
      </c>
      <c r="E728">
        <v>0.38253609999999999</v>
      </c>
      <c r="F728" t="s">
        <v>38</v>
      </c>
      <c r="G728">
        <v>-485.76130000000001</v>
      </c>
      <c r="H728">
        <v>1.0538239999999901</v>
      </c>
      <c r="I728">
        <v>224.30590000000001</v>
      </c>
      <c r="J728">
        <v>-486.51010000000002</v>
      </c>
      <c r="K728">
        <v>1.1088519999999999</v>
      </c>
      <c r="L728">
        <v>224.51419999999999</v>
      </c>
      <c r="M728">
        <v>0.65968039999999994</v>
      </c>
      <c r="N728">
        <v>0</v>
      </c>
      <c r="O728">
        <v>-0.75141159999999996</v>
      </c>
      <c r="P728">
        <v>0.77959119999999904</v>
      </c>
      <c r="Q728">
        <v>9.3225459999999996E-2</v>
      </c>
      <c r="R728">
        <v>-0.61931130000000001</v>
      </c>
      <c r="S728">
        <v>2.9360659999999998</v>
      </c>
      <c r="T728">
        <v>-0.18040510000000001</v>
      </c>
      <c r="U728">
        <v>-1.1899109999999999</v>
      </c>
      <c r="V728">
        <v>-0.17863970000000001</v>
      </c>
      <c r="W728">
        <v>0.10484349999999901</v>
      </c>
      <c r="X728">
        <v>0.97831270000000004</v>
      </c>
      <c r="Y728">
        <v>-0.44709110000000002</v>
      </c>
      <c r="Z728">
        <v>5.1603929999999999E-2</v>
      </c>
      <c r="AA728">
        <v>0.89299859999999898</v>
      </c>
      <c r="AB728">
        <v>22</v>
      </c>
      <c r="AC728">
        <v>0.74880000000001701</v>
      </c>
      <c r="AD728">
        <v>-5.5028000000000001E-2</v>
      </c>
      <c r="AE728">
        <v>-0.208299999999979</v>
      </c>
      <c r="AF728">
        <v>-0.42316743390077599</v>
      </c>
      <c r="AG728">
        <v>-5.5028000000000001E-2</v>
      </c>
      <c r="AH728">
        <v>0.64730883263825401</v>
      </c>
      <c r="AI728">
        <v>94.070011121192294</v>
      </c>
      <c r="AJ728">
        <v>123.173987708241</v>
      </c>
      <c r="AK728">
        <v>0.77531121667989999</v>
      </c>
    </row>
    <row r="729" spans="1:37" x14ac:dyDescent="0.2">
      <c r="A729" t="str">
        <f>"20200111150544146"</f>
        <v>20200111150544146</v>
      </c>
      <c r="B729" t="str">
        <f>"1578726344136116"</f>
        <v>1578726344136116</v>
      </c>
      <c r="C729" t="s">
        <v>37</v>
      </c>
      <c r="D729">
        <v>4.6482799999999997</v>
      </c>
      <c r="E729">
        <v>0.38196829999999998</v>
      </c>
      <c r="F729" t="s">
        <v>38</v>
      </c>
      <c r="G729">
        <v>-485.62790000000001</v>
      </c>
      <c r="H729">
        <v>1.055069</v>
      </c>
      <c r="I729">
        <v>224.16669999999999</v>
      </c>
      <c r="J729">
        <v>-486.19139999999999</v>
      </c>
      <c r="K729">
        <v>1.1088119999999999</v>
      </c>
      <c r="L729">
        <v>224.18780000000001</v>
      </c>
      <c r="M729">
        <v>0.67366919999999897</v>
      </c>
      <c r="N729">
        <v>0</v>
      </c>
      <c r="O729">
        <v>-0.73889649999999996</v>
      </c>
      <c r="P729">
        <v>0.79219899999999999</v>
      </c>
      <c r="Q729">
        <v>9.1499070000000002E-2</v>
      </c>
      <c r="R729">
        <v>-0.60336480000000003</v>
      </c>
      <c r="S729">
        <v>2.9479980000000001</v>
      </c>
      <c r="T729">
        <v>-0.1796634</v>
      </c>
      <c r="U729">
        <v>-1.1602479999999999</v>
      </c>
      <c r="V729">
        <v>-0.18024509999999999</v>
      </c>
      <c r="W729">
        <v>0.1030987</v>
      </c>
      <c r="X729">
        <v>0.97820370000000001</v>
      </c>
      <c r="Y729">
        <v>-0.43934069999999997</v>
      </c>
      <c r="Z729">
        <v>5.0695560000000001E-2</v>
      </c>
      <c r="AA729">
        <v>0.89688889999999999</v>
      </c>
      <c r="AB729">
        <v>22</v>
      </c>
      <c r="AC729">
        <v>0.56349999999997602</v>
      </c>
      <c r="AD729">
        <v>-5.3742999999999999E-2</v>
      </c>
      <c r="AE729">
        <v>-2.1100000000018299E-2</v>
      </c>
      <c r="AF729">
        <v>-0.39857393684389397</v>
      </c>
      <c r="AG729">
        <v>-5.3742999999999999E-2</v>
      </c>
      <c r="AH729">
        <v>0.391685359819199</v>
      </c>
      <c r="AI729">
        <v>95.493382107478794</v>
      </c>
      <c r="AJ729">
        <v>135.49942644891999</v>
      </c>
      <c r="AK729">
        <v>0.56139728737938899</v>
      </c>
    </row>
    <row r="730" spans="1:37" x14ac:dyDescent="0.2">
      <c r="A730" t="str">
        <f>"20200111150544190"</f>
        <v>20200111150544190</v>
      </c>
      <c r="B730" t="str">
        <f>"1578726344186868"</f>
        <v>1578726344186868</v>
      </c>
      <c r="C730" t="s">
        <v>37</v>
      </c>
      <c r="D730">
        <v>4.7170249999999996</v>
      </c>
      <c r="E730">
        <v>0.38192540000000003</v>
      </c>
      <c r="F730" t="s">
        <v>38</v>
      </c>
      <c r="G730">
        <v>-485.2971</v>
      </c>
      <c r="H730">
        <v>1.0547959999999901</v>
      </c>
      <c r="I730">
        <v>223.85810000000001</v>
      </c>
      <c r="J730">
        <v>-485.8965</v>
      </c>
      <c r="K730">
        <v>1.1087610000000001</v>
      </c>
      <c r="L730">
        <v>223.89609999999999</v>
      </c>
      <c r="M730">
        <v>0.68614469999999905</v>
      </c>
      <c r="N730">
        <v>0</v>
      </c>
      <c r="O730">
        <v>-0.72732659999999905</v>
      </c>
      <c r="P730">
        <v>0.80359269999999905</v>
      </c>
      <c r="Q730">
        <v>9.2602459999999998E-2</v>
      </c>
      <c r="R730">
        <v>-0.58793169999999995</v>
      </c>
      <c r="S730">
        <v>2.973236</v>
      </c>
      <c r="T730">
        <v>-0.1795602</v>
      </c>
      <c r="U730">
        <v>-1.095505</v>
      </c>
      <c r="V730">
        <v>-0.18243029999999999</v>
      </c>
      <c r="W730">
        <v>0.1041739</v>
      </c>
      <c r="X730">
        <v>0.97768449999999996</v>
      </c>
      <c r="Y730">
        <v>-0.44373899999999999</v>
      </c>
      <c r="Z730">
        <v>5.0267729999999997E-2</v>
      </c>
      <c r="AA730">
        <v>0.89474519999999902</v>
      </c>
      <c r="AB730">
        <v>22</v>
      </c>
      <c r="AC730">
        <v>0.59940000000000204</v>
      </c>
      <c r="AD730">
        <v>-5.39650000000002E-2</v>
      </c>
      <c r="AE730">
        <v>-3.7999999999982402E-2</v>
      </c>
      <c r="AF730">
        <v>-0.40664441532974599</v>
      </c>
      <c r="AG730">
        <v>-5.39650000000002E-2</v>
      </c>
      <c r="AH730">
        <v>0.43544232537021899</v>
      </c>
      <c r="AI730">
        <v>95.175540396984999</v>
      </c>
      <c r="AJ730">
        <v>133.04134676517</v>
      </c>
      <c r="AK730">
        <v>0.59823232984158803</v>
      </c>
    </row>
    <row r="731" spans="1:37" x14ac:dyDescent="0.2">
      <c r="A731" t="str">
        <f>"20200111150544213"</f>
        <v>20200111150544213</v>
      </c>
      <c r="B731" t="str">
        <f>"1578726344206388"</f>
        <v>1578726344206388</v>
      </c>
      <c r="C731" t="s">
        <v>37</v>
      </c>
      <c r="D731">
        <v>4.7158439999999997</v>
      </c>
      <c r="E731">
        <v>0.3823493</v>
      </c>
      <c r="F731" t="s">
        <v>63</v>
      </c>
      <c r="G731">
        <v>-467.31029999999998</v>
      </c>
      <c r="H731" s="1">
        <v>2.2296950000000001E-6</v>
      </c>
      <c r="I731">
        <v>217.44649999999999</v>
      </c>
      <c r="J731">
        <v>-485.74079999999998</v>
      </c>
      <c r="K731">
        <v>1.108733</v>
      </c>
      <c r="L731">
        <v>223.74610000000001</v>
      </c>
      <c r="M731">
        <v>0.6925502</v>
      </c>
      <c r="N731">
        <v>0</v>
      </c>
      <c r="O731">
        <v>-0.72123040000000005</v>
      </c>
      <c r="P731">
        <v>0.8086409</v>
      </c>
      <c r="Q731">
        <v>9.216452E-2</v>
      </c>
      <c r="R731">
        <v>-0.58103909999999903</v>
      </c>
      <c r="S731">
        <v>2.993744</v>
      </c>
      <c r="T731">
        <v>-0.178592</v>
      </c>
      <c r="U731">
        <v>-1.038864</v>
      </c>
      <c r="V731">
        <v>-0.1821672</v>
      </c>
      <c r="W731">
        <v>0.10374609999999999</v>
      </c>
      <c r="X731">
        <v>0.97777899999999995</v>
      </c>
      <c r="Y731">
        <v>-0.45281869999999902</v>
      </c>
      <c r="Z731">
        <v>4.994461E-2</v>
      </c>
      <c r="AA731">
        <v>0.89020259999999996</v>
      </c>
      <c r="AB731">
        <v>22</v>
      </c>
      <c r="AC731">
        <v>18.430499999999899</v>
      </c>
      <c r="AD731">
        <v>-1.108730770305</v>
      </c>
      <c r="AE731">
        <v>-6.2996000000000203</v>
      </c>
      <c r="AF731">
        <v>-8.9018997013246199</v>
      </c>
      <c r="AG731">
        <v>-1.108730770305</v>
      </c>
      <c r="AH731">
        <v>17.253341785421998</v>
      </c>
      <c r="AI731">
        <v>93.268524471725499</v>
      </c>
      <c r="AJ731">
        <v>117.29157126891</v>
      </c>
      <c r="AK731">
        <v>19.446102565245599</v>
      </c>
    </row>
    <row r="732" spans="1:37" x14ac:dyDescent="0.2">
      <c r="A732" t="str">
        <f>"20200111150544256"</f>
        <v>20200111150544256</v>
      </c>
      <c r="B732" t="str">
        <f>"1578726344246404"</f>
        <v>1578726344246404</v>
      </c>
      <c r="C732" t="s">
        <v>37</v>
      </c>
      <c r="D732">
        <v>4.8221869999999996</v>
      </c>
      <c r="E732">
        <v>0.39807720000000002</v>
      </c>
      <c r="F732" t="s">
        <v>38</v>
      </c>
      <c r="G732">
        <v>-484.77480000000003</v>
      </c>
      <c r="H732">
        <v>1.050983</v>
      </c>
      <c r="I732">
        <v>223.41890000000001</v>
      </c>
      <c r="J732">
        <v>-485.43439999999998</v>
      </c>
      <c r="K732">
        <v>1.1086769999999999</v>
      </c>
      <c r="L732">
        <v>223.45859999999999</v>
      </c>
      <c r="M732">
        <v>0.70479829999999999</v>
      </c>
      <c r="N732">
        <v>0</v>
      </c>
      <c r="O732">
        <v>-0.70926619999999996</v>
      </c>
      <c r="P732">
        <v>0.81748900000000002</v>
      </c>
      <c r="Q732">
        <v>9.1138230000000001E-2</v>
      </c>
      <c r="R732">
        <v>-0.56868809999999903</v>
      </c>
      <c r="S732">
        <v>3.0009160000000001</v>
      </c>
      <c r="T732">
        <v>-0.17934539999999999</v>
      </c>
      <c r="U732">
        <v>-1.0152889999999899</v>
      </c>
      <c r="V732">
        <v>-0.18032979999999901</v>
      </c>
      <c r="W732">
        <v>0.10275819999999999</v>
      </c>
      <c r="X732">
        <v>0.97822389999999904</v>
      </c>
      <c r="Y732">
        <v>-0.44446940000000001</v>
      </c>
      <c r="Z732">
        <v>4.9461400000000003E-2</v>
      </c>
      <c r="AA732">
        <v>0.89442749999999904</v>
      </c>
      <c r="AB732">
        <v>22</v>
      </c>
      <c r="AC732">
        <v>0.659599999999954</v>
      </c>
      <c r="AD732">
        <v>-5.7694000000000099E-2</v>
      </c>
      <c r="AE732">
        <v>-3.9699999999982E-2</v>
      </c>
      <c r="AF732">
        <v>-0.43656768035117199</v>
      </c>
      <c r="AG732">
        <v>-5.7694000000000099E-2</v>
      </c>
      <c r="AH732">
        <v>0.48936190200379398</v>
      </c>
      <c r="AI732">
        <v>95.027693798138898</v>
      </c>
      <c r="AJ732">
        <v>131.73666923195299</v>
      </c>
      <c r="AK732">
        <v>0.65832743243463199</v>
      </c>
    </row>
    <row r="733" spans="1:37" x14ac:dyDescent="0.2">
      <c r="A733" t="str">
        <f>"20200111150544277"</f>
        <v>20200111150544277</v>
      </c>
      <c r="B733" t="str">
        <f>"1578726344266900"</f>
        <v>1578726344266900</v>
      </c>
      <c r="C733" t="s">
        <v>37</v>
      </c>
      <c r="D733">
        <v>4.9270129999999996</v>
      </c>
      <c r="E733">
        <v>0.39689459999999999</v>
      </c>
      <c r="F733" t="s">
        <v>38</v>
      </c>
      <c r="G733">
        <v>-484.43619999999999</v>
      </c>
      <c r="H733">
        <v>1.0215889999999901</v>
      </c>
      <c r="I733">
        <v>223.0934</v>
      </c>
      <c r="J733">
        <v>-485.28570000000002</v>
      </c>
      <c r="K733">
        <v>1.108654</v>
      </c>
      <c r="L733">
        <v>223.32239999999999</v>
      </c>
      <c r="M733">
        <v>0.71059150000000004</v>
      </c>
      <c r="N733">
        <v>0</v>
      </c>
      <c r="O733">
        <v>-0.70346209999999998</v>
      </c>
      <c r="P733">
        <v>0.82180390000000003</v>
      </c>
      <c r="Q733">
        <v>9.0925130000000007E-2</v>
      </c>
      <c r="R733">
        <v>-0.56246879999999999</v>
      </c>
      <c r="S733">
        <v>2.948242</v>
      </c>
      <c r="T733">
        <v>-0.25720389999999999</v>
      </c>
      <c r="U733">
        <v>-1.0784609999999999</v>
      </c>
      <c r="V733">
        <v>-0.17973739999999999</v>
      </c>
      <c r="W733">
        <v>0.1025571</v>
      </c>
      <c r="X733">
        <v>0.97835399999999995</v>
      </c>
      <c r="Y733">
        <v>-0.41343760000000002</v>
      </c>
      <c r="Z733">
        <v>7.0088600000000001E-2</v>
      </c>
      <c r="AA733">
        <v>0.9078309</v>
      </c>
      <c r="AB733">
        <v>22</v>
      </c>
      <c r="AC733">
        <v>0.84950000000003401</v>
      </c>
      <c r="AD733">
        <v>-8.7065000000000101E-2</v>
      </c>
      <c r="AE733">
        <v>-0.22899999999998499</v>
      </c>
      <c r="AF733">
        <v>-0.43069170344339403</v>
      </c>
      <c r="AG733">
        <v>-8.7065000000000101E-2</v>
      </c>
      <c r="AH733">
        <v>0.75740022255741801</v>
      </c>
      <c r="AI733">
        <v>95.706410561852906</v>
      </c>
      <c r="AJ733">
        <v>119.624500203053</v>
      </c>
      <c r="AK733">
        <v>0.87563163189208704</v>
      </c>
    </row>
    <row r="734" spans="1:37" x14ac:dyDescent="0.2">
      <c r="A734" t="str">
        <f>"20200111150544300"</f>
        <v>20200111150544300</v>
      </c>
      <c r="B734" t="str">
        <f>"1578726344296181"</f>
        <v>1578726344296181</v>
      </c>
      <c r="C734" t="s">
        <v>37</v>
      </c>
      <c r="D734">
        <v>4.8529689999999999</v>
      </c>
      <c r="E734">
        <v>0.3981732</v>
      </c>
      <c r="F734" t="s">
        <v>38</v>
      </c>
      <c r="G734">
        <v>-484.28890000000001</v>
      </c>
      <c r="H734">
        <v>1.024858</v>
      </c>
      <c r="I734">
        <v>222.96969999999999</v>
      </c>
      <c r="J734">
        <v>-485.12509999999997</v>
      </c>
      <c r="K734">
        <v>1.1086290000000001</v>
      </c>
      <c r="L734">
        <v>223.17789999999999</v>
      </c>
      <c r="M734">
        <v>0.71673949999999997</v>
      </c>
      <c r="N734">
        <v>0</v>
      </c>
      <c r="O734">
        <v>-0.69719730000000002</v>
      </c>
      <c r="P734">
        <v>0.82625569999999904</v>
      </c>
      <c r="Q734">
        <v>9.0607519999999997E-2</v>
      </c>
      <c r="R734">
        <v>-0.55596040000000002</v>
      </c>
      <c r="S734">
        <v>2.96109</v>
      </c>
      <c r="T734">
        <v>-0.248886</v>
      </c>
      <c r="U734">
        <v>-1.047531</v>
      </c>
      <c r="V734">
        <v>-0.1788911</v>
      </c>
      <c r="W734">
        <v>0.1022549</v>
      </c>
      <c r="X734">
        <v>0.97854069999999904</v>
      </c>
      <c r="Y734">
        <v>-0.41533779999999998</v>
      </c>
      <c r="Z734">
        <v>6.7469360000000006E-2</v>
      </c>
      <c r="AA734">
        <v>0.90716169999999996</v>
      </c>
      <c r="AB734">
        <v>22</v>
      </c>
      <c r="AC734">
        <v>0.83619999999996197</v>
      </c>
      <c r="AD734">
        <v>-8.3770999999999998E-2</v>
      </c>
      <c r="AE734">
        <v>-0.20820000000000499</v>
      </c>
      <c r="AF734">
        <v>-0.42975339412431302</v>
      </c>
      <c r="AG734">
        <v>-8.3770999999999998E-2</v>
      </c>
      <c r="AH734">
        <v>0.73759814018984804</v>
      </c>
      <c r="AI734">
        <v>95.604566931077699</v>
      </c>
      <c r="AJ734">
        <v>120.226743188195</v>
      </c>
      <c r="AK734">
        <v>0.85776254092487003</v>
      </c>
    </row>
    <row r="735" spans="1:37" x14ac:dyDescent="0.2">
      <c r="A735" t="str">
        <f>"20200111150544325"</f>
        <v>20200111150544325</v>
      </c>
      <c r="B735" t="str">
        <f>"1578726344316675"</f>
        <v>1578726344316675</v>
      </c>
      <c r="C735" t="s">
        <v>37</v>
      </c>
      <c r="D735">
        <v>4.8388029999999898</v>
      </c>
      <c r="E735">
        <v>0.39998590000000001</v>
      </c>
      <c r="F735" t="s">
        <v>60</v>
      </c>
      <c r="G735">
        <v>-471.51049999999998</v>
      </c>
      <c r="H735" s="1">
        <v>5.4556879999999998E-6</v>
      </c>
      <c r="I735">
        <v>218.43860000000001</v>
      </c>
      <c r="J735">
        <v>-484.94499999999999</v>
      </c>
      <c r="K735">
        <v>1.1086100000000001</v>
      </c>
      <c r="L735">
        <v>223.0188</v>
      </c>
      <c r="M735">
        <v>0.72350700000000001</v>
      </c>
      <c r="N735">
        <v>0</v>
      </c>
      <c r="O735">
        <v>-0.69017200000000001</v>
      </c>
      <c r="P735">
        <v>0.83160029999999996</v>
      </c>
      <c r="Q735">
        <v>9.0720170000000003E-2</v>
      </c>
      <c r="R735">
        <v>-0.54791509999999999</v>
      </c>
      <c r="S735">
        <v>2.9632259999999899</v>
      </c>
      <c r="T735">
        <v>-0.24129299999999901</v>
      </c>
      <c r="U735">
        <v>-1.0314939999999999</v>
      </c>
      <c r="V735">
        <v>-0.17883019999999999</v>
      </c>
      <c r="W735">
        <v>0.1023688</v>
      </c>
      <c r="X735">
        <v>0.97853989999999902</v>
      </c>
      <c r="Y735">
        <v>-0.41124060000000001</v>
      </c>
      <c r="Z735">
        <v>6.4930929999999998E-2</v>
      </c>
      <c r="AA735">
        <v>0.90921129999999994</v>
      </c>
      <c r="AB735">
        <v>22</v>
      </c>
      <c r="AC735">
        <v>13.4345</v>
      </c>
      <c r="AD735">
        <v>-1.1086045443120001</v>
      </c>
      <c r="AE735">
        <v>-4.5801999999999898</v>
      </c>
      <c r="AF735">
        <v>-5.9227744971457099</v>
      </c>
      <c r="AG735">
        <v>-1.1086045443120001</v>
      </c>
      <c r="AH735">
        <v>12.8042597221264</v>
      </c>
      <c r="AI735">
        <v>94.493143615667293</v>
      </c>
      <c r="AJ735">
        <v>114.82350638218099</v>
      </c>
      <c r="AK735">
        <v>14.151230646533101</v>
      </c>
    </row>
    <row r="736" spans="1:37" x14ac:dyDescent="0.2">
      <c r="A736" t="str">
        <f>"20200111150544345"</f>
        <v>20200111150544345</v>
      </c>
      <c r="B736" t="str">
        <f>"1578726344336196"</f>
        <v>1578726344336196</v>
      </c>
      <c r="C736" t="s">
        <v>37</v>
      </c>
      <c r="D736">
        <v>4.9234070000000001</v>
      </c>
      <c r="E736">
        <v>0.40088809999999903</v>
      </c>
      <c r="F736" t="s">
        <v>60</v>
      </c>
      <c r="G736">
        <v>-471.53429999999997</v>
      </c>
      <c r="H736" s="1">
        <v>5.4446299999999999E-6</v>
      </c>
      <c r="I736">
        <v>218.42740000000001</v>
      </c>
      <c r="J736">
        <v>-484.79250000000002</v>
      </c>
      <c r="K736">
        <v>1.108598</v>
      </c>
      <c r="L736">
        <v>222.88650000000001</v>
      </c>
      <c r="M736">
        <v>0.72913989999999995</v>
      </c>
      <c r="N736">
        <v>0</v>
      </c>
      <c r="O736">
        <v>-0.68421849999999995</v>
      </c>
      <c r="P736">
        <v>0.83601219999999998</v>
      </c>
      <c r="Q736">
        <v>9.1054419999999997E-2</v>
      </c>
      <c r="R736">
        <v>-0.54110349999999996</v>
      </c>
      <c r="S736">
        <v>2.9653019999999999</v>
      </c>
      <c r="T736">
        <v>-0.2451287</v>
      </c>
      <c r="U736">
        <v>-1.015228</v>
      </c>
      <c r="V736">
        <v>-0.17877970000000001</v>
      </c>
      <c r="W736">
        <v>0.10270369999999999</v>
      </c>
      <c r="X736">
        <v>0.97851409999999905</v>
      </c>
      <c r="Y736">
        <v>-0.40835389999999999</v>
      </c>
      <c r="Z736">
        <v>6.5565590000000007E-2</v>
      </c>
      <c r="AA736">
        <v>0.910466</v>
      </c>
      <c r="AB736">
        <v>22</v>
      </c>
      <c r="AC736">
        <v>13.2582</v>
      </c>
      <c r="AD736">
        <v>-1.10859255537</v>
      </c>
      <c r="AE736">
        <v>-4.4591000000000003</v>
      </c>
      <c r="AF736">
        <v>-5.7844476719754603</v>
      </c>
      <c r="AG736">
        <v>-1.10859255537</v>
      </c>
      <c r="AH736">
        <v>12.639961066147601</v>
      </c>
      <c r="AI736">
        <v>94.559748032269098</v>
      </c>
      <c r="AJ736">
        <v>114.59033720863501</v>
      </c>
      <c r="AK736">
        <v>13.944799320082399</v>
      </c>
    </row>
    <row r="737" spans="1:37" x14ac:dyDescent="0.2">
      <c r="A737" t="str">
        <f>"20200111150544391"</f>
        <v>20200111150544391</v>
      </c>
      <c r="B737" t="str">
        <f>"1578726344385972"</f>
        <v>1578726344385972</v>
      </c>
      <c r="C737" t="s">
        <v>37</v>
      </c>
      <c r="D737">
        <v>4.5966659999999999</v>
      </c>
      <c r="E737">
        <v>0.40236079999999902</v>
      </c>
      <c r="F737" t="s">
        <v>60</v>
      </c>
      <c r="G737">
        <v>-471.02879999999999</v>
      </c>
      <c r="H737" s="1">
        <v>5.661833E-6</v>
      </c>
      <c r="I737">
        <v>218.26840000000001</v>
      </c>
      <c r="J737">
        <v>-484.46370000000002</v>
      </c>
      <c r="K737">
        <v>1.1085700000000001</v>
      </c>
      <c r="L737">
        <v>222.60839999999999</v>
      </c>
      <c r="M737">
        <v>0.74100180000000004</v>
      </c>
      <c r="N737">
        <v>0</v>
      </c>
      <c r="O737">
        <v>-0.67135409999999995</v>
      </c>
      <c r="P737">
        <v>0.8455338</v>
      </c>
      <c r="Q737">
        <v>9.0389979999999995E-2</v>
      </c>
      <c r="R737">
        <v>-0.5262154</v>
      </c>
      <c r="S737">
        <v>2.9696039999999999</v>
      </c>
      <c r="T737">
        <v>-0.23918639999999999</v>
      </c>
      <c r="U737">
        <v>-0.99638369999999998</v>
      </c>
      <c r="V737">
        <v>-0.1790165</v>
      </c>
      <c r="W737">
        <v>0.1020363</v>
      </c>
      <c r="X737">
        <v>0.97854059999999898</v>
      </c>
      <c r="Y737">
        <v>-0.39813920000000003</v>
      </c>
      <c r="Z737">
        <v>6.2906420000000005E-2</v>
      </c>
      <c r="AA737">
        <v>0.91516549999999997</v>
      </c>
      <c r="AB737">
        <v>22</v>
      </c>
      <c r="AC737">
        <v>13.434900000000001</v>
      </c>
      <c r="AD737">
        <v>-1.1085643381670001</v>
      </c>
      <c r="AE737">
        <v>-4.3399999999999697</v>
      </c>
      <c r="AF737">
        <v>-5.7686432307126196</v>
      </c>
      <c r="AG737">
        <v>-1.1085643381670001</v>
      </c>
      <c r="AH737">
        <v>12.7913880196623</v>
      </c>
      <c r="AI737">
        <v>94.517134753426504</v>
      </c>
      <c r="AJ737">
        <v>114.274359414641</v>
      </c>
      <c r="AK737">
        <v>14.0757155087997</v>
      </c>
    </row>
    <row r="738" spans="1:37" x14ac:dyDescent="0.2">
      <c r="A738" t="str">
        <f>"20200111150544414"</f>
        <v>20200111150544414</v>
      </c>
      <c r="B738" t="str">
        <f>"1578726344406468"</f>
        <v>1578726344406468</v>
      </c>
      <c r="C738" t="s">
        <v>37</v>
      </c>
      <c r="D738">
        <v>4.9204080000000001</v>
      </c>
      <c r="E738">
        <v>0.40141529999999997</v>
      </c>
      <c r="F738" t="s">
        <v>60</v>
      </c>
      <c r="G738">
        <v>-471.04950000000002</v>
      </c>
      <c r="H738" s="1">
        <v>5.6548039999999997E-6</v>
      </c>
      <c r="I738">
        <v>218.3168</v>
      </c>
      <c r="J738">
        <v>-484.29660000000001</v>
      </c>
      <c r="K738">
        <v>1.1085559999999901</v>
      </c>
      <c r="L738">
        <v>222.4709</v>
      </c>
      <c r="M738">
        <v>0.74687869999999901</v>
      </c>
      <c r="N738">
        <v>0</v>
      </c>
      <c r="O738">
        <v>-0.66481009999999996</v>
      </c>
      <c r="P738">
        <v>0.84970780000000001</v>
      </c>
      <c r="Q738">
        <v>9.0056999999999998E-2</v>
      </c>
      <c r="R738">
        <v>-0.51950589999999996</v>
      </c>
      <c r="S738">
        <v>2.980896</v>
      </c>
      <c r="T738">
        <v>-0.2463446</v>
      </c>
      <c r="U738">
        <v>-0.95367429999999997</v>
      </c>
      <c r="V738">
        <v>-0.17816969999999999</v>
      </c>
      <c r="W738">
        <v>0.101717</v>
      </c>
      <c r="X738">
        <v>0.97872839999999905</v>
      </c>
      <c r="Y738">
        <v>-0.40279959999999998</v>
      </c>
      <c r="Z738">
        <v>6.4573710000000006E-2</v>
      </c>
      <c r="AA738">
        <v>0.91300759999999903</v>
      </c>
      <c r="AB738">
        <v>22</v>
      </c>
      <c r="AC738">
        <v>13.2470999999999</v>
      </c>
      <c r="AD738">
        <v>-1.1085503451959999</v>
      </c>
      <c r="AE738">
        <v>-4.1540999999999997</v>
      </c>
      <c r="AF738">
        <v>-5.6686248640675903</v>
      </c>
      <c r="AG738">
        <v>-1.1085503451959999</v>
      </c>
      <c r="AH738">
        <v>12.576741895758</v>
      </c>
      <c r="AI738">
        <v>94.594281809863801</v>
      </c>
      <c r="AJ738">
        <v>114.262177462042</v>
      </c>
      <c r="AK738">
        <v>13.8396758787868</v>
      </c>
    </row>
    <row r="739" spans="1:37" x14ac:dyDescent="0.2">
      <c r="A739" t="str">
        <f>"20200111150544436"</f>
        <v>20200111150544436</v>
      </c>
      <c r="B739" t="str">
        <f>"1578726344425988"</f>
        <v>1578726344425988</v>
      </c>
      <c r="C739" t="s">
        <v>37</v>
      </c>
      <c r="D739">
        <v>5.097391</v>
      </c>
      <c r="E739">
        <v>0.381449599999999</v>
      </c>
      <c r="F739" t="s">
        <v>60</v>
      </c>
      <c r="G739">
        <v>-470.72770000000003</v>
      </c>
      <c r="H739" s="1">
        <v>5.7961040000000004E-6</v>
      </c>
      <c r="I739">
        <v>218.28460000000001</v>
      </c>
      <c r="J739">
        <v>-484.13189999999997</v>
      </c>
      <c r="K739">
        <v>1.1085370000000001</v>
      </c>
      <c r="L739">
        <v>222.33789999999999</v>
      </c>
      <c r="M739">
        <v>0.75257909999999995</v>
      </c>
      <c r="N739">
        <v>0</v>
      </c>
      <c r="O739">
        <v>-0.6583502</v>
      </c>
      <c r="P739">
        <v>0.85369839999999997</v>
      </c>
      <c r="Q739">
        <v>8.965774E-2</v>
      </c>
      <c r="R739">
        <v>-0.51299159999999999</v>
      </c>
      <c r="S739">
        <v>2.9921259999999998</v>
      </c>
      <c r="T739">
        <v>-0.2444489</v>
      </c>
      <c r="U739">
        <v>-0.92314149999999995</v>
      </c>
      <c r="V739">
        <v>-0.17724139999999999</v>
      </c>
      <c r="W739">
        <v>0.1013328</v>
      </c>
      <c r="X739">
        <v>0.97893669999999999</v>
      </c>
      <c r="Y739">
        <v>-0.40445540000000002</v>
      </c>
      <c r="Z739">
        <v>6.3693340000000001E-2</v>
      </c>
      <c r="AA739">
        <v>0.91233709999999901</v>
      </c>
      <c r="AB739">
        <v>22</v>
      </c>
      <c r="AC739">
        <v>13.4041999999999</v>
      </c>
      <c r="AD739">
        <v>-1.108531203896</v>
      </c>
      <c r="AE739">
        <v>-4.0532999999999699</v>
      </c>
      <c r="AF739">
        <v>-5.7388439938248004</v>
      </c>
      <c r="AG739">
        <v>-1.108531203896</v>
      </c>
      <c r="AH739">
        <v>12.678040653113801</v>
      </c>
      <c r="AI739">
        <v>94.554352661493496</v>
      </c>
      <c r="AJ739">
        <v>114.354368595786</v>
      </c>
      <c r="AK739">
        <v>13.960511688956</v>
      </c>
    </row>
    <row r="740" spans="1:37" x14ac:dyDescent="0.2">
      <c r="A740" t="str">
        <f>"20200111150544457"</f>
        <v>20200111150544457</v>
      </c>
      <c r="B740" t="str">
        <f>"1578726344446484"</f>
        <v>1578726344446484</v>
      </c>
      <c r="C740" t="s">
        <v>37</v>
      </c>
      <c r="D740">
        <v>4.9355019999999996</v>
      </c>
      <c r="E740">
        <v>0.3832507</v>
      </c>
      <c r="F740" t="s">
        <v>38</v>
      </c>
      <c r="G740">
        <v>-483.17919999999998</v>
      </c>
      <c r="H740">
        <v>1.0459399999999901</v>
      </c>
      <c r="I740">
        <v>222.10239999999999</v>
      </c>
      <c r="J740">
        <v>-483.97719999999998</v>
      </c>
      <c r="K740">
        <v>1.1085290000000001</v>
      </c>
      <c r="L740">
        <v>222.215</v>
      </c>
      <c r="M740">
        <v>0.75784810000000002</v>
      </c>
      <c r="N740">
        <v>0</v>
      </c>
      <c r="O740">
        <v>-0.65227809999999997</v>
      </c>
      <c r="P740">
        <v>0.85729460000000002</v>
      </c>
      <c r="Q740">
        <v>8.9202859999999995E-2</v>
      </c>
      <c r="R740">
        <v>-0.50703949999999998</v>
      </c>
      <c r="S740">
        <v>3.0783390000000002</v>
      </c>
      <c r="T740">
        <v>-0.20223720000000001</v>
      </c>
      <c r="U740">
        <v>-0.7605286</v>
      </c>
      <c r="V740">
        <v>-0.17620259999999999</v>
      </c>
      <c r="W740">
        <v>0.1008949</v>
      </c>
      <c r="X740">
        <v>0.97916950000000003</v>
      </c>
      <c r="Y740">
        <v>-0.44954119999999997</v>
      </c>
      <c r="Z740">
        <v>5.3020310000000001E-2</v>
      </c>
      <c r="AA740">
        <v>0.8916847</v>
      </c>
      <c r="AB740">
        <v>22</v>
      </c>
      <c r="AC740">
        <v>0.79800000000000104</v>
      </c>
      <c r="AD740">
        <v>-6.25890000000002E-2</v>
      </c>
      <c r="AE740">
        <v>-0.11260000000001399</v>
      </c>
      <c r="AF740">
        <v>-0.43261829636915999</v>
      </c>
      <c r="AG740">
        <v>-6.25890000000002E-2</v>
      </c>
      <c r="AH740">
        <v>0.67421044311657197</v>
      </c>
      <c r="AI740">
        <v>94.467525479009794</v>
      </c>
      <c r="AJ740">
        <v>122.686932249138</v>
      </c>
      <c r="AK740">
        <v>0.80351458909082596</v>
      </c>
    </row>
    <row r="741" spans="1:37" x14ac:dyDescent="0.2">
      <c r="A741" t="str">
        <f>"20200111150544478"</f>
        <v>20200111150544478</v>
      </c>
      <c r="B741" t="str">
        <f>"1578726344466803"</f>
        <v>1578726344466803</v>
      </c>
      <c r="C741" t="s">
        <v>37</v>
      </c>
      <c r="D741">
        <v>4.9805000000000001</v>
      </c>
      <c r="E741">
        <v>0.38368289999999999</v>
      </c>
      <c r="F741" t="s">
        <v>38</v>
      </c>
      <c r="G741">
        <v>-483.0333</v>
      </c>
      <c r="H741">
        <v>1.0426389999999901</v>
      </c>
      <c r="I741">
        <v>221.9838</v>
      </c>
      <c r="J741">
        <v>-483.8168</v>
      </c>
      <c r="K741">
        <v>1.1085160000000001</v>
      </c>
      <c r="L741">
        <v>222.08969999999999</v>
      </c>
      <c r="M741">
        <v>0.76322880000000004</v>
      </c>
      <c r="N741">
        <v>0</v>
      </c>
      <c r="O741">
        <v>-0.64597419999999905</v>
      </c>
      <c r="P741">
        <v>0.86094349999999997</v>
      </c>
      <c r="Q741">
        <v>8.9175920000000006E-2</v>
      </c>
      <c r="R741">
        <v>-0.50082369999999998</v>
      </c>
      <c r="S741">
        <v>3.076813</v>
      </c>
      <c r="T741">
        <v>-0.21469169999999899</v>
      </c>
      <c r="U741">
        <v>-0.7522278</v>
      </c>
      <c r="V741">
        <v>-0.17516809999999999</v>
      </c>
      <c r="W741">
        <v>0.1008845</v>
      </c>
      <c r="X741">
        <v>0.97935620000000001</v>
      </c>
      <c r="Y741">
        <v>-0.44406659999999998</v>
      </c>
      <c r="Z741">
        <v>5.583138E-2</v>
      </c>
      <c r="AA741">
        <v>0.89425250000000001</v>
      </c>
      <c r="AB741">
        <v>22</v>
      </c>
      <c r="AC741">
        <v>0.78350000000000297</v>
      </c>
      <c r="AD741">
        <v>-6.5877000000000102E-2</v>
      </c>
      <c r="AE741">
        <v>-0.105899999999991</v>
      </c>
      <c r="AF741">
        <v>-0.42240458729021302</v>
      </c>
      <c r="AG741">
        <v>-6.5877000000000102E-2</v>
      </c>
      <c r="AH741">
        <v>0.66186964422255901</v>
      </c>
      <c r="AI741">
        <v>94.79595363464</v>
      </c>
      <c r="AJ741">
        <v>122.54598084782199</v>
      </c>
      <c r="AK741">
        <v>0.78793200241906203</v>
      </c>
    </row>
    <row r="742" spans="1:37" x14ac:dyDescent="0.2">
      <c r="A742" t="str">
        <f>"20200111150544502"</f>
        <v>20200111150544502</v>
      </c>
      <c r="B742" t="str">
        <f>"1578726344496082"</f>
        <v>1578726344496082</v>
      </c>
      <c r="C742" t="s">
        <v>37</v>
      </c>
      <c r="D742">
        <v>4.8998609999999996</v>
      </c>
      <c r="E742">
        <v>0.38444859999999997</v>
      </c>
      <c r="F742" t="s">
        <v>38</v>
      </c>
      <c r="G742">
        <v>-482.88470000000001</v>
      </c>
      <c r="H742">
        <v>1.0423659999999999</v>
      </c>
      <c r="I742">
        <v>221.86779999999999</v>
      </c>
      <c r="J742">
        <v>-483.63189999999997</v>
      </c>
      <c r="K742">
        <v>1.1084959999999999</v>
      </c>
      <c r="L742">
        <v>221.9479</v>
      </c>
      <c r="M742">
        <v>0.76932109999999998</v>
      </c>
      <c r="N742">
        <v>0</v>
      </c>
      <c r="O742">
        <v>-0.63870649999999995</v>
      </c>
      <c r="P742">
        <v>0.86549869999999995</v>
      </c>
      <c r="Q742">
        <v>8.9438100000000006E-2</v>
      </c>
      <c r="R742">
        <v>-0.49286179999999902</v>
      </c>
      <c r="S742">
        <v>3.0805359999999999</v>
      </c>
      <c r="T742">
        <v>-0.21864939999999999</v>
      </c>
      <c r="U742">
        <v>-0.73345950000000004</v>
      </c>
      <c r="V742">
        <v>-0.1748943</v>
      </c>
      <c r="W742">
        <v>0.10115209999999999</v>
      </c>
      <c r="X742">
        <v>0.97937750000000001</v>
      </c>
      <c r="Y742">
        <v>-0.44090790000000002</v>
      </c>
      <c r="Z742">
        <v>5.6370980000000001E-2</v>
      </c>
      <c r="AA742">
        <v>0.89578040000000003</v>
      </c>
      <c r="AB742">
        <v>22</v>
      </c>
      <c r="AC742">
        <v>0.747199999999963</v>
      </c>
      <c r="AD742">
        <v>-6.6129999999999994E-2</v>
      </c>
      <c r="AE742">
        <v>-8.0100000000015797E-2</v>
      </c>
      <c r="AF742">
        <v>-0.41246614250431901</v>
      </c>
      <c r="AG742">
        <v>-6.6129999999999994E-2</v>
      </c>
      <c r="AH742">
        <v>0.62124852929395702</v>
      </c>
      <c r="AI742">
        <v>95.067790596011307</v>
      </c>
      <c r="AJ742">
        <v>123.581415725531</v>
      </c>
      <c r="AK742">
        <v>0.74863290788095704</v>
      </c>
    </row>
    <row r="743" spans="1:37" x14ac:dyDescent="0.2">
      <c r="A743" t="str">
        <f>"20200111150544524"</f>
        <v>20200111150544524</v>
      </c>
      <c r="B743" t="str">
        <f>"1578726344516578"</f>
        <v>1578726344516578</v>
      </c>
      <c r="C743" t="s">
        <v>37</v>
      </c>
      <c r="D743">
        <v>4.936407</v>
      </c>
      <c r="E743">
        <v>0.38511489999999998</v>
      </c>
      <c r="F743" t="s">
        <v>38</v>
      </c>
      <c r="G743">
        <v>-482.67829999999998</v>
      </c>
      <c r="H743">
        <v>1.042109</v>
      </c>
      <c r="I743">
        <v>221.72810000000001</v>
      </c>
      <c r="J743">
        <v>-483.46789999999999</v>
      </c>
      <c r="K743">
        <v>1.1084849999999999</v>
      </c>
      <c r="L743">
        <v>221.8245</v>
      </c>
      <c r="M743">
        <v>0.77463289999999996</v>
      </c>
      <c r="N743">
        <v>0</v>
      </c>
      <c r="O743">
        <v>-0.63225379999999998</v>
      </c>
      <c r="P743">
        <v>0.86945499999999998</v>
      </c>
      <c r="Q743">
        <v>8.9240929999999996E-2</v>
      </c>
      <c r="R743">
        <v>-0.48588530000000002</v>
      </c>
      <c r="S743">
        <v>3.0841059999999998</v>
      </c>
      <c r="T743">
        <v>-0.21464059999999999</v>
      </c>
      <c r="U743">
        <v>-0.70993039999999996</v>
      </c>
      <c r="V743">
        <v>-0.17459129999999901</v>
      </c>
      <c r="W743">
        <v>0.10096089999999899</v>
      </c>
      <c r="X743">
        <v>0.97945119999999897</v>
      </c>
      <c r="Y743">
        <v>-0.44021840000000001</v>
      </c>
      <c r="Z743">
        <v>5.499896E-2</v>
      </c>
      <c r="AA743">
        <v>0.89620469999999897</v>
      </c>
      <c r="AB743">
        <v>22</v>
      </c>
      <c r="AC743">
        <v>0.78960000000000696</v>
      </c>
      <c r="AD743">
        <v>-6.6375999999999893E-2</v>
      </c>
      <c r="AE743">
        <v>-9.6399999999988495E-2</v>
      </c>
      <c r="AF743">
        <v>-0.42165931978910698</v>
      </c>
      <c r="AG743">
        <v>-6.6375999999999893E-2</v>
      </c>
      <c r="AH743">
        <v>0.66801509976436901</v>
      </c>
      <c r="AI743">
        <v>94.802952544398494</v>
      </c>
      <c r="AJ743">
        <v>122.260622992496</v>
      </c>
      <c r="AK743">
        <v>0.79274619447475903</v>
      </c>
    </row>
    <row r="744" spans="1:37" x14ac:dyDescent="0.2">
      <c r="A744" t="str">
        <f>"20200111150544547"</f>
        <v>20200111150544547</v>
      </c>
      <c r="B744" t="str">
        <f>"1578726344536099"</f>
        <v>1578726344536099</v>
      </c>
      <c r="C744" t="s">
        <v>37</v>
      </c>
      <c r="D744">
        <v>4.987533</v>
      </c>
      <c r="E744">
        <v>0.38526529999999998</v>
      </c>
      <c r="F744" t="s">
        <v>38</v>
      </c>
      <c r="G744">
        <v>-482.4991</v>
      </c>
      <c r="H744">
        <v>1.040818</v>
      </c>
      <c r="I744">
        <v>221.60830000000001</v>
      </c>
      <c r="J744">
        <v>-483.29739999999998</v>
      </c>
      <c r="K744">
        <v>1.1084769999999999</v>
      </c>
      <c r="L744">
        <v>221.69829999999999</v>
      </c>
      <c r="M744">
        <v>0.78006850000000005</v>
      </c>
      <c r="N744">
        <v>0</v>
      </c>
      <c r="O744">
        <v>-0.62553519999999996</v>
      </c>
      <c r="P744">
        <v>0.87313300000000005</v>
      </c>
      <c r="Q744">
        <v>8.8724090000000005E-2</v>
      </c>
      <c r="R744">
        <v>-0.47934079999999901</v>
      </c>
      <c r="S744">
        <v>3.0873409999999999</v>
      </c>
      <c r="T744">
        <v>-0.2156631</v>
      </c>
      <c r="U744">
        <v>-0.68936160000000002</v>
      </c>
      <c r="V744">
        <v>-0.17350579999999999</v>
      </c>
      <c r="W744">
        <v>0.1004623</v>
      </c>
      <c r="X744">
        <v>0.97969539999999999</v>
      </c>
      <c r="Y744">
        <v>-0.43834129999999899</v>
      </c>
      <c r="Z744">
        <v>5.485491E-2</v>
      </c>
      <c r="AA744">
        <v>0.89713310000000002</v>
      </c>
      <c r="AB744">
        <v>21</v>
      </c>
      <c r="AC744">
        <v>0.79829999999998302</v>
      </c>
      <c r="AD744">
        <v>-6.76589999999999E-2</v>
      </c>
      <c r="AE744">
        <v>-8.9999999999974906E-2</v>
      </c>
      <c r="AF744">
        <v>-0.42617835128282</v>
      </c>
      <c r="AG744">
        <v>-6.76589999999999E-2</v>
      </c>
      <c r="AH744">
        <v>0.674311441218017</v>
      </c>
      <c r="AI744">
        <v>94.848092252413807</v>
      </c>
      <c r="AJ744">
        <v>122.293707416071</v>
      </c>
      <c r="AK744">
        <v>0.80056333112419198</v>
      </c>
    </row>
    <row r="745" spans="1:37" x14ac:dyDescent="0.2">
      <c r="A745" t="str">
        <f>"20200111150544569"</f>
        <v>20200111150544569</v>
      </c>
      <c r="B745" t="str">
        <f>"1578726344566354"</f>
        <v>1578726344566354</v>
      </c>
      <c r="C745" t="s">
        <v>37</v>
      </c>
      <c r="D745">
        <v>4.9508710000000002</v>
      </c>
      <c r="E745">
        <v>0.38516659999999903</v>
      </c>
      <c r="F745" t="s">
        <v>63</v>
      </c>
      <c r="G745">
        <v>-467.29489999999998</v>
      </c>
      <c r="H745" s="1">
        <v>2.186554E-6</v>
      </c>
      <c r="I745">
        <v>218.24549999999999</v>
      </c>
      <c r="J745">
        <v>-483.1318</v>
      </c>
      <c r="K745">
        <v>1.1084719999999999</v>
      </c>
      <c r="L745">
        <v>221.5779</v>
      </c>
      <c r="M745">
        <v>0.78525780000000001</v>
      </c>
      <c r="N745">
        <v>0</v>
      </c>
      <c r="O745">
        <v>-0.61900819999999901</v>
      </c>
      <c r="P745">
        <v>0.87646259999999998</v>
      </c>
      <c r="Q745">
        <v>8.8445399999999993E-2</v>
      </c>
      <c r="R745">
        <v>-0.47327659999999899</v>
      </c>
      <c r="S745">
        <v>3.0914609999999998</v>
      </c>
      <c r="T745">
        <v>-0.21414240000000001</v>
      </c>
      <c r="U745">
        <v>-0.66702269999999997</v>
      </c>
      <c r="V745">
        <v>-0.17213519999999999</v>
      </c>
      <c r="W745">
        <v>0.10020510000000001</v>
      </c>
      <c r="X745">
        <v>0.97996349999999999</v>
      </c>
      <c r="Y745">
        <v>-0.43733519999999998</v>
      </c>
      <c r="Z745">
        <v>5.4091119999999999E-2</v>
      </c>
      <c r="AA745">
        <v>0.89767030000000003</v>
      </c>
      <c r="AB745">
        <v>21</v>
      </c>
      <c r="AC745">
        <v>15.8369</v>
      </c>
      <c r="AD745">
        <v>-1.10846981344599</v>
      </c>
      <c r="AE745">
        <v>-3.3323999999999998</v>
      </c>
      <c r="AF745">
        <v>-7.15353388056519</v>
      </c>
      <c r="AG745">
        <v>-1.10846981344599</v>
      </c>
      <c r="AH745">
        <v>14.432567991244399</v>
      </c>
      <c r="AI745">
        <v>93.936561863508004</v>
      </c>
      <c r="AJ745">
        <v>116.36541569798</v>
      </c>
      <c r="AK745">
        <v>16.146230864496101</v>
      </c>
    </row>
    <row r="746" spans="1:37" x14ac:dyDescent="0.2">
      <c r="A746" t="str">
        <f>"20200111150544615"</f>
        <v>20200111150544615</v>
      </c>
      <c r="B746" t="str">
        <f>"1578726344606370"</f>
        <v>1578726344606370</v>
      </c>
      <c r="C746" t="s">
        <v>37</v>
      </c>
      <c r="D746">
        <v>4.8851740000000001</v>
      </c>
      <c r="E746">
        <v>0.3861695</v>
      </c>
      <c r="F746" t="s">
        <v>63</v>
      </c>
      <c r="G746">
        <v>-466.61689999999999</v>
      </c>
      <c r="H746" s="1">
        <v>1.8303819999999901E-6</v>
      </c>
      <c r="I746">
        <v>218.1397</v>
      </c>
      <c r="J746">
        <v>-482.78879999999998</v>
      </c>
      <c r="K746">
        <v>1.1084459999999901</v>
      </c>
      <c r="L746">
        <v>221.33529999999999</v>
      </c>
      <c r="M746">
        <v>0.79573419999999995</v>
      </c>
      <c r="N746">
        <v>0</v>
      </c>
      <c r="O746">
        <v>-0.60548199999999996</v>
      </c>
      <c r="P746">
        <v>0.88327770000000005</v>
      </c>
      <c r="Q746">
        <v>8.8595859999999999E-2</v>
      </c>
      <c r="R746">
        <v>-0.46040370000000003</v>
      </c>
      <c r="S746">
        <v>3.095764</v>
      </c>
      <c r="T746">
        <v>-0.2077861</v>
      </c>
      <c r="U746">
        <v>-0.64450069999999904</v>
      </c>
      <c r="V746">
        <v>-0.16968659999999999</v>
      </c>
      <c r="W746">
        <v>0.1003949</v>
      </c>
      <c r="X746">
        <v>0.98037099999999899</v>
      </c>
      <c r="Y746">
        <v>-0.42861349999999998</v>
      </c>
      <c r="Z746">
        <v>5.1502449999999998E-2</v>
      </c>
      <c r="AA746">
        <v>0.90201880000000001</v>
      </c>
      <c r="AB746">
        <v>21</v>
      </c>
      <c r="AC746">
        <v>16.171899999999901</v>
      </c>
      <c r="AD746">
        <v>-1.1084441696179901</v>
      </c>
      <c r="AE746">
        <v>-3.1955999999999798</v>
      </c>
      <c r="AF746">
        <v>-7.2170352608519499</v>
      </c>
      <c r="AG746">
        <v>-1.1084441696179901</v>
      </c>
      <c r="AH746">
        <v>14.738245475564201</v>
      </c>
      <c r="AI746">
        <v>93.864185098529504</v>
      </c>
      <c r="AJ746">
        <v>116.0901024953</v>
      </c>
      <c r="AK746">
        <v>16.447800039261502</v>
      </c>
    </row>
    <row r="747" spans="1:37" x14ac:dyDescent="0.2">
      <c r="A747" t="str">
        <f>"20200111150544636"</f>
        <v>20200111150544636</v>
      </c>
      <c r="B747" t="str">
        <f>"1578726344625890"</f>
        <v>1578726344625890</v>
      </c>
      <c r="C747" t="s">
        <v>37</v>
      </c>
      <c r="D747">
        <v>4.8649949999999897</v>
      </c>
      <c r="E747">
        <v>0.38667489999999999</v>
      </c>
      <c r="F747" t="s">
        <v>38</v>
      </c>
      <c r="G747">
        <v>-481.80930000000001</v>
      </c>
      <c r="H747">
        <v>1.0428219999999999</v>
      </c>
      <c r="I747">
        <v>221.1431</v>
      </c>
      <c r="J747">
        <v>-482.61559999999997</v>
      </c>
      <c r="K747">
        <v>1.1084350000000001</v>
      </c>
      <c r="L747">
        <v>221.21610000000001</v>
      </c>
      <c r="M747">
        <v>0.8008864</v>
      </c>
      <c r="N747">
        <v>0</v>
      </c>
      <c r="O747">
        <v>-0.59865029999999997</v>
      </c>
      <c r="P747">
        <v>0.88636130000000002</v>
      </c>
      <c r="Q747">
        <v>8.7314760000000005E-2</v>
      </c>
      <c r="R747">
        <v>-0.45468629999999999</v>
      </c>
      <c r="S747">
        <v>3.1006469999999999</v>
      </c>
      <c r="T747">
        <v>-0.20767430000000001</v>
      </c>
      <c r="U747">
        <v>-0.6074524</v>
      </c>
      <c r="V747">
        <v>-0.16768549999999999</v>
      </c>
      <c r="W747">
        <v>9.9146600000000001E-2</v>
      </c>
      <c r="X747">
        <v>0.980842199999999</v>
      </c>
      <c r="Y747">
        <v>-0.43153000000000002</v>
      </c>
      <c r="Z747">
        <v>5.1233849999999997E-2</v>
      </c>
      <c r="AA747">
        <v>0.90064249999999901</v>
      </c>
      <c r="AB747">
        <v>21</v>
      </c>
      <c r="AC747">
        <v>0.80629999999996405</v>
      </c>
      <c r="AD747">
        <v>-6.5613000000000102E-2</v>
      </c>
      <c r="AE747">
        <v>-7.3000000000007503E-2</v>
      </c>
      <c r="AF747">
        <v>-0.421500735091136</v>
      </c>
      <c r="AG747">
        <v>-6.5613000000000102E-2</v>
      </c>
      <c r="AH747">
        <v>0.68502538676571401</v>
      </c>
      <c r="AI747">
        <v>94.663647873633494</v>
      </c>
      <c r="AJ747">
        <v>121.604265648569</v>
      </c>
      <c r="AK747">
        <v>0.80698681275773299</v>
      </c>
    </row>
    <row r="748" spans="1:37" x14ac:dyDescent="0.2">
      <c r="A748" t="str">
        <f>"20200111150544658"</f>
        <v>20200111150544658</v>
      </c>
      <c r="B748" t="str">
        <f>"1578726344656147"</f>
        <v>1578726344656147</v>
      </c>
      <c r="C748" t="s">
        <v>37</v>
      </c>
      <c r="D748">
        <v>4.8252379999999997</v>
      </c>
      <c r="E748">
        <v>0.3883606</v>
      </c>
      <c r="F748" t="s">
        <v>38</v>
      </c>
      <c r="G748">
        <v>-481.63900000000001</v>
      </c>
      <c r="H748">
        <v>1.0408189999999999</v>
      </c>
      <c r="I748">
        <v>221.0301</v>
      </c>
      <c r="J748">
        <v>-482.44369999999998</v>
      </c>
      <c r="K748">
        <v>1.108422</v>
      </c>
      <c r="L748">
        <v>221.1</v>
      </c>
      <c r="M748">
        <v>0.80590850000000003</v>
      </c>
      <c r="N748">
        <v>0</v>
      </c>
      <c r="O748">
        <v>-0.59187279999999998</v>
      </c>
      <c r="P748">
        <v>0.88825119999999902</v>
      </c>
      <c r="Q748">
        <v>8.6786169999999996E-2</v>
      </c>
      <c r="R748">
        <v>-0.45108599999999999</v>
      </c>
      <c r="S748">
        <v>3.1026310000000001</v>
      </c>
      <c r="T748">
        <v>-0.2148098</v>
      </c>
      <c r="U748">
        <v>-0.59086609999999995</v>
      </c>
      <c r="V748">
        <v>-0.16340450000000001</v>
      </c>
      <c r="W748">
        <v>9.8683010000000002E-2</v>
      </c>
      <c r="X748">
        <v>0.98161129999999996</v>
      </c>
      <c r="Y748">
        <v>-0.42854949999999897</v>
      </c>
      <c r="Z748">
        <v>5.253211E-2</v>
      </c>
      <c r="AA748">
        <v>0.90198989999999901</v>
      </c>
      <c r="AB748">
        <v>21</v>
      </c>
      <c r="AC748">
        <v>0.804699999999968</v>
      </c>
      <c r="AD748">
        <v>-6.7602999999999802E-2</v>
      </c>
      <c r="AE748">
        <v>-6.9899999999989804E-2</v>
      </c>
      <c r="AF748">
        <v>-0.41706713966175302</v>
      </c>
      <c r="AG748">
        <v>-6.7602999999999802E-2</v>
      </c>
      <c r="AH748">
        <v>0.685155398913323</v>
      </c>
      <c r="AI748">
        <v>94.817577124230993</v>
      </c>
      <c r="AJ748">
        <v>121.329670794987</v>
      </c>
      <c r="AK748">
        <v>0.80495533121702501</v>
      </c>
    </row>
    <row r="749" spans="1:37" x14ac:dyDescent="0.2">
      <c r="A749" t="str">
        <f>"20200111150544681"</f>
        <v>20200111150544681</v>
      </c>
      <c r="B749" t="str">
        <f>"1578726344676642"</f>
        <v>1578726344676642</v>
      </c>
      <c r="C749" t="s">
        <v>37</v>
      </c>
      <c r="D749">
        <v>4.943079</v>
      </c>
      <c r="E749">
        <v>0.41247529999999999</v>
      </c>
      <c r="F749" t="s">
        <v>38</v>
      </c>
      <c r="G749">
        <v>-481.42239999999998</v>
      </c>
      <c r="H749">
        <v>1.0375319999999999</v>
      </c>
      <c r="I749">
        <v>220.90599999999901</v>
      </c>
      <c r="J749">
        <v>-482.26569999999998</v>
      </c>
      <c r="K749">
        <v>1.1084000000000001</v>
      </c>
      <c r="L749">
        <v>220.982</v>
      </c>
      <c r="M749">
        <v>0.8110039</v>
      </c>
      <c r="N749">
        <v>0</v>
      </c>
      <c r="O749">
        <v>-0.58487140000000004</v>
      </c>
      <c r="P749">
        <v>0.8903607</v>
      </c>
      <c r="Q749">
        <v>8.9195499999999997E-2</v>
      </c>
      <c r="R749">
        <v>-0.44643260000000001</v>
      </c>
      <c r="S749">
        <v>3.0992130000000002</v>
      </c>
      <c r="T749">
        <v>-0.21514699999999901</v>
      </c>
      <c r="U749">
        <v>-0.58918760000000003</v>
      </c>
      <c r="V749">
        <v>-0.159916</v>
      </c>
      <c r="W749">
        <v>0.1011445</v>
      </c>
      <c r="X749">
        <v>0.98193509999999995</v>
      </c>
      <c r="Y749">
        <v>-0.42102200000000001</v>
      </c>
      <c r="Z749">
        <v>5.2035640000000001E-2</v>
      </c>
      <c r="AA749">
        <v>0.90555659999999905</v>
      </c>
      <c r="AB749">
        <v>21</v>
      </c>
      <c r="AC749">
        <v>0.84329999999999905</v>
      </c>
      <c r="AD749">
        <v>-7.0868000000000098E-2</v>
      </c>
      <c r="AE749">
        <v>-7.60000000000218E-2</v>
      </c>
      <c r="AF749">
        <v>-0.42862588688981901</v>
      </c>
      <c r="AG749">
        <v>-7.0868000000000098E-2</v>
      </c>
      <c r="AH749">
        <v>0.72337456525819299</v>
      </c>
      <c r="AI749">
        <v>94.817710225525303</v>
      </c>
      <c r="AJ749">
        <v>120.64829246343599</v>
      </c>
      <c r="AK749">
        <v>0.84380873780647903</v>
      </c>
    </row>
    <row r="750" spans="1:37" x14ac:dyDescent="0.2">
      <c r="A750" t="str">
        <f>"20200111150544703"</f>
        <v>20200111150544703</v>
      </c>
      <c r="B750" t="str">
        <f>"1578726344696163"</f>
        <v>1578726344696163</v>
      </c>
      <c r="C750" t="s">
        <v>37</v>
      </c>
      <c r="D750">
        <v>4.9217490000000002</v>
      </c>
      <c r="E750">
        <v>0.40475420000000001</v>
      </c>
      <c r="F750" t="s">
        <v>60</v>
      </c>
      <c r="G750">
        <v>-470.94799999999998</v>
      </c>
      <c r="H750" s="1">
        <v>5.6934289999999997E-6</v>
      </c>
      <c r="I750">
        <v>218.17140000000001</v>
      </c>
      <c r="J750">
        <v>-482.0856</v>
      </c>
      <c r="K750">
        <v>1.108363</v>
      </c>
      <c r="L750">
        <v>220.8647</v>
      </c>
      <c r="M750">
        <v>0.81603819999999905</v>
      </c>
      <c r="N750">
        <v>0</v>
      </c>
      <c r="O750">
        <v>-0.57782670000000003</v>
      </c>
      <c r="P750">
        <v>0.89369859999999901</v>
      </c>
      <c r="Q750">
        <v>9.1514059999999994E-2</v>
      </c>
      <c r="R750">
        <v>-0.43923599999999902</v>
      </c>
      <c r="S750">
        <v>3.0226439999999899</v>
      </c>
      <c r="T750">
        <v>-0.29602240000000002</v>
      </c>
      <c r="U750">
        <v>-0.75064090000000006</v>
      </c>
      <c r="V750">
        <v>-0.1592141</v>
      </c>
      <c r="W750">
        <v>0.10347679999999999</v>
      </c>
      <c r="X750">
        <v>0.98180619999999996</v>
      </c>
      <c r="Y750">
        <v>-0.36032379999999897</v>
      </c>
      <c r="Z750">
        <v>6.9206340000000005E-2</v>
      </c>
      <c r="AA750">
        <v>0.93025650000000004</v>
      </c>
      <c r="AB750">
        <v>21</v>
      </c>
      <c r="AC750">
        <v>11.1375999999999</v>
      </c>
      <c r="AD750">
        <v>-1.108357306571</v>
      </c>
      <c r="AE750">
        <v>-2.69329999999999</v>
      </c>
      <c r="AF750">
        <v>-4.1989011491508803</v>
      </c>
      <c r="AG750">
        <v>-1.108357306571</v>
      </c>
      <c r="AH750">
        <v>10.547339543985901</v>
      </c>
      <c r="AI750">
        <v>95.576224389578101</v>
      </c>
      <c r="AJ750">
        <v>111.707526252001</v>
      </c>
      <c r="AK750">
        <v>11.4063840999459</v>
      </c>
    </row>
    <row r="751" spans="1:37" x14ac:dyDescent="0.2">
      <c r="A751" t="str">
        <f>"20200111150544746"</f>
        <v>20200111150544746</v>
      </c>
      <c r="B751" t="str">
        <f>"1578726344736178"</f>
        <v>1578726344736178</v>
      </c>
      <c r="C751" t="s">
        <v>37</v>
      </c>
      <c r="D751">
        <v>4.8185349999999998</v>
      </c>
      <c r="E751">
        <v>0.40899419999999997</v>
      </c>
      <c r="F751" t="s">
        <v>63</v>
      </c>
      <c r="G751">
        <v>-468.27699999999999</v>
      </c>
      <c r="H751" s="1">
        <v>2.7270389999999999E-6</v>
      </c>
      <c r="I751">
        <v>217.8374</v>
      </c>
      <c r="J751">
        <v>-481.74770000000001</v>
      </c>
      <c r="K751">
        <v>1.1081939999999999</v>
      </c>
      <c r="L751">
        <v>220.65029999999999</v>
      </c>
      <c r="M751">
        <v>0.82510139999999998</v>
      </c>
      <c r="N751">
        <v>0</v>
      </c>
      <c r="O751">
        <v>-0.56481020000000004</v>
      </c>
      <c r="P751">
        <v>0.90057869999999995</v>
      </c>
      <c r="Q751">
        <v>9.0265440000000002E-2</v>
      </c>
      <c r="R751">
        <v>-0.42521819999999999</v>
      </c>
      <c r="S751">
        <v>3.0529790000000001</v>
      </c>
      <c r="T751">
        <v>-0.2450502</v>
      </c>
      <c r="U751">
        <v>-0.6693268</v>
      </c>
      <c r="V751">
        <v>-0.15900029999999901</v>
      </c>
      <c r="W751">
        <v>0.1022497</v>
      </c>
      <c r="X751">
        <v>0.98196939999999999</v>
      </c>
      <c r="Y751">
        <v>-0.37241999999999997</v>
      </c>
      <c r="Z751">
        <v>5.668554E-2</v>
      </c>
      <c r="AA751">
        <v>0.92633149999999997</v>
      </c>
      <c r="AB751">
        <v>21</v>
      </c>
      <c r="AC751">
        <v>13.470700000000001</v>
      </c>
      <c r="AD751">
        <v>-1.108191272961</v>
      </c>
      <c r="AE751">
        <v>-2.81289999999998</v>
      </c>
      <c r="AF751">
        <v>-5.2539103664550497</v>
      </c>
      <c r="AG751">
        <v>-1.108191272961</v>
      </c>
      <c r="AH751">
        <v>12.622840515033101</v>
      </c>
      <c r="AI751">
        <v>94.633810698122801</v>
      </c>
      <c r="AJ751">
        <v>112.59817778390401</v>
      </c>
      <c r="AK751">
        <v>13.7174255858806</v>
      </c>
    </row>
    <row r="752" spans="1:37" x14ac:dyDescent="0.2">
      <c r="A752" t="str">
        <f>"20200111150544770"</f>
        <v>20200111150544770</v>
      </c>
      <c r="B752" t="str">
        <f>"1578726344766434"</f>
        <v>1578726344766434</v>
      </c>
      <c r="C752" t="s">
        <v>37</v>
      </c>
      <c r="D752">
        <v>4.9387699999999999</v>
      </c>
      <c r="E752">
        <v>0.40989769999999998</v>
      </c>
      <c r="F752" t="s">
        <v>63</v>
      </c>
      <c r="G752">
        <v>-466.66770000000002</v>
      </c>
      <c r="H752" s="1">
        <v>1.8881369999999999E-6</v>
      </c>
      <c r="I752">
        <v>217.43700000000001</v>
      </c>
      <c r="J752">
        <v>-481.56720000000001</v>
      </c>
      <c r="K752">
        <v>1.1080729999999901</v>
      </c>
      <c r="L752">
        <v>220.5385</v>
      </c>
      <c r="M752">
        <v>0.82970909999999998</v>
      </c>
      <c r="N752">
        <v>0</v>
      </c>
      <c r="O752">
        <v>-0.55802050000000003</v>
      </c>
      <c r="P752">
        <v>0.90546939999999998</v>
      </c>
      <c r="Q752">
        <v>9.0789060000000005E-2</v>
      </c>
      <c r="R752">
        <v>-0.4145876</v>
      </c>
      <c r="S752">
        <v>3.0471189999999999</v>
      </c>
      <c r="T752">
        <v>-0.22392570000000001</v>
      </c>
      <c r="U752">
        <v>-0.64929199999999998</v>
      </c>
      <c r="V752">
        <v>-0.16245219999999999</v>
      </c>
      <c r="W752">
        <v>0.102744899999999</v>
      </c>
      <c r="X752">
        <v>0.98135249999999996</v>
      </c>
      <c r="Y752">
        <v>-0.3706932</v>
      </c>
      <c r="Z752">
        <v>5.1498500000000003E-2</v>
      </c>
      <c r="AA752">
        <v>0.92732649999999905</v>
      </c>
      <c r="AB752">
        <v>21</v>
      </c>
      <c r="AC752">
        <v>14.8994999999999</v>
      </c>
      <c r="AD752">
        <v>-1.10807111186299</v>
      </c>
      <c r="AE752">
        <v>-3.1014999999999802</v>
      </c>
      <c r="AF752">
        <v>-5.7111704132825203</v>
      </c>
      <c r="AG752">
        <v>-1.10807111186299</v>
      </c>
      <c r="AH752">
        <v>14.020010032286599</v>
      </c>
      <c r="AI752">
        <v>94.186295481333502</v>
      </c>
      <c r="AJ752">
        <v>112.163943041393</v>
      </c>
      <c r="AK752">
        <v>15.179129434322499</v>
      </c>
    </row>
    <row r="753" spans="1:37" x14ac:dyDescent="0.2">
      <c r="A753" t="str">
        <f>"20200111150544794"</f>
        <v>20200111150544794</v>
      </c>
      <c r="B753" t="str">
        <f>"1578726344785955"</f>
        <v>1578726344785955</v>
      </c>
      <c r="C753" t="s">
        <v>37</v>
      </c>
      <c r="D753">
        <v>4.8763339999999999</v>
      </c>
      <c r="E753">
        <v>0.41091359999999899</v>
      </c>
      <c r="F753" t="s">
        <v>63</v>
      </c>
      <c r="G753">
        <v>-466.24549999999999</v>
      </c>
      <c r="H753" s="1">
        <v>1.6639859999999999E-6</v>
      </c>
      <c r="I753">
        <v>217.42490000000001</v>
      </c>
      <c r="J753">
        <v>-481.37180000000001</v>
      </c>
      <c r="K753">
        <v>1.107893</v>
      </c>
      <c r="L753">
        <v>220.4195</v>
      </c>
      <c r="M753">
        <v>0.83446390000000004</v>
      </c>
      <c r="N753">
        <v>0</v>
      </c>
      <c r="O753">
        <v>-0.55088530000000002</v>
      </c>
      <c r="P753">
        <v>0.91178799999999904</v>
      </c>
      <c r="Q753">
        <v>9.2426289999999994E-2</v>
      </c>
      <c r="R753">
        <v>-0.40012439999999999</v>
      </c>
      <c r="S753">
        <v>3.0514830000000002</v>
      </c>
      <c r="T753">
        <v>-0.22068379999999899</v>
      </c>
      <c r="U753">
        <v>-0.62011719999999904</v>
      </c>
      <c r="V753">
        <v>-0.16954430000000001</v>
      </c>
      <c r="W753">
        <v>0.1043224</v>
      </c>
      <c r="X753">
        <v>0.97998549999999995</v>
      </c>
      <c r="Y753">
        <v>-0.3715772</v>
      </c>
      <c r="Z753">
        <v>5.0371590000000001E-2</v>
      </c>
      <c r="AA753">
        <v>0.92703459999999904</v>
      </c>
      <c r="AB753">
        <v>21</v>
      </c>
      <c r="AC753">
        <v>15.126300000000001</v>
      </c>
      <c r="AD753">
        <v>-1.1078913360139999</v>
      </c>
      <c r="AE753">
        <v>-2.9945999999999899</v>
      </c>
      <c r="AF753">
        <v>-5.8045765111003904</v>
      </c>
      <c r="AG753">
        <v>-1.1078913360139999</v>
      </c>
      <c r="AH753">
        <v>14.2001233963117</v>
      </c>
      <c r="AI753">
        <v>94.130681540090805</v>
      </c>
      <c r="AJ753">
        <v>112.233243709886</v>
      </c>
      <c r="AK753">
        <v>15.380638353336</v>
      </c>
    </row>
    <row r="754" spans="1:37" x14ac:dyDescent="0.2">
      <c r="A754" t="str">
        <f>"20200111150544816"</f>
        <v>20200111150544816</v>
      </c>
      <c r="B754" t="str">
        <f>"1578726344806450"</f>
        <v>1578726344806450</v>
      </c>
      <c r="C754" t="s">
        <v>37</v>
      </c>
      <c r="D754">
        <v>4.9005199999999904</v>
      </c>
      <c r="E754">
        <v>0.41203499999999998</v>
      </c>
      <c r="F754" t="s">
        <v>63</v>
      </c>
      <c r="G754">
        <v>-465.46589999999998</v>
      </c>
      <c r="H754" s="1">
        <v>1.2502209999999899E-6</v>
      </c>
      <c r="I754">
        <v>217.3997</v>
      </c>
      <c r="J754">
        <v>-481.19560000000001</v>
      </c>
      <c r="K754">
        <v>1.107675</v>
      </c>
      <c r="L754">
        <v>220.31379999999999</v>
      </c>
      <c r="M754">
        <v>0.83849359999999995</v>
      </c>
      <c r="N754">
        <v>0</v>
      </c>
      <c r="O754">
        <v>-0.54473319999999903</v>
      </c>
      <c r="P754">
        <v>0.91781279999999998</v>
      </c>
      <c r="Q754">
        <v>9.2281799999999997E-2</v>
      </c>
      <c r="R754">
        <v>-0.38613950000000002</v>
      </c>
      <c r="S754">
        <v>3.057159</v>
      </c>
      <c r="T754">
        <v>-0.21293960000000001</v>
      </c>
      <c r="U754">
        <v>-0.58041379999999998</v>
      </c>
      <c r="V754">
        <v>-0.17727579999999901</v>
      </c>
      <c r="W754">
        <v>0.10413169999999999</v>
      </c>
      <c r="X754">
        <v>0.97863670000000003</v>
      </c>
      <c r="Y754">
        <v>-0.37682169999999998</v>
      </c>
      <c r="Z754">
        <v>4.8442529999999998E-2</v>
      </c>
      <c r="AA754">
        <v>0.92501829999999996</v>
      </c>
      <c r="AB754">
        <v>21</v>
      </c>
      <c r="AC754">
        <v>15.729699999999999</v>
      </c>
      <c r="AD754">
        <v>-1.1076737497789999</v>
      </c>
      <c r="AE754">
        <v>-2.9140999999999901</v>
      </c>
      <c r="AF754">
        <v>-6.0964023974061501</v>
      </c>
      <c r="AG754">
        <v>-1.1076737497789999</v>
      </c>
      <c r="AH754">
        <v>14.7075821043369</v>
      </c>
      <c r="AI754">
        <v>93.979826767143507</v>
      </c>
      <c r="AJ754">
        <v>112.514371228069</v>
      </c>
      <c r="AK754">
        <v>15.959512357301501</v>
      </c>
    </row>
    <row r="755" spans="1:37" x14ac:dyDescent="0.2">
      <c r="A755" t="str">
        <f>"20200111150544838"</f>
        <v>20200111150544838</v>
      </c>
      <c r="B755" t="str">
        <f>"1578726344825972"</f>
        <v>1578726344825972</v>
      </c>
      <c r="C755" t="s">
        <v>37</v>
      </c>
      <c r="D755">
        <v>4.9167160000000001</v>
      </c>
      <c r="E755">
        <v>0.41333339999999902</v>
      </c>
      <c r="F755" t="s">
        <v>63</v>
      </c>
      <c r="G755">
        <v>-465.08249999999998</v>
      </c>
      <c r="H755" s="1">
        <v>1.04363E-6</v>
      </c>
      <c r="I755">
        <v>217.45869999999999</v>
      </c>
      <c r="J755">
        <v>-481.02140000000003</v>
      </c>
      <c r="K755">
        <v>1.10744</v>
      </c>
      <c r="L755">
        <v>220.2106</v>
      </c>
      <c r="M755">
        <v>0.84225740000000004</v>
      </c>
      <c r="N755">
        <v>0</v>
      </c>
      <c r="O755">
        <v>-0.53889629999999999</v>
      </c>
      <c r="P755">
        <v>0.92275450000000003</v>
      </c>
      <c r="Q755">
        <v>9.0379070000000006E-2</v>
      </c>
      <c r="R755">
        <v>-0.3746409</v>
      </c>
      <c r="S755">
        <v>3.06152299999999</v>
      </c>
      <c r="T755">
        <v>-0.21046029999999999</v>
      </c>
      <c r="U755">
        <v>-0.54248050000000003</v>
      </c>
      <c r="V755">
        <v>-0.18273739999999999</v>
      </c>
      <c r="W755">
        <v>0.1022236</v>
      </c>
      <c r="X755">
        <v>0.97783299999999995</v>
      </c>
      <c r="Y755">
        <v>-0.38176100000000002</v>
      </c>
      <c r="Z755">
        <v>4.7732789999999997E-2</v>
      </c>
      <c r="AA755">
        <v>0.92302779999999995</v>
      </c>
      <c r="AB755">
        <v>21</v>
      </c>
      <c r="AC755">
        <v>15.9389</v>
      </c>
      <c r="AD755">
        <v>-1.10743895637</v>
      </c>
      <c r="AE755">
        <v>-2.7519</v>
      </c>
      <c r="AF755">
        <v>-6.2429466880930802</v>
      </c>
      <c r="AG755">
        <v>-1.10743895637</v>
      </c>
      <c r="AH755">
        <v>14.8395216144327</v>
      </c>
      <c r="AI755">
        <v>93.935077032924895</v>
      </c>
      <c r="AJ755">
        <v>112.816358844625</v>
      </c>
      <c r="AK755">
        <v>16.137292404169699</v>
      </c>
    </row>
    <row r="756" spans="1:37" x14ac:dyDescent="0.2">
      <c r="A756" t="str">
        <f>"20200111150544882"</f>
        <v>20200111150544882</v>
      </c>
      <c r="B756" t="str">
        <f>"1578726344875861"</f>
        <v>1578726344875861</v>
      </c>
      <c r="C756" t="s">
        <v>37</v>
      </c>
      <c r="D756">
        <v>4.9438050000000002</v>
      </c>
      <c r="E756">
        <v>0.41700989999999999</v>
      </c>
      <c r="F756" t="s">
        <v>63</v>
      </c>
      <c r="G756">
        <v>-465.34059999999999</v>
      </c>
      <c r="H756" s="1">
        <v>1.1756049999999999E-6</v>
      </c>
      <c r="I756">
        <v>217.58160000000001</v>
      </c>
      <c r="J756">
        <v>-480.6678</v>
      </c>
      <c r="K756">
        <v>1.1069309999999899</v>
      </c>
      <c r="L756">
        <v>220.0044</v>
      </c>
      <c r="M756">
        <v>0.84917450000000005</v>
      </c>
      <c r="N756">
        <v>0</v>
      </c>
      <c r="O756">
        <v>-0.527931699999999</v>
      </c>
      <c r="P756">
        <v>0.92950359999999999</v>
      </c>
      <c r="Q756">
        <v>8.7671639999999995E-2</v>
      </c>
      <c r="R756">
        <v>-0.35824159999999999</v>
      </c>
      <c r="S756">
        <v>3.0637509999999999</v>
      </c>
      <c r="T756">
        <v>-0.21637390000000001</v>
      </c>
      <c r="U756">
        <v>-0.51365660000000002</v>
      </c>
      <c r="V756">
        <v>-0.18737110000000001</v>
      </c>
      <c r="W756">
        <v>9.9606360000000005E-2</v>
      </c>
      <c r="X756">
        <v>0.97722600000000004</v>
      </c>
      <c r="Y756">
        <v>-0.37824639999999998</v>
      </c>
      <c r="Z756">
        <v>4.8329629999999998E-2</v>
      </c>
      <c r="AA756">
        <v>0.92444249999999994</v>
      </c>
      <c r="AB756">
        <v>21</v>
      </c>
      <c r="AC756">
        <v>15.327199999999999</v>
      </c>
      <c r="AD756">
        <v>-1.1069298243950001</v>
      </c>
      <c r="AE756">
        <v>-2.4227999999999899</v>
      </c>
      <c r="AF756">
        <v>-6.0043568697801799</v>
      </c>
      <c r="AG756">
        <v>-1.1069298243950001</v>
      </c>
      <c r="AH756">
        <v>14.2235266330648</v>
      </c>
      <c r="AI756">
        <v>94.100932313377598</v>
      </c>
      <c r="AJ756">
        <v>112.88668097449199</v>
      </c>
      <c r="AK756">
        <v>15.478575675342899</v>
      </c>
    </row>
    <row r="757" spans="1:37" x14ac:dyDescent="0.2">
      <c r="A757" t="str">
        <f>"20200111150544907"</f>
        <v>20200111150544907</v>
      </c>
      <c r="B757" t="str">
        <f>"1578726344896355"</f>
        <v>1578726344896355</v>
      </c>
      <c r="C757" t="s">
        <v>37</v>
      </c>
      <c r="D757">
        <v>4.9316500000000003</v>
      </c>
      <c r="E757">
        <v>0.41822129999999902</v>
      </c>
      <c r="F757" t="s">
        <v>63</v>
      </c>
      <c r="G757">
        <v>-465.76260000000002</v>
      </c>
      <c r="H757" s="1">
        <v>1.398145E-6</v>
      </c>
      <c r="I757">
        <v>217.62739999999999</v>
      </c>
      <c r="J757">
        <v>-480.46890000000002</v>
      </c>
      <c r="K757">
        <v>1.10666</v>
      </c>
      <c r="L757">
        <v>219.8903</v>
      </c>
      <c r="M757">
        <v>0.85263729999999904</v>
      </c>
      <c r="N757">
        <v>0</v>
      </c>
      <c r="O757">
        <v>-0.5223217</v>
      </c>
      <c r="P757">
        <v>0.93150169999999999</v>
      </c>
      <c r="Q757">
        <v>8.7613280000000002E-2</v>
      </c>
      <c r="R757">
        <v>-0.35302739999999999</v>
      </c>
      <c r="S757">
        <v>3.0608520000000001</v>
      </c>
      <c r="T757">
        <v>-0.22731289999999901</v>
      </c>
      <c r="U757">
        <v>-0.48812870000000003</v>
      </c>
      <c r="V757">
        <v>-0.1863388</v>
      </c>
      <c r="W757">
        <v>9.9638149999999995E-2</v>
      </c>
      <c r="X757">
        <v>0.97742019999999996</v>
      </c>
      <c r="Y757">
        <v>-0.37930079999999999</v>
      </c>
      <c r="Z757">
        <v>5.0556400000000001E-2</v>
      </c>
      <c r="AA757">
        <v>0.92389120000000002</v>
      </c>
      <c r="AB757">
        <v>21</v>
      </c>
      <c r="AC757">
        <v>14.706300000000001</v>
      </c>
      <c r="AD757">
        <v>-1.106658601855</v>
      </c>
      <c r="AE757">
        <v>-2.2629000000000001</v>
      </c>
      <c r="AF757">
        <v>-5.7208861043331902</v>
      </c>
      <c r="AG757">
        <v>-1.106658601855</v>
      </c>
      <c r="AH757">
        <v>13.646912718566</v>
      </c>
      <c r="AI757">
        <v>94.277002201285498</v>
      </c>
      <c r="AJ757">
        <v>112.743789273934</v>
      </c>
      <c r="AK757">
        <v>14.838849612688</v>
      </c>
    </row>
    <row r="758" spans="1:37" x14ac:dyDescent="0.2">
      <c r="A758" t="str">
        <f>"20200111150544950"</f>
        <v>20200111150544950</v>
      </c>
      <c r="B758" t="str">
        <f>"1578726344946132"</f>
        <v>1578726344946132</v>
      </c>
      <c r="C758" t="s">
        <v>37</v>
      </c>
      <c r="D758">
        <v>5.1088449999999996</v>
      </c>
      <c r="E758">
        <v>0.4326892</v>
      </c>
      <c r="F758" t="s">
        <v>63</v>
      </c>
      <c r="G758">
        <v>-465.63670000000002</v>
      </c>
      <c r="H758" s="1">
        <v>1.333907E-6</v>
      </c>
      <c r="I758">
        <v>217.56479999999999</v>
      </c>
      <c r="J758">
        <v>-480.12490000000003</v>
      </c>
      <c r="K758">
        <v>1.106228</v>
      </c>
      <c r="L758">
        <v>219.6953</v>
      </c>
      <c r="M758">
        <v>0.85792950000000001</v>
      </c>
      <c r="N758">
        <v>0</v>
      </c>
      <c r="O758">
        <v>-0.51358470000000001</v>
      </c>
      <c r="P758">
        <v>0.93386000000000002</v>
      </c>
      <c r="Q758">
        <v>9.3414940000000002E-2</v>
      </c>
      <c r="R758">
        <v>-0.34522350000000002</v>
      </c>
      <c r="S758">
        <v>3.0602419999999899</v>
      </c>
      <c r="T758">
        <v>-0.22833009999999901</v>
      </c>
      <c r="U758">
        <v>-0.47981259999999998</v>
      </c>
      <c r="V758">
        <v>-0.184164299999999</v>
      </c>
      <c r="W758">
        <v>0.1055837</v>
      </c>
      <c r="X758">
        <v>0.97720810000000002</v>
      </c>
      <c r="Y758">
        <v>-0.37228</v>
      </c>
      <c r="Z758">
        <v>4.9998519999999998E-2</v>
      </c>
      <c r="AA758">
        <v>0.92677279999999995</v>
      </c>
      <c r="AB758">
        <v>21</v>
      </c>
      <c r="AC758">
        <v>14.488200000000001</v>
      </c>
      <c r="AD758">
        <v>-1.106226666093</v>
      </c>
      <c r="AE758">
        <v>-2.1305000000000098</v>
      </c>
      <c r="AF758">
        <v>-5.58177371308141</v>
      </c>
      <c r="AG758">
        <v>-1.106226666093</v>
      </c>
      <c r="AH758">
        <v>13.448571978621599</v>
      </c>
      <c r="AI758">
        <v>94.344547773283196</v>
      </c>
      <c r="AJ758">
        <v>112.540690051901</v>
      </c>
      <c r="AK758">
        <v>14.6028772330999</v>
      </c>
    </row>
    <row r="759" spans="1:37" x14ac:dyDescent="0.2">
      <c r="A759" t="str">
        <f>"20200111150544972"</f>
        <v>20200111150544972</v>
      </c>
      <c r="B759" t="str">
        <f>"1578726344966731"</f>
        <v>1578726344966731</v>
      </c>
      <c r="C759" t="s">
        <v>37</v>
      </c>
      <c r="D759">
        <v>4.9261549999999996</v>
      </c>
      <c r="E759">
        <v>0.44404529999999998</v>
      </c>
      <c r="F759" t="s">
        <v>53</v>
      </c>
      <c r="G759">
        <v>0</v>
      </c>
      <c r="H759">
        <v>0</v>
      </c>
      <c r="I759">
        <v>0</v>
      </c>
      <c r="J759">
        <v>-479.93819999999999</v>
      </c>
      <c r="K759">
        <v>1.1060019999999999</v>
      </c>
      <c r="L759">
        <v>219.5907</v>
      </c>
      <c r="M759">
        <v>0.86047309999999999</v>
      </c>
      <c r="N759">
        <v>0</v>
      </c>
      <c r="O759">
        <v>-0.50931289999999996</v>
      </c>
      <c r="P759">
        <v>0.93521790000000005</v>
      </c>
      <c r="Q759">
        <v>9.5379019999999995E-2</v>
      </c>
      <c r="R759">
        <v>-0.34098459999999903</v>
      </c>
      <c r="S759">
        <v>2.9313660000000001</v>
      </c>
      <c r="T759">
        <v>1.0167520000000001</v>
      </c>
      <c r="U759">
        <v>-0.48526000000000002</v>
      </c>
      <c r="V759">
        <v>-0.18358720000000001</v>
      </c>
      <c r="W759">
        <v>0.1076153</v>
      </c>
      <c r="X759">
        <v>0.97709500000000005</v>
      </c>
      <c r="Y759">
        <v>-0.31806630000000002</v>
      </c>
      <c r="Z759">
        <v>-0.215615099999999</v>
      </c>
      <c r="AA759">
        <v>0.92322469999999901</v>
      </c>
      <c r="AB759">
        <v>21</v>
      </c>
      <c r="AC759">
        <v>2.9313660000000001</v>
      </c>
      <c r="AD759">
        <v>1.0167520000000001</v>
      </c>
      <c r="AE759">
        <v>-0.48526000000000002</v>
      </c>
      <c r="AF759">
        <v>-0.96278907810220204</v>
      </c>
      <c r="AG759">
        <v>1.0167520000000001</v>
      </c>
      <c r="AH759">
        <v>2.4794327384721502</v>
      </c>
      <c r="AI759">
        <v>69.079845794633101</v>
      </c>
      <c r="AJ759">
        <v>111.221700233267</v>
      </c>
      <c r="AK759">
        <v>2.84751367740779</v>
      </c>
    </row>
    <row r="760" spans="1:37" x14ac:dyDescent="0.2">
      <c r="A760" t="str">
        <f>"20200111150544995"</f>
        <v>20200111150544995</v>
      </c>
      <c r="B760" t="str">
        <f>"1578726344986252"</f>
        <v>1578726344986252</v>
      </c>
      <c r="C760" t="s">
        <v>37</v>
      </c>
      <c r="D760">
        <v>4.925878</v>
      </c>
      <c r="E760">
        <v>0.44512849999999998</v>
      </c>
      <c r="F760" t="s">
        <v>63</v>
      </c>
      <c r="G760">
        <v>-456.07139999999998</v>
      </c>
      <c r="H760" s="1">
        <v>1.6963519999999999E-6</v>
      </c>
      <c r="I760">
        <v>214.56440000000001</v>
      </c>
      <c r="J760">
        <v>-479.75920000000002</v>
      </c>
      <c r="K760">
        <v>1.1057939999999999</v>
      </c>
      <c r="L760">
        <v>219.49099999999899</v>
      </c>
      <c r="M760">
        <v>0.86271200000000003</v>
      </c>
      <c r="N760">
        <v>0</v>
      </c>
      <c r="O760">
        <v>-0.50551229999999903</v>
      </c>
      <c r="P760">
        <v>0.93651169999999995</v>
      </c>
      <c r="Q760">
        <v>9.5053230000000002E-2</v>
      </c>
      <c r="R760">
        <v>-0.33750730000000001</v>
      </c>
      <c r="S760">
        <v>2.9921880000000001</v>
      </c>
      <c r="T760">
        <v>-0.13865910000000001</v>
      </c>
      <c r="U760">
        <v>-0.63014219999999999</v>
      </c>
      <c r="V760">
        <v>-0.18286839999999999</v>
      </c>
      <c r="W760">
        <v>0.1073508</v>
      </c>
      <c r="X760">
        <v>0.97725890000000004</v>
      </c>
      <c r="Y760">
        <v>-0.31612259999999998</v>
      </c>
      <c r="Z760">
        <v>2.9254869999999999E-2</v>
      </c>
      <c r="AA760">
        <v>0.94826719999999898</v>
      </c>
      <c r="AB760">
        <v>21</v>
      </c>
      <c r="AC760">
        <v>23.687799999999999</v>
      </c>
      <c r="AD760">
        <v>-1.105792303648</v>
      </c>
      <c r="AE760">
        <v>-4.9265999999999703</v>
      </c>
      <c r="AF760">
        <v>-7.7088505298624304</v>
      </c>
      <c r="AG760">
        <v>-1.105792303648</v>
      </c>
      <c r="AH760">
        <v>22.8805368811188</v>
      </c>
      <c r="AI760">
        <v>92.622278990911894</v>
      </c>
      <c r="AJ760">
        <v>108.61956533335101</v>
      </c>
      <c r="AK760">
        <v>24.1695701467528</v>
      </c>
    </row>
    <row r="761" spans="1:37" x14ac:dyDescent="0.2">
      <c r="A761" t="str">
        <f>"20200111150545039"</f>
        <v>20200111150545039</v>
      </c>
      <c r="B761" t="str">
        <f>"1578726345036027"</f>
        <v>1578726345036027</v>
      </c>
      <c r="C761" t="s">
        <v>37</v>
      </c>
      <c r="D761">
        <v>4.9409749999999999</v>
      </c>
      <c r="E761">
        <v>0.4480363</v>
      </c>
      <c r="F761" t="s">
        <v>63</v>
      </c>
      <c r="G761">
        <v>-462.9325</v>
      </c>
      <c r="H761" s="1">
        <v>-3.4601129999999902E-8</v>
      </c>
      <c r="I761">
        <v>215.9513</v>
      </c>
      <c r="J761">
        <v>-479.39659999999998</v>
      </c>
      <c r="K761">
        <v>1.105507</v>
      </c>
      <c r="L761">
        <v>219.29130000000001</v>
      </c>
      <c r="M761">
        <v>0.86682839999999906</v>
      </c>
      <c r="N761">
        <v>0</v>
      </c>
      <c r="O761">
        <v>-0.49842259999999999</v>
      </c>
      <c r="P761">
        <v>0.93906440000000002</v>
      </c>
      <c r="Q761">
        <v>9.4313830000000001E-2</v>
      </c>
      <c r="R761">
        <v>-0.33055029999999902</v>
      </c>
      <c r="S761">
        <v>2.996216</v>
      </c>
      <c r="T761">
        <v>-0.19690189999999999</v>
      </c>
      <c r="U761">
        <v>-0.63029480000000004</v>
      </c>
      <c r="V761">
        <v>-0.18206510000000001</v>
      </c>
      <c r="W761">
        <v>0.106681399999999</v>
      </c>
      <c r="X761">
        <v>0.97748210000000002</v>
      </c>
      <c r="Y761">
        <v>-0.30778129999999998</v>
      </c>
      <c r="Z761">
        <v>4.0801980000000002E-2</v>
      </c>
      <c r="AA761">
        <v>0.95058180000000003</v>
      </c>
      <c r="AB761">
        <v>21</v>
      </c>
      <c r="AC761">
        <v>16.464099999999899</v>
      </c>
      <c r="AD761">
        <v>-1.10550703460113</v>
      </c>
      <c r="AE761">
        <v>-3.34</v>
      </c>
      <c r="AF761">
        <v>-5.2884585005660698</v>
      </c>
      <c r="AG761">
        <v>-1.10550703460113</v>
      </c>
      <c r="AH761">
        <v>15.869022969029499</v>
      </c>
      <c r="AI761">
        <v>93.781238293126904</v>
      </c>
      <c r="AJ761">
        <v>108.43099793153399</v>
      </c>
      <c r="AK761">
        <v>16.763526750279901</v>
      </c>
    </row>
    <row r="762" spans="1:37" x14ac:dyDescent="0.2">
      <c r="A762" t="str">
        <f>"20200111150545059"</f>
        <v>20200111150545059</v>
      </c>
      <c r="B762" t="str">
        <f>"1578726345056054"</f>
        <v>1578726345056054</v>
      </c>
      <c r="C762" t="s">
        <v>37</v>
      </c>
      <c r="D762">
        <v>4.911016</v>
      </c>
      <c r="E762">
        <v>0.44813940000000002</v>
      </c>
      <c r="F762" t="s">
        <v>63</v>
      </c>
      <c r="G762">
        <v>-465.54520000000002</v>
      </c>
      <c r="H762" s="1">
        <v>1.3371539999999899E-6</v>
      </c>
      <c r="I762">
        <v>216.37620000000001</v>
      </c>
      <c r="J762">
        <v>-479.22649999999999</v>
      </c>
      <c r="K762">
        <v>1.105418</v>
      </c>
      <c r="L762">
        <v>219.1985</v>
      </c>
      <c r="M762">
        <v>0.86861559999999904</v>
      </c>
      <c r="N762">
        <v>0</v>
      </c>
      <c r="O762">
        <v>-0.49530190000000002</v>
      </c>
      <c r="P762">
        <v>0.93988400000000005</v>
      </c>
      <c r="Q762">
        <v>9.252821E-2</v>
      </c>
      <c r="R762">
        <v>-0.32872020000000002</v>
      </c>
      <c r="S762">
        <v>2.9967349999999899</v>
      </c>
      <c r="T762">
        <v>-0.23917440000000001</v>
      </c>
      <c r="U762">
        <v>-0.63066099999999903</v>
      </c>
      <c r="V762">
        <v>-0.1805119</v>
      </c>
      <c r="W762">
        <v>0.104918</v>
      </c>
      <c r="X762">
        <v>0.97796099999999997</v>
      </c>
      <c r="Y762">
        <v>-0.30356479999999902</v>
      </c>
      <c r="Z762">
        <v>4.9150199999999998E-2</v>
      </c>
      <c r="AA762">
        <v>0.95154229999999995</v>
      </c>
      <c r="AB762">
        <v>21</v>
      </c>
      <c r="AC762">
        <v>13.681299999999901</v>
      </c>
      <c r="AD762">
        <v>-1.105416662846</v>
      </c>
      <c r="AE762">
        <v>-2.8222999999999798</v>
      </c>
      <c r="AF762">
        <v>-4.2983603712451703</v>
      </c>
      <c r="AG762">
        <v>-1.105416662846</v>
      </c>
      <c r="AH762">
        <v>13.2002393022338</v>
      </c>
      <c r="AI762">
        <v>94.552682693722701</v>
      </c>
      <c r="AJ762">
        <v>108.036671789384</v>
      </c>
      <c r="AK762">
        <v>13.9263837917755</v>
      </c>
    </row>
    <row r="763" spans="1:37" x14ac:dyDescent="0.2">
      <c r="A763" t="str">
        <f>"20200111150545083"</f>
        <v>20200111150545083</v>
      </c>
      <c r="B763" t="str">
        <f>"1578726345076551"</f>
        <v>1578726345076551</v>
      </c>
      <c r="C763" t="s">
        <v>37</v>
      </c>
      <c r="D763">
        <v>4.8682439999999998</v>
      </c>
      <c r="E763">
        <v>0.44901039999999998</v>
      </c>
      <c r="F763" t="s">
        <v>63</v>
      </c>
      <c r="G763">
        <v>-466.22710000000001</v>
      </c>
      <c r="H763" s="1">
        <v>1.6950259999999999E-6</v>
      </c>
      <c r="I763">
        <v>216.4907</v>
      </c>
      <c r="J763">
        <v>-479.03899999999999</v>
      </c>
      <c r="K763">
        <v>1.1053679999999999</v>
      </c>
      <c r="L763">
        <v>219.09700000000001</v>
      </c>
      <c r="M763">
        <v>0.87051880000000004</v>
      </c>
      <c r="N763">
        <v>0</v>
      </c>
      <c r="O763">
        <v>-0.4919499</v>
      </c>
      <c r="P763">
        <v>0.94064669999999895</v>
      </c>
      <c r="Q763">
        <v>9.0693499999999996E-2</v>
      </c>
      <c r="R763">
        <v>-0.32704569999999999</v>
      </c>
      <c r="S763">
        <v>2.9985659999999998</v>
      </c>
      <c r="T763">
        <v>-0.25498520000000002</v>
      </c>
      <c r="U763">
        <v>-0.62460329999999997</v>
      </c>
      <c r="V763">
        <v>-0.17854890000000001</v>
      </c>
      <c r="W763">
        <v>0.10309589999999901</v>
      </c>
      <c r="X763">
        <v>0.97851499999999902</v>
      </c>
      <c r="Y763">
        <v>-0.3015602</v>
      </c>
      <c r="Z763">
        <v>5.204611E-2</v>
      </c>
      <c r="AA763">
        <v>0.95202559999999903</v>
      </c>
      <c r="AB763">
        <v>21</v>
      </c>
      <c r="AC763">
        <v>12.8118999999999</v>
      </c>
      <c r="AD763">
        <v>-1.1053663049739999</v>
      </c>
      <c r="AE763">
        <v>-2.6063000000000001</v>
      </c>
      <c r="AF763">
        <v>-4.0057153359489002</v>
      </c>
      <c r="AG763">
        <v>-1.1053663049739999</v>
      </c>
      <c r="AH763">
        <v>12.348040717502601</v>
      </c>
      <c r="AI763">
        <v>94.866951122293898</v>
      </c>
      <c r="AJ763">
        <v>107.97310875545701</v>
      </c>
      <c r="AK763">
        <v>13.028495676091399</v>
      </c>
    </row>
    <row r="764" spans="1:37" x14ac:dyDescent="0.2">
      <c r="A764" t="str">
        <f>"20200111150545105"</f>
        <v>20200111150545105</v>
      </c>
      <c r="B764" t="str">
        <f>"1578726345096070"</f>
        <v>1578726345096070</v>
      </c>
      <c r="C764" t="s">
        <v>37</v>
      </c>
      <c r="D764">
        <v>4.9621339999999998</v>
      </c>
      <c r="E764">
        <v>0.449984</v>
      </c>
      <c r="F764" t="s">
        <v>63</v>
      </c>
      <c r="G764">
        <v>-466.3424</v>
      </c>
      <c r="H764" s="1">
        <v>1.758094E-6</v>
      </c>
      <c r="I764">
        <v>216.45169999999999</v>
      </c>
      <c r="J764">
        <v>-478.8569</v>
      </c>
      <c r="K764">
        <v>1.1053519999999999</v>
      </c>
      <c r="L764">
        <v>218.9991</v>
      </c>
      <c r="M764">
        <v>0.87232189999999998</v>
      </c>
      <c r="N764">
        <v>0</v>
      </c>
      <c r="O764">
        <v>-0.48874620000000002</v>
      </c>
      <c r="P764">
        <v>0.94129609999999997</v>
      </c>
      <c r="Q764">
        <v>8.9689450000000004E-2</v>
      </c>
      <c r="R764">
        <v>-0.32545000000000002</v>
      </c>
      <c r="S764">
        <v>2.9973450000000001</v>
      </c>
      <c r="T764">
        <v>-0.26094889999999998</v>
      </c>
      <c r="U764">
        <v>-0.62448119999999996</v>
      </c>
      <c r="V764">
        <v>-0.17664540000000001</v>
      </c>
      <c r="W764">
        <v>0.10209650000000001</v>
      </c>
      <c r="X764">
        <v>0.97896510000000003</v>
      </c>
      <c r="Y764">
        <v>-0.29791339999999999</v>
      </c>
      <c r="Z764">
        <v>5.2885719999999997E-2</v>
      </c>
      <c r="AA764">
        <v>0.95312680000000005</v>
      </c>
      <c r="AB764">
        <v>21</v>
      </c>
      <c r="AC764">
        <v>12.5144999999999</v>
      </c>
      <c r="AD764">
        <v>-1.105350241906</v>
      </c>
      <c r="AE764">
        <v>-2.5474000000000099</v>
      </c>
      <c r="AF764">
        <v>-3.8656575679581202</v>
      </c>
      <c r="AG764">
        <v>-1.105350241906</v>
      </c>
      <c r="AH764">
        <v>12.072374915800401</v>
      </c>
      <c r="AI764">
        <v>94.983529177392697</v>
      </c>
      <c r="AJ764">
        <v>107.755423559989</v>
      </c>
      <c r="AK764">
        <v>12.724281657431201</v>
      </c>
    </row>
    <row r="765" spans="1:37" x14ac:dyDescent="0.2">
      <c r="A765" t="str">
        <f>"20200111150545150"</f>
        <v>20200111150545150</v>
      </c>
      <c r="B765" t="str">
        <f>"1578726345145846"</f>
        <v>1578726345145846</v>
      </c>
      <c r="C765" t="s">
        <v>37</v>
      </c>
      <c r="D765">
        <v>5.0207920000000001</v>
      </c>
      <c r="E765">
        <v>0.45069559999999997</v>
      </c>
      <c r="F765" t="s">
        <v>63</v>
      </c>
      <c r="G765">
        <v>-466.38490000000002</v>
      </c>
      <c r="H765" s="1">
        <v>1.7832980000000001E-6</v>
      </c>
      <c r="I765">
        <v>216.3929</v>
      </c>
      <c r="J765">
        <v>-478.50110000000001</v>
      </c>
      <c r="K765">
        <v>1.105364</v>
      </c>
      <c r="L765">
        <v>218.81030000000001</v>
      </c>
      <c r="M765">
        <v>0.87578489999999998</v>
      </c>
      <c r="N765">
        <v>0</v>
      </c>
      <c r="O765">
        <v>-0.48251369999999999</v>
      </c>
      <c r="P765">
        <v>0.94254139999999997</v>
      </c>
      <c r="Q765">
        <v>9.0684050000000002E-2</v>
      </c>
      <c r="R765">
        <v>-0.32154670000000002</v>
      </c>
      <c r="S765">
        <v>2.9959720000000001</v>
      </c>
      <c r="T765">
        <v>-0.26552399999999998</v>
      </c>
      <c r="U765">
        <v>-0.62605290000000002</v>
      </c>
      <c r="V765">
        <v>-0.1736781</v>
      </c>
      <c r="W765">
        <v>0.1030779</v>
      </c>
      <c r="X765">
        <v>0.97939310000000002</v>
      </c>
      <c r="Y765">
        <v>-0.2904854</v>
      </c>
      <c r="Z765">
        <v>5.3031880000000003E-2</v>
      </c>
      <c r="AA765">
        <v>0.95540879999999995</v>
      </c>
      <c r="AB765">
        <v>21</v>
      </c>
      <c r="AC765">
        <v>12.1161999999999</v>
      </c>
      <c r="AD765">
        <v>-1.1053622167020001</v>
      </c>
      <c r="AE765">
        <v>-2.41740000000001</v>
      </c>
      <c r="AF765">
        <v>-3.6998336512502901</v>
      </c>
      <c r="AG765">
        <v>-1.1053622167020001</v>
      </c>
      <c r="AH765">
        <v>11.685150168261099</v>
      </c>
      <c r="AI765">
        <v>95.153158545904603</v>
      </c>
      <c r="AJ765">
        <v>107.569191412986</v>
      </c>
      <c r="AK765">
        <v>12.3066376046363</v>
      </c>
    </row>
    <row r="766" spans="1:37" x14ac:dyDescent="0.2">
      <c r="A766" t="str">
        <f>"20200111150545172"</f>
        <v>20200111150545172</v>
      </c>
      <c r="B766" t="str">
        <f>"1578726345165874"</f>
        <v>1578726345165874</v>
      </c>
      <c r="C766" t="s">
        <v>37</v>
      </c>
      <c r="D766">
        <v>4.9578949999999997</v>
      </c>
      <c r="E766">
        <v>0.4513548</v>
      </c>
      <c r="F766" t="s">
        <v>63</v>
      </c>
      <c r="G766">
        <v>-464.87099999999998</v>
      </c>
      <c r="H766" s="1">
        <v>9.9491250000000002E-7</v>
      </c>
      <c r="I766">
        <v>215.9984</v>
      </c>
      <c r="J766">
        <v>-478.31009999999998</v>
      </c>
      <c r="K766">
        <v>1.10538799999999</v>
      </c>
      <c r="L766">
        <v>218.71019999999999</v>
      </c>
      <c r="M766">
        <v>0.87763419999999903</v>
      </c>
      <c r="N766">
        <v>0</v>
      </c>
      <c r="O766">
        <v>-0.47914250000000003</v>
      </c>
      <c r="P766">
        <v>0.94341830000000004</v>
      </c>
      <c r="Q766">
        <v>9.1436210000000004E-2</v>
      </c>
      <c r="R766">
        <v>-0.3187508</v>
      </c>
      <c r="S766">
        <v>2.995422</v>
      </c>
      <c r="T766">
        <v>-0.24292079999999999</v>
      </c>
      <c r="U766">
        <v>-0.61796569999999995</v>
      </c>
      <c r="V766">
        <v>-0.1727891</v>
      </c>
      <c r="W766">
        <v>0.103814</v>
      </c>
      <c r="X766">
        <v>0.97947260000000003</v>
      </c>
      <c r="Y766">
        <v>-0.28969600000000001</v>
      </c>
      <c r="Z766">
        <v>4.8293719999999998E-2</v>
      </c>
      <c r="AA766">
        <v>0.95589950000000001</v>
      </c>
      <c r="AB766">
        <v>21</v>
      </c>
      <c r="AC766">
        <v>13.4390999999999</v>
      </c>
      <c r="AD766">
        <v>-1.1053870050875001</v>
      </c>
      <c r="AE766">
        <v>-2.7117999999999798</v>
      </c>
      <c r="AF766">
        <v>-4.0334225002120201</v>
      </c>
      <c r="AG766">
        <v>-1.1053870050875001</v>
      </c>
      <c r="AH766">
        <v>13.0105585676699</v>
      </c>
      <c r="AI766">
        <v>94.639422431146002</v>
      </c>
      <c r="AJ766">
        <v>107.224036208142</v>
      </c>
      <c r="AK766">
        <v>13.6661996084867</v>
      </c>
    </row>
    <row r="767" spans="1:37" x14ac:dyDescent="0.2">
      <c r="A767" t="str">
        <f>"20200111150545197"</f>
        <v>20200111150545197</v>
      </c>
      <c r="B767" t="str">
        <f>"1578726345186371"</f>
        <v>1578726345186371</v>
      </c>
      <c r="C767" t="s">
        <v>37</v>
      </c>
      <c r="D767">
        <v>5.150455</v>
      </c>
      <c r="E767">
        <v>0.45139119999999999</v>
      </c>
      <c r="F767" t="s">
        <v>63</v>
      </c>
      <c r="G767">
        <v>-464.69799999999998</v>
      </c>
      <c r="H767" s="1">
        <v>9.0636299999999995E-7</v>
      </c>
      <c r="I767">
        <v>215.91800000000001</v>
      </c>
      <c r="J767">
        <v>-478.1157</v>
      </c>
      <c r="K767">
        <v>1.1054109999999999</v>
      </c>
      <c r="L767">
        <v>218.6095</v>
      </c>
      <c r="M767">
        <v>0.87951239999999997</v>
      </c>
      <c r="N767">
        <v>0</v>
      </c>
      <c r="O767">
        <v>-0.47568589999999999</v>
      </c>
      <c r="P767">
        <v>0.9447411</v>
      </c>
      <c r="Q767">
        <v>9.0578859999999997E-2</v>
      </c>
      <c r="R767">
        <v>-0.31505569999999999</v>
      </c>
      <c r="S767">
        <v>2.9958499999999999</v>
      </c>
      <c r="T767">
        <v>-0.24328269999999999</v>
      </c>
      <c r="U767">
        <v>-0.61453250000000004</v>
      </c>
      <c r="V767">
        <v>-0.17281289999999999</v>
      </c>
      <c r="W767">
        <v>0.1029351</v>
      </c>
      <c r="X767">
        <v>0.97956119999999902</v>
      </c>
      <c r="Y767">
        <v>-0.28701919999999997</v>
      </c>
      <c r="Z767">
        <v>4.801764E-2</v>
      </c>
      <c r="AA767">
        <v>0.95672060000000003</v>
      </c>
      <c r="AB767">
        <v>21</v>
      </c>
      <c r="AC767">
        <v>13.4176999999999</v>
      </c>
      <c r="AD767">
        <v>-1.1054100936369999</v>
      </c>
      <c r="AE767">
        <v>-2.6914999999999898</v>
      </c>
      <c r="AF767">
        <v>-3.98973456750105</v>
      </c>
      <c r="AG767">
        <v>-1.1054100936369999</v>
      </c>
      <c r="AH767">
        <v>12.9977195058823</v>
      </c>
      <c r="AI767">
        <v>94.648062294446902</v>
      </c>
      <c r="AJ767">
        <v>107.064208810645</v>
      </c>
      <c r="AK767">
        <v>13.6411372600609</v>
      </c>
    </row>
    <row r="768" spans="1:37" x14ac:dyDescent="0.2">
      <c r="A768" t="str">
        <f>"20200111150545217"</f>
        <v>20200111150545217</v>
      </c>
      <c r="B768" t="str">
        <f>"1578726345206866"</f>
        <v>1578726345206866</v>
      </c>
      <c r="C768" t="s">
        <v>37</v>
      </c>
      <c r="D768">
        <v>5.1317339999999998</v>
      </c>
      <c r="E768">
        <v>0.45054309999999997</v>
      </c>
      <c r="F768" t="s">
        <v>63</v>
      </c>
      <c r="G768">
        <v>-464.71210000000002</v>
      </c>
      <c r="H768" s="1">
        <v>9.1406319999999998E-7</v>
      </c>
      <c r="I768">
        <v>215.91309999999999</v>
      </c>
      <c r="J768">
        <v>-477.94209999999998</v>
      </c>
      <c r="K768">
        <v>1.1054310000000001</v>
      </c>
      <c r="L768">
        <v>218.52029999999999</v>
      </c>
      <c r="M768">
        <v>0.88118609999999897</v>
      </c>
      <c r="N768">
        <v>0</v>
      </c>
      <c r="O768">
        <v>-0.47257890000000002</v>
      </c>
      <c r="P768">
        <v>0.9461136</v>
      </c>
      <c r="Q768">
        <v>8.8476180000000001E-2</v>
      </c>
      <c r="R768">
        <v>-0.31151420000000002</v>
      </c>
      <c r="S768">
        <v>2.9980470000000001</v>
      </c>
      <c r="T768">
        <v>-0.24725159999999999</v>
      </c>
      <c r="U768">
        <v>-0.60310359999999996</v>
      </c>
      <c r="V768">
        <v>-0.17311650000000001</v>
      </c>
      <c r="W768">
        <v>0.1008138</v>
      </c>
      <c r="X768">
        <v>0.97972819999999905</v>
      </c>
      <c r="Y768">
        <v>-0.28721479999999999</v>
      </c>
      <c r="Z768">
        <v>4.8576800000000003E-2</v>
      </c>
      <c r="AA768">
        <v>0.95663369999999903</v>
      </c>
      <c r="AB768">
        <v>21</v>
      </c>
      <c r="AC768">
        <v>13.229999999999899</v>
      </c>
      <c r="AD768">
        <v>-1.1054300859368</v>
      </c>
      <c r="AE768">
        <v>-2.6072000000000002</v>
      </c>
      <c r="AF768">
        <v>-3.9287441113837298</v>
      </c>
      <c r="AG768">
        <v>-1.1054300859368</v>
      </c>
      <c r="AH768">
        <v>12.8053046754302</v>
      </c>
      <c r="AI768">
        <v>94.717875207311906</v>
      </c>
      <c r="AJ768">
        <v>107.05632686244201</v>
      </c>
      <c r="AK768">
        <v>13.4399714954393</v>
      </c>
    </row>
    <row r="769" spans="1:37" x14ac:dyDescent="0.2">
      <c r="A769" t="str">
        <f>"20200111150545240"</f>
        <v>20200111150545240</v>
      </c>
      <c r="B769" t="str">
        <f>"1578726345236146"</f>
        <v>1578726345236146</v>
      </c>
      <c r="C769" t="s">
        <v>37</v>
      </c>
      <c r="D769">
        <v>5.1302240000000001</v>
      </c>
      <c r="E769">
        <v>0.44977040000000001</v>
      </c>
      <c r="F769" t="s">
        <v>63</v>
      </c>
      <c r="G769">
        <v>-465.08479999999997</v>
      </c>
      <c r="H769" s="1">
        <v>1.107977E-6</v>
      </c>
      <c r="I769">
        <v>216.01410000000001</v>
      </c>
      <c r="J769">
        <v>-477.76119999999997</v>
      </c>
      <c r="K769">
        <v>1.105451</v>
      </c>
      <c r="L769">
        <v>218.4281</v>
      </c>
      <c r="M769">
        <v>0.88292569999999904</v>
      </c>
      <c r="N769">
        <v>0</v>
      </c>
      <c r="O769">
        <v>-0.46932079999999998</v>
      </c>
      <c r="P769">
        <v>0.94769130000000001</v>
      </c>
      <c r="Q769">
        <v>8.652791E-2</v>
      </c>
      <c r="R769">
        <v>-0.30723689999999998</v>
      </c>
      <c r="S769">
        <v>3.00228899999999</v>
      </c>
      <c r="T769">
        <v>-0.25812600000000002</v>
      </c>
      <c r="U769">
        <v>-0.58522030000000003</v>
      </c>
      <c r="V769">
        <v>-0.17400539999999901</v>
      </c>
      <c r="W769">
        <v>9.8844810000000005E-2</v>
      </c>
      <c r="X769">
        <v>0.97977130000000001</v>
      </c>
      <c r="Y769">
        <v>-0.2892188</v>
      </c>
      <c r="Z769">
        <v>5.052069E-2</v>
      </c>
      <c r="AA769">
        <v>0.95592900000000003</v>
      </c>
      <c r="AB769">
        <v>21</v>
      </c>
      <c r="AC769">
        <v>12.676399999999999</v>
      </c>
      <c r="AD769">
        <v>-1.105449892023</v>
      </c>
      <c r="AE769">
        <v>-2.4139999999999802</v>
      </c>
      <c r="AF769">
        <v>-3.7904428836370099</v>
      </c>
      <c r="AG769">
        <v>-1.105449892023</v>
      </c>
      <c r="AH769">
        <v>12.2365705900501</v>
      </c>
      <c r="AI769">
        <v>94.932094182641194</v>
      </c>
      <c r="AJ769">
        <v>107.21107272633</v>
      </c>
      <c r="AK769">
        <v>12.8578044985591</v>
      </c>
    </row>
    <row r="770" spans="1:37" x14ac:dyDescent="0.2">
      <c r="A770" t="str">
        <f>"20200111150545286"</f>
        <v>20200111150545286</v>
      </c>
      <c r="B770" t="str">
        <f>"1578726345276163"</f>
        <v>1578726345276163</v>
      </c>
      <c r="C770" t="s">
        <v>37</v>
      </c>
      <c r="D770">
        <v>5.15855</v>
      </c>
      <c r="E770">
        <v>0.44922440000000002</v>
      </c>
      <c r="F770" t="s">
        <v>63</v>
      </c>
      <c r="G770">
        <v>-465.36290000000002</v>
      </c>
      <c r="H770" s="1">
        <v>1.252299E-6</v>
      </c>
      <c r="I770">
        <v>216.09870000000001</v>
      </c>
      <c r="J770">
        <v>-477.38130000000001</v>
      </c>
      <c r="K770">
        <v>1.1054629999999901</v>
      </c>
      <c r="L770">
        <v>218.23750000000001</v>
      </c>
      <c r="M770">
        <v>0.88654940000000004</v>
      </c>
      <c r="N770">
        <v>0</v>
      </c>
      <c r="O770">
        <v>-0.46243959999999901</v>
      </c>
      <c r="P770">
        <v>0.95073839999999998</v>
      </c>
      <c r="Q770">
        <v>8.581416E-2</v>
      </c>
      <c r="R770">
        <v>-0.29788009999999998</v>
      </c>
      <c r="S770">
        <v>3.0069270000000001</v>
      </c>
      <c r="T770">
        <v>-0.26810309999999998</v>
      </c>
      <c r="U770">
        <v>-0.56495669999999898</v>
      </c>
      <c r="V770">
        <v>-0.1760804</v>
      </c>
      <c r="W770">
        <v>9.8090810000000001E-2</v>
      </c>
      <c r="X770">
        <v>0.97947629999999997</v>
      </c>
      <c r="Y770">
        <v>-0.28809859999999998</v>
      </c>
      <c r="Z770">
        <v>5.1851840000000003E-2</v>
      </c>
      <c r="AA770">
        <v>0.95619589999999999</v>
      </c>
      <c r="AB770">
        <v>21</v>
      </c>
      <c r="AC770">
        <v>12.0183999999999</v>
      </c>
      <c r="AD770">
        <v>-1.10546174770099</v>
      </c>
      <c r="AE770">
        <v>-2.1387999999999998</v>
      </c>
      <c r="AF770">
        <v>-3.6321748727610701</v>
      </c>
      <c r="AG770">
        <v>-1.10546174770099</v>
      </c>
      <c r="AH770">
        <v>11.550296879160401</v>
      </c>
      <c r="AI770">
        <v>95.216676820691006</v>
      </c>
      <c r="AJ770">
        <v>107.456585411924</v>
      </c>
      <c r="AK770">
        <v>12.158293382654</v>
      </c>
    </row>
    <row r="771" spans="1:37" x14ac:dyDescent="0.2">
      <c r="A771" t="str">
        <f>"20200111150545308"</f>
        <v>20200111150545308</v>
      </c>
      <c r="B771" t="str">
        <f>"1578726345296659"</f>
        <v>1578726345296659</v>
      </c>
      <c r="C771" t="s">
        <v>37</v>
      </c>
      <c r="D771">
        <v>5.1658390000000001</v>
      </c>
      <c r="E771">
        <v>0.44905139999999999</v>
      </c>
      <c r="F771" t="s">
        <v>63</v>
      </c>
      <c r="G771">
        <v>-465.44819999999999</v>
      </c>
      <c r="H771" s="1">
        <v>1.2959580000000001E-6</v>
      </c>
      <c r="I771">
        <v>216.13829999999999</v>
      </c>
      <c r="J771">
        <v>-477.2072</v>
      </c>
      <c r="K771">
        <v>1.105464</v>
      </c>
      <c r="L771">
        <v>218.1515</v>
      </c>
      <c r="M771">
        <v>0.88819199999999998</v>
      </c>
      <c r="N771">
        <v>0</v>
      </c>
      <c r="O771">
        <v>-0.45927699999999999</v>
      </c>
      <c r="P771">
        <v>0.95244819999999997</v>
      </c>
      <c r="Q771">
        <v>8.5340579999999999E-2</v>
      </c>
      <c r="R771">
        <v>-0.2925064</v>
      </c>
      <c r="S771">
        <v>3.014465</v>
      </c>
      <c r="T771">
        <v>-0.27925559999999899</v>
      </c>
      <c r="U771">
        <v>-0.530304</v>
      </c>
      <c r="V771">
        <v>-0.17814189999999999</v>
      </c>
      <c r="W771">
        <v>9.7595390000000004E-2</v>
      </c>
      <c r="X771">
        <v>0.97915300000000005</v>
      </c>
      <c r="Y771">
        <v>-0.29550900000000002</v>
      </c>
      <c r="Z771">
        <v>5.4032999999999998E-2</v>
      </c>
      <c r="AA771">
        <v>0.95381079999999996</v>
      </c>
      <c r="AB771">
        <v>21</v>
      </c>
      <c r="AC771">
        <v>11.759</v>
      </c>
      <c r="AD771">
        <v>-1.105462704042</v>
      </c>
      <c r="AE771">
        <v>-2.0132000000000101</v>
      </c>
      <c r="AF771">
        <v>-3.5820979824218999</v>
      </c>
      <c r="AG771">
        <v>-1.105462704042</v>
      </c>
      <c r="AH771">
        <v>11.2730943126578</v>
      </c>
      <c r="AI771">
        <v>95.339202090964093</v>
      </c>
      <c r="AJ771">
        <v>107.627988195789</v>
      </c>
      <c r="AK771">
        <v>11.880072774515201</v>
      </c>
    </row>
    <row r="772" spans="1:37" x14ac:dyDescent="0.2">
      <c r="A772" t="str">
        <f>"20200111150545332"</f>
        <v>20200111150545332</v>
      </c>
      <c r="B772" t="str">
        <f>"1578726345325939"</f>
        <v>1578726345325939</v>
      </c>
      <c r="C772" t="s">
        <v>37</v>
      </c>
      <c r="D772">
        <v>5.2310610000000004</v>
      </c>
      <c r="E772">
        <v>0.4481541</v>
      </c>
      <c r="F772" t="s">
        <v>63</v>
      </c>
      <c r="G772">
        <v>-465.3494</v>
      </c>
      <c r="H772" s="1">
        <v>1.2431399999999901E-6</v>
      </c>
      <c r="I772">
        <v>216.1429</v>
      </c>
      <c r="J772">
        <v>-477.00810000000001</v>
      </c>
      <c r="K772">
        <v>1.1054580000000001</v>
      </c>
      <c r="L772">
        <v>218.0538</v>
      </c>
      <c r="M772">
        <v>0.89005699999999999</v>
      </c>
      <c r="N772">
        <v>0</v>
      </c>
      <c r="O772">
        <v>-0.45565220000000001</v>
      </c>
      <c r="P772">
        <v>0.954511</v>
      </c>
      <c r="Q772">
        <v>8.2097870000000003E-2</v>
      </c>
      <c r="R772">
        <v>-0.2866513</v>
      </c>
      <c r="S772">
        <v>3.018005</v>
      </c>
      <c r="T772">
        <v>-0.28135700000000002</v>
      </c>
      <c r="U772">
        <v>-0.51119999999999999</v>
      </c>
      <c r="V772">
        <v>-0.18028029999999901</v>
      </c>
      <c r="W772">
        <v>9.4334130000000002E-2</v>
      </c>
      <c r="X772">
        <v>0.97908130000000004</v>
      </c>
      <c r="Y772">
        <v>-0.2976316</v>
      </c>
      <c r="Z772">
        <v>5.4220280000000003E-2</v>
      </c>
      <c r="AA772">
        <v>0.95313979999999998</v>
      </c>
      <c r="AB772">
        <v>21</v>
      </c>
      <c r="AC772">
        <v>11.6587</v>
      </c>
      <c r="AD772">
        <v>-1.10545675686</v>
      </c>
      <c r="AE772">
        <v>-1.9108999999999901</v>
      </c>
      <c r="AF772">
        <v>-3.5804786514388298</v>
      </c>
      <c r="AG772">
        <v>-1.10545675686</v>
      </c>
      <c r="AH772">
        <v>11.1509934526217</v>
      </c>
      <c r="AI772">
        <v>95.392110216133503</v>
      </c>
      <c r="AJ772">
        <v>107.801333704078</v>
      </c>
      <c r="AK772">
        <v>11.763779877025399</v>
      </c>
    </row>
    <row r="773" spans="1:37" x14ac:dyDescent="0.2">
      <c r="A773" t="str">
        <f>"20200111150545357"</f>
        <v>20200111150545357</v>
      </c>
      <c r="B773" t="str">
        <f>"1578726345346435"</f>
        <v>1578726345346435</v>
      </c>
      <c r="C773" t="s">
        <v>37</v>
      </c>
      <c r="D773">
        <v>5.1710310000000002</v>
      </c>
      <c r="E773">
        <v>0.447787299999999</v>
      </c>
      <c r="F773" t="s">
        <v>63</v>
      </c>
      <c r="G773">
        <v>-465.58</v>
      </c>
      <c r="H773" s="1">
        <v>1.3624289999999901E-6</v>
      </c>
      <c r="I773">
        <v>216.22190000000001</v>
      </c>
      <c r="J773">
        <v>-476.80869999999999</v>
      </c>
      <c r="K773">
        <v>1.1054660000000001</v>
      </c>
      <c r="L773">
        <v>217.9573</v>
      </c>
      <c r="M773">
        <v>0.89191799999999999</v>
      </c>
      <c r="N773">
        <v>0</v>
      </c>
      <c r="O773">
        <v>-0.45199859999999997</v>
      </c>
      <c r="P773">
        <v>0.95603379999999905</v>
      </c>
      <c r="Q773">
        <v>7.9080919999999999E-2</v>
      </c>
      <c r="R773">
        <v>-0.28239309999999901</v>
      </c>
      <c r="S773">
        <v>3.0226139999999999</v>
      </c>
      <c r="T773">
        <v>-0.292383</v>
      </c>
      <c r="U773">
        <v>-0.4845276</v>
      </c>
      <c r="V773">
        <v>-0.18073349999999999</v>
      </c>
      <c r="W773">
        <v>9.1307429999999995E-2</v>
      </c>
      <c r="X773">
        <v>0.97928459999999995</v>
      </c>
      <c r="Y773">
        <v>-0.3019017</v>
      </c>
      <c r="Z773">
        <v>5.6205369999999998E-2</v>
      </c>
      <c r="AA773">
        <v>0.95168079999999999</v>
      </c>
      <c r="AB773">
        <v>21</v>
      </c>
      <c r="AC773">
        <v>11.2287</v>
      </c>
      <c r="AD773">
        <v>-1.105464637571</v>
      </c>
      <c r="AE773">
        <v>-1.7353999999999901</v>
      </c>
      <c r="AF773">
        <v>-3.4947565683567401</v>
      </c>
      <c r="AG773">
        <v>-1.105464637571</v>
      </c>
      <c r="AH773">
        <v>10.699166378265801</v>
      </c>
      <c r="AI773">
        <v>95.609361246079899</v>
      </c>
      <c r="AJ773">
        <v>108.089016188165</v>
      </c>
      <c r="AK773">
        <v>11.309621422788901</v>
      </c>
    </row>
    <row r="774" spans="1:37" x14ac:dyDescent="0.2">
      <c r="A774" t="str">
        <f>"20200111150545397"</f>
        <v>20200111150545397</v>
      </c>
      <c r="B774" t="str">
        <f>"1578726345386452"</f>
        <v>1578726345386452</v>
      </c>
      <c r="C774" t="s">
        <v>37</v>
      </c>
      <c r="D774">
        <v>5.1764510000000001</v>
      </c>
      <c r="E774">
        <v>0.44783959999999901</v>
      </c>
      <c r="F774" t="s">
        <v>63</v>
      </c>
      <c r="G774">
        <v>-465.71769999999998</v>
      </c>
      <c r="H774" s="1">
        <v>1.4344350000000001E-6</v>
      </c>
      <c r="I774">
        <v>216.2516</v>
      </c>
      <c r="J774">
        <v>-476.47590000000002</v>
      </c>
      <c r="K774">
        <v>1.105534</v>
      </c>
      <c r="L774">
        <v>217.79839999999999</v>
      </c>
      <c r="M774">
        <v>0.89503189999999999</v>
      </c>
      <c r="N774">
        <v>0</v>
      </c>
      <c r="O774">
        <v>-0.44580059999999899</v>
      </c>
      <c r="P774">
        <v>0.95649249999999997</v>
      </c>
      <c r="Q774">
        <v>8.1354019999999999E-2</v>
      </c>
      <c r="R774">
        <v>-0.28018530000000003</v>
      </c>
      <c r="S774">
        <v>3.025452</v>
      </c>
      <c r="T774">
        <v>-0.30155599999999999</v>
      </c>
      <c r="U774">
        <v>-0.46528629999999999</v>
      </c>
      <c r="V774">
        <v>-0.17613239999999999</v>
      </c>
      <c r="W774">
        <v>9.3586920000000004E-2</v>
      </c>
      <c r="X774">
        <v>0.97990759999999899</v>
      </c>
      <c r="Y774">
        <v>-0.30116300000000001</v>
      </c>
      <c r="Z774">
        <v>5.7367139999999997E-2</v>
      </c>
      <c r="AA774">
        <v>0.95184550000000001</v>
      </c>
      <c r="AB774">
        <v>21</v>
      </c>
      <c r="AC774">
        <v>10.7582</v>
      </c>
      <c r="AD774">
        <v>-1.1055325655649999</v>
      </c>
      <c r="AE774">
        <v>-1.54679999999999</v>
      </c>
      <c r="AF774">
        <v>-3.3769450039859801</v>
      </c>
      <c r="AG774">
        <v>-1.1055325655649999</v>
      </c>
      <c r="AH774">
        <v>10.213751217989699</v>
      </c>
      <c r="AI774">
        <v>95.867588045827205</v>
      </c>
      <c r="AJ774">
        <v>108.295295947745</v>
      </c>
      <c r="AK774">
        <v>10.814188538973101</v>
      </c>
    </row>
    <row r="775" spans="1:37" x14ac:dyDescent="0.2">
      <c r="A775" t="str">
        <f>"20200111150545442"</f>
        <v>20200111150545442</v>
      </c>
      <c r="B775" t="str">
        <f>"1578726345436226"</f>
        <v>1578726345436226</v>
      </c>
      <c r="C775" t="s">
        <v>37</v>
      </c>
      <c r="D775">
        <v>5.1617989999999896</v>
      </c>
      <c r="E775">
        <v>0.44790379999999902</v>
      </c>
      <c r="F775" t="s">
        <v>63</v>
      </c>
      <c r="G775">
        <v>-465.21460000000002</v>
      </c>
      <c r="H775" s="1">
        <v>1.1735769999999899E-6</v>
      </c>
      <c r="I775">
        <v>216.09360000000001</v>
      </c>
      <c r="J775">
        <v>-476.1114</v>
      </c>
      <c r="K775">
        <v>1.105645</v>
      </c>
      <c r="L775">
        <v>217.62799999999999</v>
      </c>
      <c r="M775">
        <v>0.89849169999999901</v>
      </c>
      <c r="N775">
        <v>0</v>
      </c>
      <c r="O775">
        <v>-0.43878599999999901</v>
      </c>
      <c r="P775">
        <v>0.9567831</v>
      </c>
      <c r="Q775">
        <v>8.4463629999999998E-2</v>
      </c>
      <c r="R775">
        <v>-0.27826679999999998</v>
      </c>
      <c r="S775">
        <v>3.0274349999999899</v>
      </c>
      <c r="T775">
        <v>-0.29720590000000002</v>
      </c>
      <c r="U775">
        <v>-0.45831300000000003</v>
      </c>
      <c r="V775">
        <v>-0.17034250000000001</v>
      </c>
      <c r="W775">
        <v>9.6698889999999996E-2</v>
      </c>
      <c r="X775">
        <v>0.98062879999999997</v>
      </c>
      <c r="Y775">
        <v>-0.29609429999999998</v>
      </c>
      <c r="Z775">
        <v>5.5663379999999998E-2</v>
      </c>
      <c r="AA775">
        <v>0.95353539999999903</v>
      </c>
      <c r="AB775">
        <v>20</v>
      </c>
      <c r="AC775">
        <v>10.896799999999899</v>
      </c>
      <c r="AD775">
        <v>-1.105643826423</v>
      </c>
      <c r="AE775">
        <v>-1.53439999999997</v>
      </c>
      <c r="AF775">
        <v>-3.3690129459576399</v>
      </c>
      <c r="AG775">
        <v>-1.105643826423</v>
      </c>
      <c r="AH775">
        <v>10.360309769123999</v>
      </c>
      <c r="AI775">
        <v>95.794996837125097</v>
      </c>
      <c r="AJ775">
        <v>108.01372623013</v>
      </c>
      <c r="AK775">
        <v>10.950283786877099</v>
      </c>
    </row>
    <row r="776" spans="1:37" x14ac:dyDescent="0.2">
      <c r="A776" t="str">
        <f>"20200111150545464"</f>
        <v>20200111150545464</v>
      </c>
      <c r="B776" t="str">
        <f>"1578726345456723"</f>
        <v>1578726345456723</v>
      </c>
      <c r="C776" t="s">
        <v>37</v>
      </c>
      <c r="D776">
        <v>5.1850930000000002</v>
      </c>
      <c r="E776">
        <v>0.44789020000000002</v>
      </c>
      <c r="F776" t="s">
        <v>63</v>
      </c>
      <c r="G776">
        <v>-464.26530000000002</v>
      </c>
      <c r="H776" s="1">
        <v>6.7884069999999895E-7</v>
      </c>
      <c r="I776">
        <v>215.8554</v>
      </c>
      <c r="J776">
        <v>-475.92250000000001</v>
      </c>
      <c r="K776">
        <v>1.1057110000000001</v>
      </c>
      <c r="L776">
        <v>217.54130000000001</v>
      </c>
      <c r="M776">
        <v>0.90032630000000002</v>
      </c>
      <c r="N776">
        <v>0</v>
      </c>
      <c r="O776">
        <v>-0.435009599999999</v>
      </c>
      <c r="P776">
        <v>0.95763109999999996</v>
      </c>
      <c r="Q776">
        <v>8.5141590000000003E-2</v>
      </c>
      <c r="R776">
        <v>-0.27512540000000002</v>
      </c>
      <c r="S776">
        <v>3.0286249999999999</v>
      </c>
      <c r="T776">
        <v>-0.282674599999999</v>
      </c>
      <c r="U776">
        <v>-0.45320129999999997</v>
      </c>
      <c r="V776">
        <v>-0.1694341</v>
      </c>
      <c r="W776">
        <v>9.7359520000000005E-2</v>
      </c>
      <c r="X776">
        <v>0.98072079999999995</v>
      </c>
      <c r="Y776">
        <v>-0.29405170000000003</v>
      </c>
      <c r="Z776">
        <v>5.2534570000000003E-2</v>
      </c>
      <c r="AA776">
        <v>0.95434459999999999</v>
      </c>
      <c r="AB776">
        <v>20</v>
      </c>
      <c r="AC776">
        <v>11.6571999999999</v>
      </c>
      <c r="AD776">
        <v>-1.1057103211593</v>
      </c>
      <c r="AE776">
        <v>-1.6859</v>
      </c>
      <c r="AF776">
        <v>-3.52241059367342</v>
      </c>
      <c r="AG776">
        <v>-1.1057103211593</v>
      </c>
      <c r="AH776">
        <v>11.131574494293201</v>
      </c>
      <c r="AI776">
        <v>95.409933885110405</v>
      </c>
      <c r="AJ776">
        <v>107.55915122528999</v>
      </c>
      <c r="AK776">
        <v>11.727826841608</v>
      </c>
    </row>
    <row r="777" spans="1:37" x14ac:dyDescent="0.2">
      <c r="A777" t="str">
        <f>"20200111150545486"</f>
        <v>20200111150545486</v>
      </c>
      <c r="B777" t="str">
        <f>"1578726345476242"</f>
        <v>1578726345476242</v>
      </c>
      <c r="C777" t="s">
        <v>37</v>
      </c>
      <c r="D777">
        <v>5.2477029999999996</v>
      </c>
      <c r="E777">
        <v>0.44789449999999997</v>
      </c>
      <c r="F777" t="s">
        <v>63</v>
      </c>
      <c r="G777">
        <v>-464.07459999999998</v>
      </c>
      <c r="H777" s="1">
        <v>5.7950610000000002E-7</v>
      </c>
      <c r="I777">
        <v>215.8057</v>
      </c>
      <c r="J777">
        <v>-475.7414</v>
      </c>
      <c r="K777">
        <v>1.10578</v>
      </c>
      <c r="L777">
        <v>217.45920000000001</v>
      </c>
      <c r="M777">
        <v>0.90212329999999996</v>
      </c>
      <c r="N777">
        <v>0</v>
      </c>
      <c r="O777">
        <v>-0.43126989999999998</v>
      </c>
      <c r="P777">
        <v>0.95907129999999996</v>
      </c>
      <c r="Q777">
        <v>8.5066829999999996E-2</v>
      </c>
      <c r="R777">
        <v>-0.27008450000000001</v>
      </c>
      <c r="S777">
        <v>3.0303650000000002</v>
      </c>
      <c r="T777">
        <v>-0.2828099</v>
      </c>
      <c r="U777">
        <v>-0.44390869999999999</v>
      </c>
      <c r="V777">
        <v>-0.17054369999999999</v>
      </c>
      <c r="W777">
        <v>9.7248929999999997E-2</v>
      </c>
      <c r="X777">
        <v>0.98053939999999995</v>
      </c>
      <c r="Y777">
        <v>-0.2930487</v>
      </c>
      <c r="Z777">
        <v>5.2189470000000002E-2</v>
      </c>
      <c r="AA777">
        <v>0.95467199999999997</v>
      </c>
      <c r="AB777">
        <v>20</v>
      </c>
      <c r="AC777">
        <v>11.6668</v>
      </c>
      <c r="AD777">
        <v>-1.1057794204939</v>
      </c>
      <c r="AE777">
        <v>-1.6535</v>
      </c>
      <c r="AF777">
        <v>-3.5092930135992</v>
      </c>
      <c r="AG777">
        <v>-1.1057794204939</v>
      </c>
      <c r="AH777">
        <v>11.1408967094712</v>
      </c>
      <c r="AI777">
        <v>95.407995177584993</v>
      </c>
      <c r="AJ777">
        <v>107.48400882205701</v>
      </c>
      <c r="AK777">
        <v>11.732751811625</v>
      </c>
    </row>
    <row r="778" spans="1:37" x14ac:dyDescent="0.2">
      <c r="A778" t="str">
        <f>"20200111150545507"</f>
        <v>20200111150545507</v>
      </c>
      <c r="B778" t="str">
        <f>"1578726345496738"</f>
        <v>1578726345496738</v>
      </c>
      <c r="C778" t="s">
        <v>37</v>
      </c>
      <c r="D778">
        <v>5.149146</v>
      </c>
      <c r="E778">
        <v>0.41316239999999999</v>
      </c>
      <c r="F778" t="s">
        <v>63</v>
      </c>
      <c r="G778">
        <v>-463.99130000000002</v>
      </c>
      <c r="H778" s="1">
        <v>5.3553080000000002E-7</v>
      </c>
      <c r="I778">
        <v>215.79830000000001</v>
      </c>
      <c r="J778">
        <v>-475.56619999999998</v>
      </c>
      <c r="K778">
        <v>1.1058600000000001</v>
      </c>
      <c r="L778">
        <v>217.38079999999999</v>
      </c>
      <c r="M778">
        <v>0.90390859999999995</v>
      </c>
      <c r="N778">
        <v>0</v>
      </c>
      <c r="O778">
        <v>-0.42751519999999998</v>
      </c>
      <c r="P778">
        <v>0.96102579999999904</v>
      </c>
      <c r="Q778">
        <v>8.3727049999999997E-2</v>
      </c>
      <c r="R778">
        <v>-0.26347480000000001</v>
      </c>
      <c r="S778">
        <v>3.032654</v>
      </c>
      <c r="T778">
        <v>-0.28539730000000002</v>
      </c>
      <c r="U778">
        <v>-0.42866520000000002</v>
      </c>
      <c r="V778">
        <v>-0.17328350000000001</v>
      </c>
      <c r="W778">
        <v>9.5857390000000001E-2</v>
      </c>
      <c r="X778">
        <v>0.98019599999999996</v>
      </c>
      <c r="Y778">
        <v>-0.2938385</v>
      </c>
      <c r="Z778">
        <v>5.2374829999999997E-2</v>
      </c>
      <c r="AA778">
        <v>0.95441909999999897</v>
      </c>
      <c r="AB778">
        <v>20</v>
      </c>
      <c r="AC778">
        <v>11.5748999999999</v>
      </c>
      <c r="AD778">
        <v>-1.1058594644691999</v>
      </c>
      <c r="AE778">
        <v>-1.58249999999998</v>
      </c>
      <c r="AF778">
        <v>-3.48708168944226</v>
      </c>
      <c r="AG778">
        <v>-1.1058594644691999</v>
      </c>
      <c r="AH778">
        <v>11.0412640662651</v>
      </c>
      <c r="AI778">
        <v>95.455602061776801</v>
      </c>
      <c r="AJ778">
        <v>107.527298796982</v>
      </c>
      <c r="AK778">
        <v>11.6315164980753</v>
      </c>
    </row>
    <row r="779" spans="1:37" x14ac:dyDescent="0.2">
      <c r="A779" t="str">
        <f>"20200111150545531"</f>
        <v>20200111150545531</v>
      </c>
      <c r="B779" t="str">
        <f>"1578726345526018"</f>
        <v>1578726345526018</v>
      </c>
      <c r="C779" t="s">
        <v>37</v>
      </c>
      <c r="D779">
        <v>5.114274</v>
      </c>
      <c r="E779">
        <v>0.4024953</v>
      </c>
      <c r="F779" t="s">
        <v>63</v>
      </c>
      <c r="G779">
        <v>-445.25920000000002</v>
      </c>
      <c r="H779" s="1">
        <v>1.198783E-6</v>
      </c>
      <c r="I779">
        <v>216.0609</v>
      </c>
      <c r="J779">
        <v>-475.36619999999999</v>
      </c>
      <c r="K779">
        <v>1.1059680000000001</v>
      </c>
      <c r="L779">
        <v>217.29249999999999</v>
      </c>
      <c r="M779">
        <v>0.90600029999999998</v>
      </c>
      <c r="N779">
        <v>0</v>
      </c>
      <c r="O779">
        <v>-0.42306470000000002</v>
      </c>
      <c r="P779">
        <v>0.96318349999999897</v>
      </c>
      <c r="Q779">
        <v>8.2931110000000002E-2</v>
      </c>
      <c r="R779">
        <v>-0.25573469999999998</v>
      </c>
      <c r="S779">
        <v>3.0945429999999998</v>
      </c>
      <c r="T779">
        <v>-0.11291559999999901</v>
      </c>
      <c r="U779">
        <v>-0.13476559999999899</v>
      </c>
      <c r="V779">
        <v>-0.17640259999999999</v>
      </c>
      <c r="W779">
        <v>9.4995389999999999E-2</v>
      </c>
      <c r="X779">
        <v>0.97972349999999997</v>
      </c>
      <c r="Y779">
        <v>-0.38276109999999902</v>
      </c>
      <c r="Z779">
        <v>2.1988170000000001E-2</v>
      </c>
      <c r="AA779">
        <v>0.92358569999999995</v>
      </c>
      <c r="AB779">
        <v>20</v>
      </c>
      <c r="AC779">
        <v>30.1069999999999</v>
      </c>
      <c r="AD779">
        <v>-1.1059668012170001</v>
      </c>
      <c r="AE779">
        <v>-1.23159999999998</v>
      </c>
      <c r="AF779">
        <v>-11.6067870289481</v>
      </c>
      <c r="AG779">
        <v>-1.1059668012170001</v>
      </c>
      <c r="AH779">
        <v>27.763094061371099</v>
      </c>
      <c r="AI779">
        <v>92.104860931027503</v>
      </c>
      <c r="AJ779">
        <v>112.68811378018999</v>
      </c>
      <c r="AK779">
        <v>30.1119587466723</v>
      </c>
    </row>
    <row r="780" spans="1:37" x14ac:dyDescent="0.2">
      <c r="A780" t="str">
        <f>"20200111150545554"</f>
        <v>20200111150545554</v>
      </c>
      <c r="B780" t="str">
        <f>"1578726345546514"</f>
        <v>1578726345546514</v>
      </c>
      <c r="C780" t="s">
        <v>37</v>
      </c>
      <c r="D780">
        <v>5.1192310000000001</v>
      </c>
      <c r="E780">
        <v>0.40026919999999999</v>
      </c>
      <c r="F780" t="s">
        <v>63</v>
      </c>
      <c r="G780">
        <v>-455.69740000000002</v>
      </c>
      <c r="H780" s="1">
        <v>1.386278E-6</v>
      </c>
      <c r="I780">
        <v>217.10499999999999</v>
      </c>
      <c r="J780">
        <v>-475.18169999999998</v>
      </c>
      <c r="K780">
        <v>1.1060719999999999</v>
      </c>
      <c r="L780">
        <v>217.2124</v>
      </c>
      <c r="M780">
        <v>0.90798310000000004</v>
      </c>
      <c r="N780">
        <v>0</v>
      </c>
      <c r="O780">
        <v>-0.41879189999999999</v>
      </c>
      <c r="P780">
        <v>0.96530640000000001</v>
      </c>
      <c r="Q780">
        <v>8.315989E-2</v>
      </c>
      <c r="R780">
        <v>-0.247525</v>
      </c>
      <c r="S780">
        <v>3.1218870000000001</v>
      </c>
      <c r="T780">
        <v>-0.17554159999999999</v>
      </c>
      <c r="U780">
        <v>-2.9754639999999999E-2</v>
      </c>
      <c r="V780">
        <v>-0.18014949999999999</v>
      </c>
      <c r="W780">
        <v>9.5154409999999995E-2</v>
      </c>
      <c r="X780">
        <v>0.97902599999999995</v>
      </c>
      <c r="Y780">
        <v>-0.40888209999999903</v>
      </c>
      <c r="Z780">
        <v>3.4438629999999998E-2</v>
      </c>
      <c r="AA780">
        <v>0.911937199999999</v>
      </c>
      <c r="AB780">
        <v>20</v>
      </c>
      <c r="AC780">
        <v>19.484299999999902</v>
      </c>
      <c r="AD780">
        <v>-1.106070613722</v>
      </c>
      <c r="AE780">
        <v>-0.107400000000012</v>
      </c>
      <c r="AF780">
        <v>-8.0371762787315806</v>
      </c>
      <c r="AG780">
        <v>-1.106070613722</v>
      </c>
      <c r="AH780">
        <v>17.681014410080302</v>
      </c>
      <c r="AI780">
        <v>93.2594360605042</v>
      </c>
      <c r="AJ780">
        <v>114.44489890207301</v>
      </c>
      <c r="AK780">
        <v>19.453479516719199</v>
      </c>
    </row>
    <row r="781" spans="1:37" x14ac:dyDescent="0.2">
      <c r="A781" t="str">
        <f>"20200111150545576"</f>
        <v>20200111150545576</v>
      </c>
      <c r="B781" t="str">
        <f>"1578726345566035"</f>
        <v>1578726345566035</v>
      </c>
      <c r="C781" t="s">
        <v>37</v>
      </c>
      <c r="D781">
        <v>5.139335</v>
      </c>
      <c r="E781">
        <v>0.3994935</v>
      </c>
      <c r="F781" t="s">
        <v>38</v>
      </c>
      <c r="G781">
        <v>-474.14229999999998</v>
      </c>
      <c r="H781">
        <v>1.0450059999999901</v>
      </c>
      <c r="I781">
        <v>217.21690000000001</v>
      </c>
      <c r="J781">
        <v>-474.99509999999998</v>
      </c>
      <c r="K781">
        <v>1.106166</v>
      </c>
      <c r="L781">
        <v>217.1327</v>
      </c>
      <c r="M781">
        <v>0.91003049999999996</v>
      </c>
      <c r="N781">
        <v>0</v>
      </c>
      <c r="O781">
        <v>-0.41432340000000001</v>
      </c>
      <c r="P781">
        <v>0.96744909999999995</v>
      </c>
      <c r="Q781">
        <v>8.3908999999999997E-2</v>
      </c>
      <c r="R781">
        <v>-0.23874999999999999</v>
      </c>
      <c r="S781">
        <v>3.127167</v>
      </c>
      <c r="T781">
        <v>-0.18371170000000001</v>
      </c>
      <c r="U781">
        <v>1.3732909999999999E-2</v>
      </c>
      <c r="V781">
        <v>-0.18422949999999999</v>
      </c>
      <c r="W781">
        <v>9.5832710000000002E-2</v>
      </c>
      <c r="X781">
        <v>0.97820019999999996</v>
      </c>
      <c r="Y781">
        <v>-0.41695320000000002</v>
      </c>
      <c r="Z781">
        <v>3.5990929999999997E-2</v>
      </c>
      <c r="AA781">
        <v>0.90821509999999905</v>
      </c>
      <c r="AB781">
        <v>20</v>
      </c>
      <c r="AC781">
        <v>0.852800000000002</v>
      </c>
      <c r="AD781">
        <v>-6.1160000000000103E-2</v>
      </c>
      <c r="AE781">
        <v>8.4200000000009795E-2</v>
      </c>
      <c r="AF781">
        <v>-0.42781924311291403</v>
      </c>
      <c r="AG781">
        <v>-6.1160000000000103E-2</v>
      </c>
      <c r="AH781">
        <v>0.73749837773016502</v>
      </c>
      <c r="AI781">
        <v>94.102982028399097</v>
      </c>
      <c r="AJ781">
        <v>120.117813012827</v>
      </c>
      <c r="AK781">
        <v>0.85479454112221198</v>
      </c>
    </row>
    <row r="782" spans="1:37" x14ac:dyDescent="0.2">
      <c r="A782" t="str">
        <f>"20200111150545597"</f>
        <v>20200111150545597</v>
      </c>
      <c r="B782" t="str">
        <f>"1578726345586530"</f>
        <v>1578726345586530</v>
      </c>
      <c r="C782" t="s">
        <v>37</v>
      </c>
      <c r="D782">
        <v>5.0647820000000001</v>
      </c>
      <c r="E782">
        <v>0.39904040000000002</v>
      </c>
      <c r="F782" t="s">
        <v>38</v>
      </c>
      <c r="G782">
        <v>-473.9622</v>
      </c>
      <c r="H782">
        <v>1.042117</v>
      </c>
      <c r="I782">
        <v>217.14779999999999</v>
      </c>
      <c r="J782">
        <v>-474.82459999999998</v>
      </c>
      <c r="K782">
        <v>1.106233</v>
      </c>
      <c r="L782">
        <v>217.06099999999901</v>
      </c>
      <c r="M782">
        <v>0.91192379999999995</v>
      </c>
      <c r="N782">
        <v>0</v>
      </c>
      <c r="O782">
        <v>-0.41013929999999998</v>
      </c>
      <c r="P782">
        <v>0.96922070000000005</v>
      </c>
      <c r="Q782">
        <v>8.4029290000000006E-2</v>
      </c>
      <c r="R782">
        <v>-0.23140959999999999</v>
      </c>
      <c r="S782">
        <v>3.1292719999999998</v>
      </c>
      <c r="T782">
        <v>-0.19401479999999999</v>
      </c>
      <c r="U782">
        <v>4.6661380000000002E-2</v>
      </c>
      <c r="V782">
        <v>-0.187166</v>
      </c>
      <c r="W782">
        <v>9.5902940000000006E-2</v>
      </c>
      <c r="X782">
        <v>0.9776357</v>
      </c>
      <c r="Y782">
        <v>-0.4221644</v>
      </c>
      <c r="Z782">
        <v>3.7913210000000003E-2</v>
      </c>
      <c r="AA782">
        <v>0.90572609999999998</v>
      </c>
      <c r="AB782">
        <v>20</v>
      </c>
      <c r="AC782">
        <v>0.86239999999997896</v>
      </c>
      <c r="AD782">
        <v>-6.4116000000000006E-2</v>
      </c>
      <c r="AE782">
        <v>8.6800000000010799E-2</v>
      </c>
      <c r="AF782">
        <v>-0.43054235679422798</v>
      </c>
      <c r="AG782">
        <v>-6.4116000000000006E-2</v>
      </c>
      <c r="AH782">
        <v>0.74682430981626402</v>
      </c>
      <c r="AI782">
        <v>94.253658560492696</v>
      </c>
      <c r="AJ782">
        <v>119.963341944253</v>
      </c>
      <c r="AK782">
        <v>0.86442127008910896</v>
      </c>
    </row>
    <row r="783" spans="1:37" x14ac:dyDescent="0.2">
      <c r="A783" t="str">
        <f>"20200111150545622"</f>
        <v>20200111150545622</v>
      </c>
      <c r="B783" t="str">
        <f>"1578726345615810"</f>
        <v>1578726345615810</v>
      </c>
      <c r="C783" t="s">
        <v>37</v>
      </c>
      <c r="D783">
        <v>5.0481889999999998</v>
      </c>
      <c r="E783">
        <v>0.39953549999999999</v>
      </c>
      <c r="F783" t="s">
        <v>38</v>
      </c>
      <c r="G783">
        <v>-473.80549999999999</v>
      </c>
      <c r="H783">
        <v>1.040122</v>
      </c>
      <c r="I783">
        <v>217.0849</v>
      </c>
      <c r="J783">
        <v>-474.6223</v>
      </c>
      <c r="K783">
        <v>1.106284</v>
      </c>
      <c r="L783">
        <v>216.97720000000001</v>
      </c>
      <c r="M783">
        <v>0.91419309999999998</v>
      </c>
      <c r="N783">
        <v>0</v>
      </c>
      <c r="O783">
        <v>-0.40505580000000002</v>
      </c>
      <c r="P783">
        <v>0.97048659999999998</v>
      </c>
      <c r="Q783">
        <v>8.3640660000000006E-2</v>
      </c>
      <c r="R783">
        <v>-0.22618579999999899</v>
      </c>
      <c r="S783">
        <v>3.1304319999999999</v>
      </c>
      <c r="T783">
        <v>-0.20305429999999999</v>
      </c>
      <c r="U783">
        <v>7.3577879999999998E-2</v>
      </c>
      <c r="V783">
        <v>-0.1870115</v>
      </c>
      <c r="W783">
        <v>9.5499500000000001E-2</v>
      </c>
      <c r="X783">
        <v>0.97770469999999898</v>
      </c>
      <c r="Y783">
        <v>-0.42475479999999999</v>
      </c>
      <c r="Z783">
        <v>3.9447370000000002E-2</v>
      </c>
      <c r="AA783">
        <v>0.90444859999999905</v>
      </c>
      <c r="AB783">
        <v>20</v>
      </c>
      <c r="AC783">
        <v>0.81679999999999997</v>
      </c>
      <c r="AD783">
        <v>-6.6161999999999999E-2</v>
      </c>
      <c r="AE783">
        <v>0.10769999999999399</v>
      </c>
      <c r="AF783">
        <v>-0.426595818706487</v>
      </c>
      <c r="AG783">
        <v>-6.6161999999999999E-2</v>
      </c>
      <c r="AH783">
        <v>0.69864632383163106</v>
      </c>
      <c r="AI783">
        <v>94.6208455217444</v>
      </c>
      <c r="AJ783">
        <v>121.40838079006301</v>
      </c>
      <c r="AK783">
        <v>0.82126006148193498</v>
      </c>
    </row>
    <row r="784" spans="1:37" x14ac:dyDescent="0.2">
      <c r="A784" t="str">
        <f>"20200111150545665"</f>
        <v>20200111150545665</v>
      </c>
      <c r="B784" t="str">
        <f>"1578726345656803"</f>
        <v>1578726345656803</v>
      </c>
      <c r="C784" t="s">
        <v>37</v>
      </c>
      <c r="D784">
        <v>5.0030910000000004</v>
      </c>
      <c r="E784">
        <v>0.40017559999999902</v>
      </c>
      <c r="F784" t="s">
        <v>63</v>
      </c>
      <c r="G784">
        <v>-458.59550000000002</v>
      </c>
      <c r="H784" s="1">
        <v>2.9145790000000001E-6</v>
      </c>
      <c r="I784">
        <v>217.42410000000001</v>
      </c>
      <c r="J784">
        <v>-474.26749999999998</v>
      </c>
      <c r="K784">
        <v>1.1063750000000001</v>
      </c>
      <c r="L784">
        <v>216.8338</v>
      </c>
      <c r="M784">
        <v>0.91821620000000004</v>
      </c>
      <c r="N784">
        <v>0</v>
      </c>
      <c r="O784">
        <v>-0.39585100000000001</v>
      </c>
      <c r="P784">
        <v>0.97174830000000001</v>
      </c>
      <c r="Q784">
        <v>8.5045339999999997E-2</v>
      </c>
      <c r="R784">
        <v>-0.22016520000000001</v>
      </c>
      <c r="S784">
        <v>3.1301570000000001</v>
      </c>
      <c r="T784">
        <v>-0.21606520000000001</v>
      </c>
      <c r="U784">
        <v>8.7280269999999993E-2</v>
      </c>
      <c r="V784">
        <v>-0.183226</v>
      </c>
      <c r="W784">
        <v>9.6914819999999999E-2</v>
      </c>
      <c r="X784">
        <v>0.97828199999999998</v>
      </c>
      <c r="Y784">
        <v>-0.41942499999999999</v>
      </c>
      <c r="Z784">
        <v>4.1200769999999998E-2</v>
      </c>
      <c r="AA784">
        <v>0.90685459999999996</v>
      </c>
      <c r="AB784">
        <v>20</v>
      </c>
      <c r="AC784">
        <v>15.671999999999899</v>
      </c>
      <c r="AD784">
        <v>-1.106372085421</v>
      </c>
      <c r="AE784">
        <v>0.59030000000001304</v>
      </c>
      <c r="AF784">
        <v>-6.71300213740441</v>
      </c>
      <c r="AG784">
        <v>-1.106372085421</v>
      </c>
      <c r="AH784">
        <v>14.0877846615229</v>
      </c>
      <c r="AI784">
        <v>94.055285992508104</v>
      </c>
      <c r="AJ784">
        <v>115.478372216716</v>
      </c>
      <c r="AK784">
        <v>15.6446199556792</v>
      </c>
    </row>
    <row r="785" spans="1:37" x14ac:dyDescent="0.2">
      <c r="A785" t="str">
        <f>"20200111150545687"</f>
        <v>20200111150545687</v>
      </c>
      <c r="B785" t="str">
        <f>"1578726345676322"</f>
        <v>1578726345676322</v>
      </c>
      <c r="C785" t="s">
        <v>37</v>
      </c>
      <c r="D785">
        <v>4.9512989999999997</v>
      </c>
      <c r="E785">
        <v>0.40073379999999997</v>
      </c>
      <c r="F785" t="s">
        <v>63</v>
      </c>
      <c r="G785">
        <v>-458.20150000000001</v>
      </c>
      <c r="H785" s="1">
        <v>2.7076099999999898E-6</v>
      </c>
      <c r="I785">
        <v>217.36250000000001</v>
      </c>
      <c r="J785">
        <v>-474.08479999999997</v>
      </c>
      <c r="K785">
        <v>1.10643799999999</v>
      </c>
      <c r="L785">
        <v>216.76169999999999</v>
      </c>
      <c r="M785">
        <v>0.92030159999999905</v>
      </c>
      <c r="N785">
        <v>0</v>
      </c>
      <c r="O785">
        <v>-0.39097739999999997</v>
      </c>
      <c r="P785">
        <v>0.97265100000000004</v>
      </c>
      <c r="Q785">
        <v>8.5577319999999998E-2</v>
      </c>
      <c r="R785">
        <v>-0.2159315</v>
      </c>
      <c r="S785">
        <v>3.1293639999999998</v>
      </c>
      <c r="T785">
        <v>-0.215501899999999</v>
      </c>
      <c r="U785">
        <v>0.10298160000000001</v>
      </c>
      <c r="V785">
        <v>-0.18229609999999999</v>
      </c>
      <c r="W785">
        <v>9.7439239999999996E-2</v>
      </c>
      <c r="X785">
        <v>0.97840369999999999</v>
      </c>
      <c r="Y785">
        <v>-0.41918859999999902</v>
      </c>
      <c r="Z785">
        <v>4.0785689999999999E-2</v>
      </c>
      <c r="AA785">
        <v>0.90698259999999897</v>
      </c>
      <c r="AB785">
        <v>20</v>
      </c>
      <c r="AC785">
        <v>15.883299999999901</v>
      </c>
      <c r="AD785">
        <v>-1.1064352923899901</v>
      </c>
      <c r="AE785">
        <v>0.60080000000001998</v>
      </c>
      <c r="AF785">
        <v>-6.7309272880129196</v>
      </c>
      <c r="AG785">
        <v>-1.1064352923899901</v>
      </c>
      <c r="AH785">
        <v>14.3144710344983</v>
      </c>
      <c r="AI785">
        <v>94.0011975465668</v>
      </c>
      <c r="AJ785">
        <v>115.18377174435101</v>
      </c>
      <c r="AK785">
        <v>15.856659869286901</v>
      </c>
    </row>
    <row r="786" spans="1:37" x14ac:dyDescent="0.2">
      <c r="A786" t="str">
        <f>"20200111150545708"</f>
        <v>20200111150545708</v>
      </c>
      <c r="B786" t="str">
        <f>"1578726345706578"</f>
        <v>1578726345706578</v>
      </c>
      <c r="C786" t="s">
        <v>37</v>
      </c>
      <c r="D786">
        <v>4.9708019999999999</v>
      </c>
      <c r="E786">
        <v>0.40136759999999999</v>
      </c>
      <c r="F786" t="s">
        <v>63</v>
      </c>
      <c r="G786">
        <v>-458.08429999999998</v>
      </c>
      <c r="H786" s="1">
        <v>2.6463829999999999E-6</v>
      </c>
      <c r="I786">
        <v>217.33609999999999</v>
      </c>
      <c r="J786">
        <v>-473.9067</v>
      </c>
      <c r="K786">
        <v>1.1065160000000001</v>
      </c>
      <c r="L786">
        <v>216.6927</v>
      </c>
      <c r="M786">
        <v>0.92234919999999998</v>
      </c>
      <c r="N786">
        <v>0</v>
      </c>
      <c r="O786">
        <v>-0.38612249999999998</v>
      </c>
      <c r="P786">
        <v>0.97341139999999904</v>
      </c>
      <c r="Q786">
        <v>8.6889679999999997E-2</v>
      </c>
      <c r="R786">
        <v>-0.21194549999999901</v>
      </c>
      <c r="S786">
        <v>3.12829599999999</v>
      </c>
      <c r="T786">
        <v>-0.21632209999999999</v>
      </c>
      <c r="U786">
        <v>0.11230469999999999</v>
      </c>
      <c r="V786">
        <v>-0.18112779999999901</v>
      </c>
      <c r="W786">
        <v>9.8740910000000001E-2</v>
      </c>
      <c r="X786">
        <v>0.97849019999999998</v>
      </c>
      <c r="Y786">
        <v>-0.41711739999999897</v>
      </c>
      <c r="Z786">
        <v>4.0570189999999999E-2</v>
      </c>
      <c r="AA786">
        <v>0.90794660000000005</v>
      </c>
      <c r="AB786">
        <v>20</v>
      </c>
      <c r="AC786">
        <v>15.8224</v>
      </c>
      <c r="AD786">
        <v>-1.106513353617</v>
      </c>
      <c r="AE786">
        <v>0.64339999999998498</v>
      </c>
      <c r="AF786">
        <v>-6.6708609024076901</v>
      </c>
      <c r="AG786">
        <v>-1.106513353617</v>
      </c>
      <c r="AH786">
        <v>14.2769392672454</v>
      </c>
      <c r="AI786">
        <v>94.016532296308</v>
      </c>
      <c r="AJ786">
        <v>115.044204488521</v>
      </c>
      <c r="AK786">
        <v>15.797333693431201</v>
      </c>
    </row>
    <row r="787" spans="1:37" x14ac:dyDescent="0.2">
      <c r="A787" t="str">
        <f>"20200111150545730"</f>
        <v>20200111150545730</v>
      </c>
      <c r="B787" t="str">
        <f>"1578726345726098"</f>
        <v>1578726345726098</v>
      </c>
      <c r="C787" t="s">
        <v>37</v>
      </c>
      <c r="D787">
        <v>4.946383</v>
      </c>
      <c r="E787">
        <v>0.40168189999999998</v>
      </c>
      <c r="F787" t="s">
        <v>63</v>
      </c>
      <c r="G787">
        <v>-457.80939999999998</v>
      </c>
      <c r="H787" s="1">
        <v>2.5011149999999999E-6</v>
      </c>
      <c r="I787">
        <v>217.31219999999999</v>
      </c>
      <c r="J787">
        <v>-473.71969999999999</v>
      </c>
      <c r="K787">
        <v>1.1066229999999999</v>
      </c>
      <c r="L787">
        <v>216.6216</v>
      </c>
      <c r="M787">
        <v>0.92452719999999899</v>
      </c>
      <c r="N787">
        <v>0</v>
      </c>
      <c r="O787">
        <v>-0.38087700000000002</v>
      </c>
      <c r="P787">
        <v>0.97418209999999905</v>
      </c>
      <c r="Q787">
        <v>8.8764590000000004E-2</v>
      </c>
      <c r="R787">
        <v>-0.207581399999999</v>
      </c>
      <c r="S787">
        <v>3.1273499999999999</v>
      </c>
      <c r="T787">
        <v>-0.21497060000000001</v>
      </c>
      <c r="U787">
        <v>0.1203461</v>
      </c>
      <c r="V787">
        <v>-0.17992429999999901</v>
      </c>
      <c r="W787">
        <v>0.10059510000000001</v>
      </c>
      <c r="X787">
        <v>0.97852329999999998</v>
      </c>
      <c r="Y787">
        <v>-0.41433890000000001</v>
      </c>
      <c r="Z787">
        <v>3.9896870000000001E-2</v>
      </c>
      <c r="AA787">
        <v>0.90924780000000005</v>
      </c>
      <c r="AB787">
        <v>20</v>
      </c>
      <c r="AC787">
        <v>15.910299999999999</v>
      </c>
      <c r="AD787">
        <v>-1.1066204988849999</v>
      </c>
      <c r="AE787">
        <v>0.690599999999989</v>
      </c>
      <c r="AF787">
        <v>-6.6667647234768097</v>
      </c>
      <c r="AG787">
        <v>-1.1066204988849999</v>
      </c>
      <c r="AH787">
        <v>14.378359806014201</v>
      </c>
      <c r="AI787">
        <v>93.994127661500499</v>
      </c>
      <c r="AJ787">
        <v>114.875578224254</v>
      </c>
      <c r="AK787">
        <v>15.8873406055876</v>
      </c>
    </row>
    <row r="788" spans="1:37" x14ac:dyDescent="0.2">
      <c r="A788" t="str">
        <f>"20200111150545754"</f>
        <v>20200111150545754</v>
      </c>
      <c r="B788" t="str">
        <f>"1578726345746595"</f>
        <v>1578726345746595</v>
      </c>
      <c r="C788" t="s">
        <v>37</v>
      </c>
      <c r="D788">
        <v>4.8298809999999897</v>
      </c>
      <c r="E788">
        <v>0.40192209999999901</v>
      </c>
      <c r="F788" t="s">
        <v>63</v>
      </c>
      <c r="G788">
        <v>-457.1431</v>
      </c>
      <c r="H788" s="1">
        <v>2.14617799999999E-6</v>
      </c>
      <c r="I788">
        <v>217.32130000000001</v>
      </c>
      <c r="J788">
        <v>-473.53</v>
      </c>
      <c r="K788">
        <v>1.1067480000000001</v>
      </c>
      <c r="L788">
        <v>216.55099999999999</v>
      </c>
      <c r="M788">
        <v>0.92677989999999999</v>
      </c>
      <c r="N788">
        <v>0</v>
      </c>
      <c r="O788">
        <v>-0.37536179999999902</v>
      </c>
      <c r="P788">
        <v>0.97521449999999998</v>
      </c>
      <c r="Q788">
        <v>8.9717999999999895E-2</v>
      </c>
      <c r="R788">
        <v>-0.20225589999999999</v>
      </c>
      <c r="S788">
        <v>3.1266479999999999</v>
      </c>
      <c r="T788">
        <v>-0.2087292</v>
      </c>
      <c r="U788">
        <v>0.13197329999999999</v>
      </c>
      <c r="V788">
        <v>-0.1794432</v>
      </c>
      <c r="W788">
        <v>0.10151540000000001</v>
      </c>
      <c r="X788">
        <v>0.97851659999999996</v>
      </c>
      <c r="Y788">
        <v>-0.41242380000000001</v>
      </c>
      <c r="Z788">
        <v>3.8340939999999997E-2</v>
      </c>
      <c r="AA788">
        <v>0.91018489999999996</v>
      </c>
      <c r="AB788">
        <v>20</v>
      </c>
      <c r="AC788">
        <v>16.386899999999901</v>
      </c>
      <c r="AD788">
        <v>-1.1067458538220001</v>
      </c>
      <c r="AE788">
        <v>0.77030000000001997</v>
      </c>
      <c r="AF788">
        <v>-6.8344353211197397</v>
      </c>
      <c r="AG788">
        <v>-1.1067458538220001</v>
      </c>
      <c r="AH788">
        <v>14.831763166977399</v>
      </c>
      <c r="AI788">
        <v>93.877064483758204</v>
      </c>
      <c r="AJ788">
        <v>114.740119106829</v>
      </c>
      <c r="AK788">
        <v>16.368127296206701</v>
      </c>
    </row>
    <row r="789" spans="1:37" x14ac:dyDescent="0.2">
      <c r="A789" t="str">
        <f>"20200111150545777"</f>
        <v>20200111150545777</v>
      </c>
      <c r="B789" t="str">
        <f>"1578726345766114"</f>
        <v>1578726345766114</v>
      </c>
      <c r="C789" t="s">
        <v>37</v>
      </c>
      <c r="D789">
        <v>4.9717120000000001</v>
      </c>
      <c r="E789">
        <v>0.40211750000000002</v>
      </c>
      <c r="F789" t="s">
        <v>38</v>
      </c>
      <c r="G789">
        <v>-472.4606</v>
      </c>
      <c r="H789">
        <v>1.037695</v>
      </c>
      <c r="I789">
        <v>216.60130000000001</v>
      </c>
      <c r="J789">
        <v>-473.33440000000002</v>
      </c>
      <c r="K789">
        <v>1.1068739999999999</v>
      </c>
      <c r="L789">
        <v>216.47989999999999</v>
      </c>
      <c r="M789">
        <v>0.92915199999999998</v>
      </c>
      <c r="N789">
        <v>0</v>
      </c>
      <c r="O789">
        <v>-0.36945059999999902</v>
      </c>
      <c r="P789">
        <v>0.97646369999999905</v>
      </c>
      <c r="Q789">
        <v>8.9490979999999998E-2</v>
      </c>
      <c r="R789">
        <v>-0.196241</v>
      </c>
      <c r="S789">
        <v>3.1253359999999999</v>
      </c>
      <c r="T789">
        <v>-0.20181389999999999</v>
      </c>
      <c r="U789">
        <v>0.14718629999999999</v>
      </c>
      <c r="V789">
        <v>-0.1792791</v>
      </c>
      <c r="W789">
        <v>0.1012512</v>
      </c>
      <c r="X789">
        <v>0.97857399999999894</v>
      </c>
      <c r="Y789">
        <v>-0.41118759999999999</v>
      </c>
      <c r="Z789">
        <v>3.6690300000000002E-2</v>
      </c>
      <c r="AA789">
        <v>0.91081199999999995</v>
      </c>
      <c r="AB789">
        <v>20</v>
      </c>
      <c r="AC789">
        <v>0.87380000000001701</v>
      </c>
      <c r="AD789">
        <v>-6.9178999999999796E-2</v>
      </c>
      <c r="AE789">
        <v>0.121400000000022</v>
      </c>
      <c r="AF789">
        <v>-0.43300217793041501</v>
      </c>
      <c r="AG789">
        <v>-6.9178999999999796E-2</v>
      </c>
      <c r="AH789">
        <v>0.76242351312494605</v>
      </c>
      <c r="AI789">
        <v>94.511250876265507</v>
      </c>
      <c r="AJ789">
        <v>119.593485292183</v>
      </c>
      <c r="AK789">
        <v>0.87952614145303698</v>
      </c>
    </row>
    <row r="790" spans="1:37" x14ac:dyDescent="0.2">
      <c r="A790" t="str">
        <f>"20200111150545799"</f>
        <v>20200111150545799</v>
      </c>
      <c r="B790" t="str">
        <f>"1578726345796370"</f>
        <v>1578726345796370</v>
      </c>
      <c r="C790" t="s">
        <v>37</v>
      </c>
      <c r="D790">
        <v>5.0932740000000001</v>
      </c>
      <c r="E790">
        <v>0.40234639999999999</v>
      </c>
      <c r="F790" t="s">
        <v>63</v>
      </c>
      <c r="G790">
        <v>-456.28769999999997</v>
      </c>
      <c r="H790" s="1">
        <v>1.688445E-6</v>
      </c>
      <c r="I790">
        <v>217.3792</v>
      </c>
      <c r="J790">
        <v>-473.15460000000002</v>
      </c>
      <c r="K790">
        <v>1.1069719999999901</v>
      </c>
      <c r="L790">
        <v>216.4161</v>
      </c>
      <c r="M790">
        <v>0.93135610000000002</v>
      </c>
      <c r="N790">
        <v>0</v>
      </c>
      <c r="O790">
        <v>-0.36385820000000002</v>
      </c>
      <c r="P790">
        <v>0.97761369999999903</v>
      </c>
      <c r="Q790">
        <v>8.9163909999999999E-2</v>
      </c>
      <c r="R790">
        <v>-0.19058220000000001</v>
      </c>
      <c r="S790">
        <v>3.12402299999999</v>
      </c>
      <c r="T790">
        <v>-0.202849</v>
      </c>
      <c r="U790">
        <v>0.16481019999999999</v>
      </c>
      <c r="V790">
        <v>-0.1790976</v>
      </c>
      <c r="W790">
        <v>0.10089679999999999</v>
      </c>
      <c r="X790">
        <v>0.97864390000000001</v>
      </c>
      <c r="Y790">
        <v>-0.41084920000000003</v>
      </c>
      <c r="Z790">
        <v>3.6540019999999999E-2</v>
      </c>
      <c r="AA790">
        <v>0.91097079999999997</v>
      </c>
      <c r="AB790">
        <v>20</v>
      </c>
      <c r="AC790">
        <v>16.866900000000001</v>
      </c>
      <c r="AD790">
        <v>-1.10697031155499</v>
      </c>
      <c r="AE790">
        <v>0.96309999999999696</v>
      </c>
      <c r="AF790">
        <v>-7.0047196153736797</v>
      </c>
      <c r="AG790">
        <v>-1.10697031155499</v>
      </c>
      <c r="AH790">
        <v>15.2944011524473</v>
      </c>
      <c r="AI790">
        <v>93.764881922097103</v>
      </c>
      <c r="AJ790">
        <v>114.607420179668</v>
      </c>
      <c r="AK790">
        <v>16.8585345381099</v>
      </c>
    </row>
    <row r="791" spans="1:37" x14ac:dyDescent="0.2">
      <c r="A791" t="str">
        <f>"20200111150545822"</f>
        <v>20200111150545822</v>
      </c>
      <c r="B791" t="str">
        <f>"1578726345816866"</f>
        <v>1578726345816866</v>
      </c>
      <c r="C791" t="s">
        <v>37</v>
      </c>
      <c r="D791">
        <v>4.9172260000000003</v>
      </c>
      <c r="E791">
        <v>0.44899040000000001</v>
      </c>
      <c r="F791" t="s">
        <v>63</v>
      </c>
      <c r="G791">
        <v>-456.37670000000003</v>
      </c>
      <c r="H791" s="1">
        <v>1.735564E-6</v>
      </c>
      <c r="I791">
        <v>217.3853</v>
      </c>
      <c r="J791">
        <v>-472.95780000000002</v>
      </c>
      <c r="K791">
        <v>1.1070659999999899</v>
      </c>
      <c r="L791">
        <v>216.3477</v>
      </c>
      <c r="M791">
        <v>0.93379789999999996</v>
      </c>
      <c r="N791">
        <v>0</v>
      </c>
      <c r="O791">
        <v>-0.35754399999999997</v>
      </c>
      <c r="P791">
        <v>0.97876779999999997</v>
      </c>
      <c r="Q791">
        <v>8.9410009999999998E-2</v>
      </c>
      <c r="R791">
        <v>-0.18444340000000001</v>
      </c>
      <c r="S791">
        <v>3.122681</v>
      </c>
      <c r="T791">
        <v>-0.20602789999999899</v>
      </c>
      <c r="U791">
        <v>0.18038940000000001</v>
      </c>
      <c r="V791">
        <v>-0.17863010000000001</v>
      </c>
      <c r="W791">
        <v>0.10112169999999999</v>
      </c>
      <c r="X791">
        <v>0.97870610000000002</v>
      </c>
      <c r="Y791">
        <v>-0.40919629999999901</v>
      </c>
      <c r="Z791">
        <v>3.6678090000000003E-2</v>
      </c>
      <c r="AA791">
        <v>0.91170890000000004</v>
      </c>
      <c r="AB791">
        <v>20</v>
      </c>
      <c r="AC791">
        <v>16.5810999999999</v>
      </c>
      <c r="AD791">
        <v>-1.10706426443599</v>
      </c>
      <c r="AE791">
        <v>1.0375999999999901</v>
      </c>
      <c r="AF791">
        <v>-6.8675208644294896</v>
      </c>
      <c r="AG791">
        <v>-1.10706426443599</v>
      </c>
      <c r="AH791">
        <v>15.0469829460428</v>
      </c>
      <c r="AI791">
        <v>93.829220259126501</v>
      </c>
      <c r="AJ791">
        <v>114.53220138523599</v>
      </c>
      <c r="AK791">
        <v>16.5770965457606</v>
      </c>
    </row>
    <row r="792" spans="1:37" x14ac:dyDescent="0.2">
      <c r="A792" t="str">
        <f>"20200111150545846"</f>
        <v>20200111150545846</v>
      </c>
      <c r="B792" t="str">
        <f>"1578726345836388"</f>
        <v>1578726345836388</v>
      </c>
      <c r="C792" t="s">
        <v>37</v>
      </c>
      <c r="D792">
        <v>4.9590579999999997</v>
      </c>
      <c r="E792">
        <v>0.45702989999999999</v>
      </c>
      <c r="F792" t="s">
        <v>63</v>
      </c>
      <c r="G792">
        <v>-456.30020000000002</v>
      </c>
      <c r="H792" s="1">
        <v>1.77982E-6</v>
      </c>
      <c r="I792">
        <v>215.44110000000001</v>
      </c>
      <c r="J792">
        <v>-472.76510000000002</v>
      </c>
      <c r="K792">
        <v>1.1071439999999999</v>
      </c>
      <c r="L792">
        <v>216.2825</v>
      </c>
      <c r="M792">
        <v>0.93620959999999998</v>
      </c>
      <c r="N792">
        <v>0</v>
      </c>
      <c r="O792">
        <v>-0.3511803</v>
      </c>
      <c r="P792">
        <v>0.97987549999999901</v>
      </c>
      <c r="Q792">
        <v>8.9534009999999997E-2</v>
      </c>
      <c r="R792">
        <v>-0.17840349999999999</v>
      </c>
      <c r="S792">
        <v>3.0523069999999999</v>
      </c>
      <c r="T792">
        <v>-0.20285690000000001</v>
      </c>
      <c r="U792">
        <v>-0.1661377</v>
      </c>
      <c r="V792">
        <v>-0.17801989999999901</v>
      </c>
      <c r="W792">
        <v>0.10123360000000001</v>
      </c>
      <c r="X792">
        <v>0.978805699999999</v>
      </c>
      <c r="Y792">
        <v>-0.29840929999999999</v>
      </c>
      <c r="Z792">
        <v>3.2757790000000002E-2</v>
      </c>
      <c r="AA792">
        <v>0.95387569999999999</v>
      </c>
      <c r="AB792">
        <v>20</v>
      </c>
      <c r="AC792">
        <v>16.4649</v>
      </c>
      <c r="AD792">
        <v>-1.1071422201800001</v>
      </c>
      <c r="AE792">
        <v>-0.84139999999999204</v>
      </c>
      <c r="AF792">
        <v>-4.9724565525466797</v>
      </c>
      <c r="AG792">
        <v>-1.1071422201800001</v>
      </c>
      <c r="AH792">
        <v>15.640988416689099</v>
      </c>
      <c r="AI792">
        <v>93.859200286378694</v>
      </c>
      <c r="AJ792">
        <v>107.636080392682</v>
      </c>
      <c r="AK792">
        <v>16.449668893739901</v>
      </c>
    </row>
    <row r="793" spans="1:37" x14ac:dyDescent="0.2">
      <c r="A793" t="str">
        <f>"20200111150545888"</f>
        <v>20200111150545888</v>
      </c>
      <c r="B793" t="str">
        <f>"1578726345876404"</f>
        <v>1578726345876404</v>
      </c>
      <c r="C793" t="s">
        <v>37</v>
      </c>
      <c r="D793">
        <v>4.9474580000000001</v>
      </c>
      <c r="E793">
        <v>0.4627887</v>
      </c>
      <c r="F793" t="s">
        <v>63</v>
      </c>
      <c r="G793">
        <v>-455.92380000000003</v>
      </c>
      <c r="H793" s="1">
        <v>1.593872E-6</v>
      </c>
      <c r="I793">
        <v>215.11269999999999</v>
      </c>
      <c r="J793">
        <v>-472.41640000000001</v>
      </c>
      <c r="K793">
        <v>1.1072549999999901</v>
      </c>
      <c r="L793">
        <v>216.1687</v>
      </c>
      <c r="M793">
        <v>0.94059099999999995</v>
      </c>
      <c r="N793">
        <v>0</v>
      </c>
      <c r="O793">
        <v>-0.3392694</v>
      </c>
      <c r="P793">
        <v>0.98188889999999995</v>
      </c>
      <c r="Q793">
        <v>8.935688E-2</v>
      </c>
      <c r="R793">
        <v>-0.1670624</v>
      </c>
      <c r="S793">
        <v>3.041382</v>
      </c>
      <c r="T793">
        <v>-0.19994010000000001</v>
      </c>
      <c r="U793">
        <v>-0.211257899999999</v>
      </c>
      <c r="V793">
        <v>-0.17694499999999999</v>
      </c>
      <c r="W793">
        <v>0.1010467</v>
      </c>
      <c r="X793">
        <v>0.97901990000000005</v>
      </c>
      <c r="Y793">
        <v>-0.27201839999999999</v>
      </c>
      <c r="Z793">
        <v>3.0770260000000001E-2</v>
      </c>
      <c r="AA793">
        <v>0.96179999999999999</v>
      </c>
      <c r="AB793">
        <v>20</v>
      </c>
      <c r="AC793">
        <v>16.4925999999999</v>
      </c>
      <c r="AD793">
        <v>-1.1072534061279999</v>
      </c>
      <c r="AE793">
        <v>-1.05600000000001</v>
      </c>
      <c r="AF793">
        <v>-4.5820275951719998</v>
      </c>
      <c r="AG793">
        <v>-1.1072534061279999</v>
      </c>
      <c r="AH793">
        <v>15.801595035772101</v>
      </c>
      <c r="AI793">
        <v>93.850196174987701</v>
      </c>
      <c r="AJ793">
        <v>106.170704193071</v>
      </c>
      <c r="AK793">
        <v>16.489735979173101</v>
      </c>
    </row>
    <row r="794" spans="1:37" x14ac:dyDescent="0.2">
      <c r="A794" t="str">
        <f>"20200111150545909"</f>
        <v>20200111150545909</v>
      </c>
      <c r="B794" t="str">
        <f>"1578726345906658"</f>
        <v>1578726345906658</v>
      </c>
      <c r="C794" t="s">
        <v>37</v>
      </c>
      <c r="D794">
        <v>5.011641</v>
      </c>
      <c r="E794">
        <v>0.46483839999999998</v>
      </c>
      <c r="F794" t="s">
        <v>63</v>
      </c>
      <c r="G794">
        <v>-456.49639999999999</v>
      </c>
      <c r="H794" s="1">
        <v>1.9035059999999901E-6</v>
      </c>
      <c r="I794">
        <v>215</v>
      </c>
      <c r="J794">
        <v>-472.23660000000001</v>
      </c>
      <c r="K794">
        <v>1.1072959999999901</v>
      </c>
      <c r="L794">
        <v>216.1122</v>
      </c>
      <c r="M794">
        <v>0.94283119999999998</v>
      </c>
      <c r="N794">
        <v>0</v>
      </c>
      <c r="O794">
        <v>-0.33299319999999999</v>
      </c>
      <c r="P794">
        <v>0.98299599999999898</v>
      </c>
      <c r="Q794">
        <v>8.8291330000000001E-2</v>
      </c>
      <c r="R794">
        <v>-0.16100889999999901</v>
      </c>
      <c r="S794">
        <v>3.0366520000000001</v>
      </c>
      <c r="T794">
        <v>-0.2112029</v>
      </c>
      <c r="U794">
        <v>-0.22293089999999999</v>
      </c>
      <c r="V794">
        <v>-0.17648510000000001</v>
      </c>
      <c r="W794">
        <v>9.9982130000000002E-2</v>
      </c>
      <c r="X794">
        <v>0.97921219999999998</v>
      </c>
      <c r="Y794">
        <v>-0.26169629999999999</v>
      </c>
      <c r="Z794">
        <v>3.177112E-2</v>
      </c>
      <c r="AA794">
        <v>0.96462719999999902</v>
      </c>
      <c r="AB794">
        <v>20</v>
      </c>
      <c r="AC794">
        <v>15.7402</v>
      </c>
      <c r="AD794">
        <v>-1.1072940964939999</v>
      </c>
      <c r="AE794">
        <v>-1.1122000000000001</v>
      </c>
      <c r="AF794">
        <v>-4.1726032343403698</v>
      </c>
      <c r="AG794">
        <v>-1.1072940964939999</v>
      </c>
      <c r="AH794">
        <v>15.1375711880408</v>
      </c>
      <c r="AI794">
        <v>94.033749061332998</v>
      </c>
      <c r="AJ794">
        <v>105.41062918872601</v>
      </c>
      <c r="AK794">
        <v>15.741117477496999</v>
      </c>
    </row>
    <row r="795" spans="1:37" x14ac:dyDescent="0.2">
      <c r="A795" t="str">
        <f>"20200111150545933"</f>
        <v>20200111150545933</v>
      </c>
      <c r="B795" t="str">
        <f>"1578726345926180"</f>
        <v>1578726345926180</v>
      </c>
      <c r="C795" t="s">
        <v>37</v>
      </c>
      <c r="D795">
        <v>4.9532449999999999</v>
      </c>
      <c r="E795">
        <v>0.46554240000000002</v>
      </c>
      <c r="F795" t="s">
        <v>63</v>
      </c>
      <c r="G795">
        <v>-457.60890000000001</v>
      </c>
      <c r="H795" s="1">
        <v>2.49337199999999E-6</v>
      </c>
      <c r="I795">
        <v>215.0489</v>
      </c>
      <c r="J795">
        <v>-472.03590000000003</v>
      </c>
      <c r="K795">
        <v>1.1073200000000001</v>
      </c>
      <c r="L795">
        <v>216.0506</v>
      </c>
      <c r="M795">
        <v>0.94529989999999997</v>
      </c>
      <c r="N795">
        <v>0</v>
      </c>
      <c r="O795">
        <v>-0.325918599999999</v>
      </c>
      <c r="P795">
        <v>0.98418519999999898</v>
      </c>
      <c r="Q795">
        <v>8.7450940000000005E-2</v>
      </c>
      <c r="R795">
        <v>-0.154053</v>
      </c>
      <c r="S795">
        <v>3.036346</v>
      </c>
      <c r="T795">
        <v>-0.22984579999999999</v>
      </c>
      <c r="U795">
        <v>-0.22070309999999899</v>
      </c>
      <c r="V795">
        <v>-0.17609459999999999</v>
      </c>
      <c r="W795">
        <v>9.9146600000000001E-2</v>
      </c>
      <c r="X795">
        <v>0.97936749999999995</v>
      </c>
      <c r="Y795">
        <v>-0.25493710000000003</v>
      </c>
      <c r="Z795">
        <v>3.381083E-2</v>
      </c>
      <c r="AA795">
        <v>0.96636639999999996</v>
      </c>
      <c r="AB795">
        <v>20</v>
      </c>
      <c r="AC795">
        <v>14.427</v>
      </c>
      <c r="AD795">
        <v>-1.1073175066280001</v>
      </c>
      <c r="AE795">
        <v>-1.00169999999999</v>
      </c>
      <c r="AF795">
        <v>-3.7335792838667001</v>
      </c>
      <c r="AG795">
        <v>-1.1073175066280001</v>
      </c>
      <c r="AH795">
        <v>13.8842072919496</v>
      </c>
      <c r="AI795">
        <v>94.404095023727507</v>
      </c>
      <c r="AJ795">
        <v>105.05126208046801</v>
      </c>
      <c r="AK795">
        <v>14.420020057379601</v>
      </c>
    </row>
    <row r="796" spans="1:37" x14ac:dyDescent="0.2">
      <c r="A796" t="str">
        <f>"20200111150545954"</f>
        <v>20200111150545954</v>
      </c>
      <c r="B796" t="str">
        <f>"1578726345946674"</f>
        <v>1578726345946674</v>
      </c>
      <c r="C796" t="s">
        <v>37</v>
      </c>
      <c r="D796">
        <v>4.9996400000000003</v>
      </c>
      <c r="E796">
        <v>0.46638019999999902</v>
      </c>
      <c r="F796" t="s">
        <v>63</v>
      </c>
      <c r="G796">
        <v>-457.91379999999998</v>
      </c>
      <c r="H796" s="1">
        <v>2.653503E-6</v>
      </c>
      <c r="I796">
        <v>215.09719999999999</v>
      </c>
      <c r="J796">
        <v>-471.85410000000002</v>
      </c>
      <c r="K796">
        <v>1.1073200000000001</v>
      </c>
      <c r="L796">
        <v>215.9965</v>
      </c>
      <c r="M796">
        <v>0.94749689999999998</v>
      </c>
      <c r="N796">
        <v>0</v>
      </c>
      <c r="O796">
        <v>-0.31947449999999999</v>
      </c>
      <c r="P796">
        <v>0.98524069999999997</v>
      </c>
      <c r="Q796">
        <v>8.7354660000000001E-2</v>
      </c>
      <c r="R796">
        <v>-0.14720729999999899</v>
      </c>
      <c r="S796">
        <v>3.0372919999999999</v>
      </c>
      <c r="T796">
        <v>-0.238153899999999</v>
      </c>
      <c r="U796">
        <v>-0.20506289999999999</v>
      </c>
      <c r="V796">
        <v>-0.17623629999999901</v>
      </c>
      <c r="W796">
        <v>9.9055019999999994E-2</v>
      </c>
      <c r="X796">
        <v>0.97935119999999898</v>
      </c>
      <c r="Y796">
        <v>-0.25323329999999999</v>
      </c>
      <c r="Z796">
        <v>3.4483689999999997E-2</v>
      </c>
      <c r="AA796">
        <v>0.96679040000000005</v>
      </c>
      <c r="AB796">
        <v>20</v>
      </c>
      <c r="AC796">
        <v>13.940300000000001</v>
      </c>
      <c r="AD796">
        <v>-1.1073173464970001</v>
      </c>
      <c r="AE796">
        <v>-0.89930000000000998</v>
      </c>
      <c r="AF796">
        <v>-3.5793303490075199</v>
      </c>
      <c r="AG796">
        <v>-1.1073173464970001</v>
      </c>
      <c r="AH796">
        <v>13.412670001954799</v>
      </c>
      <c r="AI796">
        <v>94.5606061026688</v>
      </c>
      <c r="AJ796">
        <v>104.941859070326</v>
      </c>
      <c r="AK796">
        <v>13.926143544948699</v>
      </c>
    </row>
    <row r="797" spans="1:37" x14ac:dyDescent="0.2">
      <c r="A797" t="str">
        <f>"20200111150545976"</f>
        <v>20200111150545976</v>
      </c>
      <c r="B797" t="str">
        <f>"1578726345966196"</f>
        <v>1578726345966196</v>
      </c>
      <c r="C797" t="s">
        <v>37</v>
      </c>
      <c r="D797">
        <v>4.8388439999999999</v>
      </c>
      <c r="E797">
        <v>0.46738649999999998</v>
      </c>
      <c r="F797" t="s">
        <v>63</v>
      </c>
      <c r="G797">
        <v>-457.81229999999999</v>
      </c>
      <c r="H797" s="1">
        <v>2.59872099999999E-6</v>
      </c>
      <c r="I797">
        <v>215.11519999999999</v>
      </c>
      <c r="J797">
        <v>-471.6712</v>
      </c>
      <c r="K797">
        <v>1.107302</v>
      </c>
      <c r="L797">
        <v>215.9434</v>
      </c>
      <c r="M797">
        <v>0.949663699999999</v>
      </c>
      <c r="N797">
        <v>0</v>
      </c>
      <c r="O797">
        <v>-0.312975</v>
      </c>
      <c r="P797">
        <v>0.98621479999999995</v>
      </c>
      <c r="Q797">
        <v>8.8022749999999997E-2</v>
      </c>
      <c r="R797">
        <v>-0.1401164</v>
      </c>
      <c r="S797">
        <v>3.0376590000000001</v>
      </c>
      <c r="T797">
        <v>-0.23954529999999999</v>
      </c>
      <c r="U797">
        <v>-0.19064329999999999</v>
      </c>
      <c r="V797">
        <v>-0.17655399999999999</v>
      </c>
      <c r="W797">
        <v>9.9730669999999993E-2</v>
      </c>
      <c r="X797">
        <v>0.97922549999999997</v>
      </c>
      <c r="Y797">
        <v>-0.25118889999999999</v>
      </c>
      <c r="Z797">
        <v>3.4122159999999999E-2</v>
      </c>
      <c r="AA797">
        <v>0.96733649999999904</v>
      </c>
      <c r="AB797">
        <v>20</v>
      </c>
      <c r="AC797">
        <v>13.8589</v>
      </c>
      <c r="AD797">
        <v>-1.1072994012790001</v>
      </c>
      <c r="AE797">
        <v>-0.82820000000000904</v>
      </c>
      <c r="AF797">
        <v>-3.5288601323022402</v>
      </c>
      <c r="AG797">
        <v>-1.1072994012790001</v>
      </c>
      <c r="AH797">
        <v>13.3369092241107</v>
      </c>
      <c r="AI797">
        <v>94.588900378632104</v>
      </c>
      <c r="AJ797">
        <v>104.820464978644</v>
      </c>
      <c r="AK797">
        <v>13.8402353104849</v>
      </c>
    </row>
    <row r="798" spans="1:37" x14ac:dyDescent="0.2">
      <c r="A798" t="str">
        <f>"20200111150546024"</f>
        <v>20200111150546024</v>
      </c>
      <c r="B798" t="str">
        <f>"1578726346016947"</f>
        <v>1578726346016947</v>
      </c>
      <c r="C798" t="s">
        <v>37</v>
      </c>
      <c r="D798">
        <v>4.9222679999999999</v>
      </c>
      <c r="E798">
        <v>0.46966920000000001</v>
      </c>
      <c r="F798" t="s">
        <v>63</v>
      </c>
      <c r="G798">
        <v>-457.6823</v>
      </c>
      <c r="H798" s="1">
        <v>2.5289609999999998E-6</v>
      </c>
      <c r="I798">
        <v>215.12899999999999</v>
      </c>
      <c r="J798">
        <v>-471.27339999999998</v>
      </c>
      <c r="K798">
        <v>1.1072329999999999</v>
      </c>
      <c r="L798">
        <v>215.83260000000001</v>
      </c>
      <c r="M798">
        <v>0.95419859999999901</v>
      </c>
      <c r="N798">
        <v>0</v>
      </c>
      <c r="O798">
        <v>-0.29886289999999999</v>
      </c>
      <c r="P798">
        <v>0.98818189999999995</v>
      </c>
      <c r="Q798">
        <v>8.8123989999999999E-2</v>
      </c>
      <c r="R798">
        <v>-0.12542120000000001</v>
      </c>
      <c r="S798">
        <v>3.0383</v>
      </c>
      <c r="T798">
        <v>-0.24049909999999999</v>
      </c>
      <c r="U798">
        <v>-0.17687990000000001</v>
      </c>
      <c r="V798">
        <v>-0.1765941</v>
      </c>
      <c r="W798">
        <v>9.9866830000000004E-2</v>
      </c>
      <c r="X798">
        <v>0.97920439999999997</v>
      </c>
      <c r="Y798">
        <v>-0.24126919999999999</v>
      </c>
      <c r="Z798">
        <v>3.280069E-2</v>
      </c>
      <c r="AA798">
        <v>0.96990379999999998</v>
      </c>
      <c r="AB798">
        <v>20</v>
      </c>
      <c r="AC798">
        <v>13.5910999999999</v>
      </c>
      <c r="AD798">
        <v>-1.107230471039</v>
      </c>
      <c r="AE798">
        <v>-0.70359999999999401</v>
      </c>
      <c r="AF798">
        <v>-3.3685199297245698</v>
      </c>
      <c r="AG798">
        <v>-1.107230471039</v>
      </c>
      <c r="AH798">
        <v>13.093446394350501</v>
      </c>
      <c r="AI798">
        <v>94.681897787458993</v>
      </c>
      <c r="AJ798">
        <v>104.427478525159</v>
      </c>
      <c r="AK798">
        <v>13.5650736936693</v>
      </c>
    </row>
    <row r="799" spans="1:37" x14ac:dyDescent="0.2">
      <c r="A799" t="str">
        <f>"20200111150546047"</f>
        <v>20200111150546047</v>
      </c>
      <c r="B799" t="str">
        <f>"1578726346036467"</f>
        <v>1578726346036467</v>
      </c>
      <c r="C799" t="s">
        <v>37</v>
      </c>
      <c r="D799">
        <v>4.9587399999999997</v>
      </c>
      <c r="E799">
        <v>0.47050370000000002</v>
      </c>
      <c r="F799" t="s">
        <v>63</v>
      </c>
      <c r="G799">
        <v>-457.44470000000001</v>
      </c>
      <c r="H799" s="1">
        <v>2.40160599999999E-6</v>
      </c>
      <c r="I799">
        <v>215.1491</v>
      </c>
      <c r="J799">
        <v>-471.08109999999999</v>
      </c>
      <c r="K799">
        <v>1.1072029999999999</v>
      </c>
      <c r="L799">
        <v>215.78129999999999</v>
      </c>
      <c r="M799">
        <v>0.9562988</v>
      </c>
      <c r="N799">
        <v>0</v>
      </c>
      <c r="O799">
        <v>-0.29207300000000003</v>
      </c>
      <c r="P799">
        <v>0.98872859999999996</v>
      </c>
      <c r="Q799">
        <v>8.8885870000000006E-2</v>
      </c>
      <c r="R799">
        <v>-0.12047809999999901</v>
      </c>
      <c r="S799">
        <v>3.0384829999999998</v>
      </c>
      <c r="T799">
        <v>-0.2432839</v>
      </c>
      <c r="U799">
        <v>-0.150177</v>
      </c>
      <c r="V799">
        <v>-0.17450589999999999</v>
      </c>
      <c r="W799">
        <v>0.1006677</v>
      </c>
      <c r="X799">
        <v>0.979496699999999</v>
      </c>
      <c r="Y799">
        <v>-0.24285129999999999</v>
      </c>
      <c r="Z799">
        <v>3.2734680000000002E-2</v>
      </c>
      <c r="AA799">
        <v>0.96951109999999896</v>
      </c>
      <c r="AB799">
        <v>20</v>
      </c>
      <c r="AC799">
        <v>13.636399999999901</v>
      </c>
      <c r="AD799">
        <v>-1.1072005983940001</v>
      </c>
      <c r="AE799">
        <v>-0.632199999999983</v>
      </c>
      <c r="AF799">
        <v>-3.3564859934745699</v>
      </c>
      <c r="AG799">
        <v>-1.1072005983940001</v>
      </c>
      <c r="AH799">
        <v>13.1399117212843</v>
      </c>
      <c r="AI799">
        <v>94.6673296681046</v>
      </c>
      <c r="AJ799">
        <v>104.32933058057</v>
      </c>
      <c r="AK799">
        <v>13.606953054692999</v>
      </c>
    </row>
    <row r="800" spans="1:37" x14ac:dyDescent="0.2">
      <c r="A800" t="str">
        <f>"20200111150546070"</f>
        <v>20200111150546070</v>
      </c>
      <c r="B800" t="str">
        <f>"1578726346066722"</f>
        <v>1578726346066722</v>
      </c>
      <c r="C800" t="s">
        <v>37</v>
      </c>
      <c r="D800">
        <v>5.0332929999999996</v>
      </c>
      <c r="E800">
        <v>0.47118179999999998</v>
      </c>
      <c r="F800" t="s">
        <v>63</v>
      </c>
      <c r="G800">
        <v>-457.01369999999997</v>
      </c>
      <c r="H800" s="1">
        <v>2.1731649999999999E-6</v>
      </c>
      <c r="I800">
        <v>215.12909999999999</v>
      </c>
      <c r="J800">
        <v>-470.88810000000001</v>
      </c>
      <c r="K800">
        <v>1.1071819999999899</v>
      </c>
      <c r="L800">
        <v>215.7311</v>
      </c>
      <c r="M800">
        <v>0.95834549999999996</v>
      </c>
      <c r="N800">
        <v>0</v>
      </c>
      <c r="O800">
        <v>-0.2852864</v>
      </c>
      <c r="P800">
        <v>0.98932180000000003</v>
      </c>
      <c r="Q800">
        <v>8.9682739999999997E-2</v>
      </c>
      <c r="R800">
        <v>-0.1148894</v>
      </c>
      <c r="S800">
        <v>3.038513</v>
      </c>
      <c r="T800">
        <v>-0.23915329999999899</v>
      </c>
      <c r="U800">
        <v>-0.1408691</v>
      </c>
      <c r="V800">
        <v>-0.1730727</v>
      </c>
      <c r="W800">
        <v>0.10149270000000001</v>
      </c>
      <c r="X800">
        <v>0.97966580000000003</v>
      </c>
      <c r="Y800">
        <v>-0.23902609999999999</v>
      </c>
      <c r="Z800">
        <v>3.152158E-2</v>
      </c>
      <c r="AA800">
        <v>0.97050139999999996</v>
      </c>
      <c r="AB800">
        <v>20</v>
      </c>
      <c r="AC800">
        <v>13.8744</v>
      </c>
      <c r="AD800">
        <v>-1.1071798268349999</v>
      </c>
      <c r="AE800">
        <v>-0.60200000000000298</v>
      </c>
      <c r="AF800">
        <v>-3.3602095701563099</v>
      </c>
      <c r="AG800">
        <v>-1.1071798268349999</v>
      </c>
      <c r="AH800">
        <v>13.384388479540901</v>
      </c>
      <c r="AI800">
        <v>94.587124868507203</v>
      </c>
      <c r="AJ800">
        <v>104.09308813276</v>
      </c>
      <c r="AK800">
        <v>13.844085758748699</v>
      </c>
    </row>
    <row r="801" spans="1:37" x14ac:dyDescent="0.2">
      <c r="A801" t="str">
        <f>"20200111150546093"</f>
        <v>20200111150546093</v>
      </c>
      <c r="B801" t="str">
        <f>"1578726346086244"</f>
        <v>1578726346086244</v>
      </c>
      <c r="C801" t="s">
        <v>37</v>
      </c>
      <c r="D801">
        <v>5.0668769999999999</v>
      </c>
      <c r="E801">
        <v>0.44482369999999999</v>
      </c>
      <c r="F801" t="s">
        <v>63</v>
      </c>
      <c r="G801">
        <v>-456.8954</v>
      </c>
      <c r="H801" s="1">
        <v>2.1099779999999999E-6</v>
      </c>
      <c r="I801">
        <v>215.13329999999999</v>
      </c>
      <c r="J801">
        <v>-470.70069999999998</v>
      </c>
      <c r="K801">
        <v>1.1071580000000001</v>
      </c>
      <c r="L801">
        <v>215.68379999999999</v>
      </c>
      <c r="M801">
        <v>0.96027790000000002</v>
      </c>
      <c r="N801">
        <v>0</v>
      </c>
      <c r="O801">
        <v>-0.2787133</v>
      </c>
      <c r="P801">
        <v>0.98994419999999905</v>
      </c>
      <c r="Q801">
        <v>9.0976029999999999E-2</v>
      </c>
      <c r="R801">
        <v>-0.108325</v>
      </c>
      <c r="S801">
        <v>3.0391240000000002</v>
      </c>
      <c r="T801">
        <v>-0.24047109999999999</v>
      </c>
      <c r="U801">
        <v>-0.12983699999999901</v>
      </c>
      <c r="V801">
        <v>-0.17282939999999999</v>
      </c>
      <c r="W801">
        <v>0.1027966</v>
      </c>
      <c r="X801">
        <v>0.97957280000000002</v>
      </c>
      <c r="Y801">
        <v>-0.2359106</v>
      </c>
      <c r="Z801">
        <v>3.1069889999999999E-2</v>
      </c>
      <c r="AA801">
        <v>0.97127799999999997</v>
      </c>
      <c r="AB801">
        <v>20</v>
      </c>
      <c r="AC801">
        <v>13.8052999999999</v>
      </c>
      <c r="AD801">
        <v>-1.107155890022</v>
      </c>
      <c r="AE801">
        <v>-0.55049999999999899</v>
      </c>
      <c r="AF801">
        <v>-3.2982157512259298</v>
      </c>
      <c r="AG801">
        <v>-1.107155890022</v>
      </c>
      <c r="AH801">
        <v>13.326025535401399</v>
      </c>
      <c r="AI801">
        <v>94.610855479220305</v>
      </c>
      <c r="AJ801">
        <v>103.901449749314</v>
      </c>
      <c r="AK801">
        <v>13.7726895658261</v>
      </c>
    </row>
    <row r="802" spans="1:37" x14ac:dyDescent="0.2">
      <c r="A802" t="str">
        <f>"20200111150546115"</f>
        <v>20200111150546115</v>
      </c>
      <c r="B802" t="str">
        <f>"1578726346106739"</f>
        <v>1578726346106739</v>
      </c>
      <c r="C802" t="s">
        <v>37</v>
      </c>
      <c r="D802">
        <v>5.0798920000000001</v>
      </c>
      <c r="E802">
        <v>0.44589770000000001</v>
      </c>
      <c r="F802" t="s">
        <v>63</v>
      </c>
      <c r="G802">
        <v>-456.22789999999998</v>
      </c>
      <c r="H802" s="1">
        <v>1.7103479999999901E-6</v>
      </c>
      <c r="I802">
        <v>216.14959999999999</v>
      </c>
      <c r="J802">
        <v>-470.51420000000002</v>
      </c>
      <c r="K802">
        <v>1.107137</v>
      </c>
      <c r="L802">
        <v>215.63820000000001</v>
      </c>
      <c r="M802">
        <v>0.962149699999999</v>
      </c>
      <c r="N802">
        <v>0</v>
      </c>
      <c r="O802">
        <v>-0.2721809</v>
      </c>
      <c r="P802">
        <v>0.99064010000000002</v>
      </c>
      <c r="Q802">
        <v>9.1735629999999999E-2</v>
      </c>
      <c r="R802">
        <v>-0.1010788</v>
      </c>
      <c r="S802">
        <v>3.062805</v>
      </c>
      <c r="T802">
        <v>-0.2343006</v>
      </c>
      <c r="U802">
        <v>9.8571779999999998E-2</v>
      </c>
      <c r="V802">
        <v>-0.1733229</v>
      </c>
      <c r="W802">
        <v>0.10355689999999999</v>
      </c>
      <c r="X802">
        <v>0.97940550000000004</v>
      </c>
      <c r="Y802">
        <v>-0.30135509999999999</v>
      </c>
      <c r="Z802">
        <v>3.2117010000000001E-2</v>
      </c>
      <c r="AA802">
        <v>0.95297089999999995</v>
      </c>
      <c r="AB802">
        <v>20</v>
      </c>
      <c r="AC802">
        <v>14.286300000000001</v>
      </c>
      <c r="AD802">
        <v>-1.1071352896519999</v>
      </c>
      <c r="AE802">
        <v>0.51139999999997998</v>
      </c>
      <c r="AF802">
        <v>-4.3547877517599298</v>
      </c>
      <c r="AG802">
        <v>-1.1071352896519999</v>
      </c>
      <c r="AH802">
        <v>13.526496412328999</v>
      </c>
      <c r="AI802">
        <v>94.454984102875599</v>
      </c>
      <c r="AJ802">
        <v>107.84570275655901</v>
      </c>
      <c r="AK802">
        <v>14.2532813802724</v>
      </c>
    </row>
    <row r="803" spans="1:37" x14ac:dyDescent="0.2">
      <c r="A803" t="str">
        <f>"20200111150546157"</f>
        <v>20200111150546157</v>
      </c>
      <c r="B803" t="str">
        <f>"1578726346146755"</f>
        <v>1578726346146755</v>
      </c>
      <c r="C803" t="s">
        <v>37</v>
      </c>
      <c r="D803">
        <v>4.9478530000000003</v>
      </c>
      <c r="E803">
        <v>0.4493124</v>
      </c>
      <c r="F803" t="s">
        <v>63</v>
      </c>
      <c r="G803">
        <v>-455.92500000000001</v>
      </c>
      <c r="H803" s="1">
        <v>1.5481399999999899E-6</v>
      </c>
      <c r="I803">
        <v>216.1739</v>
      </c>
      <c r="J803">
        <v>-470.15750000000003</v>
      </c>
      <c r="K803">
        <v>1.1071</v>
      </c>
      <c r="L803">
        <v>215.55459999999999</v>
      </c>
      <c r="M803">
        <v>0.96559419999999996</v>
      </c>
      <c r="N803">
        <v>0</v>
      </c>
      <c r="O803">
        <v>-0.25969779999999998</v>
      </c>
      <c r="P803">
        <v>0.99201329999999999</v>
      </c>
      <c r="Q803">
        <v>9.1931360000000004E-2</v>
      </c>
      <c r="R803">
        <v>-8.6360800000000001E-2</v>
      </c>
      <c r="S803">
        <v>3.06134</v>
      </c>
      <c r="T803">
        <v>-0.2323172</v>
      </c>
      <c r="U803">
        <v>0.1123962</v>
      </c>
      <c r="V803">
        <v>-0.17516879999999899</v>
      </c>
      <c r="W803">
        <v>0.10372719999999901</v>
      </c>
      <c r="X803">
        <v>0.97905900000000001</v>
      </c>
      <c r="Y803">
        <v>-0.29339879999999902</v>
      </c>
      <c r="Z803">
        <v>3.0639130000000001E-2</v>
      </c>
      <c r="AA803">
        <v>0.95549899999999999</v>
      </c>
      <c r="AB803">
        <v>20</v>
      </c>
      <c r="AC803">
        <v>14.2325</v>
      </c>
      <c r="AD803">
        <v>-1.10709845186</v>
      </c>
      <c r="AE803">
        <v>0.61930000000000895</v>
      </c>
      <c r="AF803">
        <v>-4.268758032879</v>
      </c>
      <c r="AG803">
        <v>-1.10709845186</v>
      </c>
      <c r="AH803">
        <v>13.501703180295801</v>
      </c>
      <c r="AI803">
        <v>94.470430496184903</v>
      </c>
      <c r="AJ803">
        <v>107.545100573973</v>
      </c>
      <c r="AK803">
        <v>14.203659771136</v>
      </c>
    </row>
    <row r="804" spans="1:37" x14ac:dyDescent="0.2">
      <c r="A804" t="str">
        <f>"20200111150546201"</f>
        <v>20200111150546201</v>
      </c>
      <c r="B804" t="str">
        <f>"1578726346196530"</f>
        <v>1578726346196530</v>
      </c>
      <c r="C804" t="s">
        <v>37</v>
      </c>
      <c r="D804">
        <v>4.9303919999999897</v>
      </c>
      <c r="E804">
        <v>0.45885359999999997</v>
      </c>
      <c r="F804" t="s">
        <v>63</v>
      </c>
      <c r="G804">
        <v>-456.56979999999999</v>
      </c>
      <c r="H804" s="1">
        <v>1.893125E-6</v>
      </c>
      <c r="I804">
        <v>216.13079999999999</v>
      </c>
      <c r="J804">
        <v>-469.79239999999999</v>
      </c>
      <c r="K804">
        <v>1.1070610000000001</v>
      </c>
      <c r="L804">
        <v>215.47399999999999</v>
      </c>
      <c r="M804">
        <v>0.96893600000000002</v>
      </c>
      <c r="N804">
        <v>0</v>
      </c>
      <c r="O804">
        <v>-0.24693870000000001</v>
      </c>
      <c r="P804">
        <v>0.9930601</v>
      </c>
      <c r="Q804">
        <v>8.987349E-2</v>
      </c>
      <c r="R804">
        <v>-7.5858880000000004E-2</v>
      </c>
      <c r="S804">
        <v>3.0585629999999999</v>
      </c>
      <c r="T804">
        <v>-0.2492046</v>
      </c>
      <c r="U804">
        <v>0.1296997</v>
      </c>
      <c r="V804">
        <v>-0.17263000000000001</v>
      </c>
      <c r="W804">
        <v>0.1016914</v>
      </c>
      <c r="X804">
        <v>0.97972329999999996</v>
      </c>
      <c r="Y804">
        <v>-0.28603990000000001</v>
      </c>
      <c r="Z804">
        <v>3.1576130000000001E-2</v>
      </c>
      <c r="AA804">
        <v>0.95769729999999997</v>
      </c>
      <c r="AB804">
        <v>20</v>
      </c>
      <c r="AC804">
        <v>13.2226</v>
      </c>
      <c r="AD804">
        <v>-1.107059106875</v>
      </c>
      <c r="AE804">
        <v>0.65679999999997496</v>
      </c>
      <c r="AF804">
        <v>-3.8748333158688602</v>
      </c>
      <c r="AG804">
        <v>-1.107059106875</v>
      </c>
      <c r="AH804">
        <v>12.5629819837176</v>
      </c>
      <c r="AI804">
        <v>94.813316130174002</v>
      </c>
      <c r="AJ804">
        <v>107.141468643755</v>
      </c>
      <c r="AK804">
        <v>13.193499513589799</v>
      </c>
    </row>
    <row r="805" spans="1:37" x14ac:dyDescent="0.2">
      <c r="A805" t="str">
        <f>"20200111150546224"</f>
        <v>20200111150546224</v>
      </c>
      <c r="B805" t="str">
        <f>"1578726346216050"</f>
        <v>1578726346216050</v>
      </c>
      <c r="C805" t="s">
        <v>37</v>
      </c>
      <c r="D805">
        <v>4.9688400000000001</v>
      </c>
      <c r="E805">
        <v>0.45947280000000001</v>
      </c>
      <c r="F805" t="s">
        <v>63</v>
      </c>
      <c r="G805">
        <v>-457.0883</v>
      </c>
      <c r="H805" s="1">
        <v>2.1822079999999998E-6</v>
      </c>
      <c r="I805">
        <v>215.82939999999999</v>
      </c>
      <c r="J805">
        <v>-469.59379999999999</v>
      </c>
      <c r="K805">
        <v>1.10704</v>
      </c>
      <c r="L805">
        <v>215.43219999999999</v>
      </c>
      <c r="M805">
        <v>0.97067420000000004</v>
      </c>
      <c r="N805">
        <v>0</v>
      </c>
      <c r="O805">
        <v>-0.24001599999999901</v>
      </c>
      <c r="P805">
        <v>0.99341740000000001</v>
      </c>
      <c r="Q805">
        <v>8.9460310000000001E-2</v>
      </c>
      <c r="R805">
        <v>-7.1547459999999993E-2</v>
      </c>
      <c r="S805">
        <v>3.0515750000000001</v>
      </c>
      <c r="T805">
        <v>-0.26591890000000001</v>
      </c>
      <c r="U805">
        <v>8.5372920000000005E-2</v>
      </c>
      <c r="V805">
        <v>-0.16988399999999901</v>
      </c>
      <c r="W805">
        <v>0.1013091</v>
      </c>
      <c r="X805">
        <v>0.98024279999999997</v>
      </c>
      <c r="Y805">
        <v>-0.26518950000000002</v>
      </c>
      <c r="Z805">
        <v>3.2266469999999998E-2</v>
      </c>
      <c r="AA805">
        <v>0.96365619999999996</v>
      </c>
      <c r="AB805">
        <v>20</v>
      </c>
      <c r="AC805">
        <v>12.5054999999999</v>
      </c>
      <c r="AD805">
        <v>-1.1070378177919999</v>
      </c>
      <c r="AE805">
        <v>0.397199999999998</v>
      </c>
      <c r="AF805">
        <v>-3.36107086677166</v>
      </c>
      <c r="AG805">
        <v>-1.1070378177919999</v>
      </c>
      <c r="AH805">
        <v>11.9509798929522</v>
      </c>
      <c r="AI805">
        <v>95.095708609741195</v>
      </c>
      <c r="AJ805">
        <v>105.708005935912</v>
      </c>
      <c r="AK805">
        <v>12.463877827675899</v>
      </c>
    </row>
    <row r="806" spans="1:37" x14ac:dyDescent="0.2">
      <c r="A806" t="str">
        <f>"20200111150546247"</f>
        <v>20200111150546247</v>
      </c>
      <c r="B806" t="str">
        <f>"1578726346236546"</f>
        <v>1578726346236546</v>
      </c>
      <c r="C806" t="s">
        <v>37</v>
      </c>
      <c r="D806">
        <v>4.9156680000000001</v>
      </c>
      <c r="E806">
        <v>0.4616034</v>
      </c>
      <c r="F806" t="s">
        <v>63</v>
      </c>
      <c r="G806">
        <v>-457.0557</v>
      </c>
      <c r="H806" s="1">
        <v>2.1654780000000001E-6</v>
      </c>
      <c r="I806">
        <v>215.81620000000001</v>
      </c>
      <c r="J806">
        <v>-469.4033</v>
      </c>
      <c r="K806">
        <v>1.107013</v>
      </c>
      <c r="L806">
        <v>215.39349999999999</v>
      </c>
      <c r="M806">
        <v>0.97228119999999996</v>
      </c>
      <c r="N806">
        <v>0</v>
      </c>
      <c r="O806">
        <v>-0.2334212</v>
      </c>
      <c r="P806">
        <v>0.99368020000000001</v>
      </c>
      <c r="Q806">
        <v>9.0931339999999999E-2</v>
      </c>
      <c r="R806">
        <v>-6.5812250000000003E-2</v>
      </c>
      <c r="S806">
        <v>3.0509029999999999</v>
      </c>
      <c r="T806">
        <v>-0.26937800000000001</v>
      </c>
      <c r="U806">
        <v>9.3429570000000003E-2</v>
      </c>
      <c r="V806">
        <v>-0.16885829999999999</v>
      </c>
      <c r="W806">
        <v>0.1027914</v>
      </c>
      <c r="X806">
        <v>0.98026569999999902</v>
      </c>
      <c r="Y806">
        <v>-0.26118360000000002</v>
      </c>
      <c r="Z806">
        <v>3.1946410000000001E-2</v>
      </c>
      <c r="AA806">
        <v>0.96476039999999996</v>
      </c>
      <c r="AB806">
        <v>20</v>
      </c>
      <c r="AC806">
        <v>12.3476</v>
      </c>
      <c r="AD806">
        <v>-1.107010834522</v>
      </c>
      <c r="AE806">
        <v>0.42270000000002</v>
      </c>
      <c r="AF806">
        <v>-3.26724675314364</v>
      </c>
      <c r="AG806">
        <v>-1.107010834522</v>
      </c>
      <c r="AH806">
        <v>11.812927526376299</v>
      </c>
      <c r="AI806">
        <v>95.160996699062693</v>
      </c>
      <c r="AJ806">
        <v>105.46050255718001</v>
      </c>
      <c r="AK806">
        <v>12.3063248403858</v>
      </c>
    </row>
    <row r="807" spans="1:37" x14ac:dyDescent="0.2">
      <c r="A807" t="str">
        <f>"20200111150546290"</f>
        <v>20200111150546290</v>
      </c>
      <c r="B807" t="str">
        <f>"1578726346286322"</f>
        <v>1578726346286322</v>
      </c>
      <c r="C807" t="s">
        <v>37</v>
      </c>
      <c r="D807">
        <v>4.9530729999999998</v>
      </c>
      <c r="E807">
        <v>0.46369700000000003</v>
      </c>
      <c r="F807" t="s">
        <v>63</v>
      </c>
      <c r="G807">
        <v>-456.59480000000002</v>
      </c>
      <c r="H807" s="1">
        <v>1.921439E-6</v>
      </c>
      <c r="I807">
        <v>215.78829999999999</v>
      </c>
      <c r="J807">
        <v>-469.03879999999998</v>
      </c>
      <c r="K807">
        <v>1.106894</v>
      </c>
      <c r="L807">
        <v>215.3228</v>
      </c>
      <c r="M807">
        <v>0.97516800000000003</v>
      </c>
      <c r="N807">
        <v>0</v>
      </c>
      <c r="O807">
        <v>-0.22105349999999899</v>
      </c>
      <c r="P807">
        <v>0.99416329999999997</v>
      </c>
      <c r="Q807">
        <v>9.6022109999999994E-2</v>
      </c>
      <c r="R807">
        <v>-4.9187370000000001E-2</v>
      </c>
      <c r="S807">
        <v>3.0494379999999999</v>
      </c>
      <c r="T807">
        <v>-0.26355719999999999</v>
      </c>
      <c r="U807">
        <v>9.3994140000000004E-2</v>
      </c>
      <c r="V807">
        <v>-0.172705</v>
      </c>
      <c r="W807">
        <v>0.10786</v>
      </c>
      <c r="X807">
        <v>0.97905019999999998</v>
      </c>
      <c r="Y807">
        <v>-0.24927079999999999</v>
      </c>
      <c r="Z807">
        <v>2.9712949999999998E-2</v>
      </c>
      <c r="AA807">
        <v>0.96797789999999995</v>
      </c>
      <c r="AB807">
        <v>19</v>
      </c>
      <c r="AC807">
        <v>12.4439999999999</v>
      </c>
      <c r="AD807">
        <v>-1.1068920785609999</v>
      </c>
      <c r="AE807">
        <v>0.46549999999999098</v>
      </c>
      <c r="AF807">
        <v>-3.1798988354356199</v>
      </c>
      <c r="AG807">
        <v>-1.1068920785609999</v>
      </c>
      <c r="AH807">
        <v>11.938860405676699</v>
      </c>
      <c r="AI807">
        <v>95.119460931227593</v>
      </c>
      <c r="AJ807">
        <v>104.91440219966201</v>
      </c>
      <c r="AK807">
        <v>12.4045699023957</v>
      </c>
    </row>
    <row r="808" spans="1:37" x14ac:dyDescent="0.2">
      <c r="A808" t="str">
        <f>"20200111150546312"</f>
        <v>20200111150546312</v>
      </c>
      <c r="B808" t="str">
        <f>"1578726346306818"</f>
        <v>1578726346306818</v>
      </c>
      <c r="C808" t="s">
        <v>37</v>
      </c>
      <c r="D808">
        <v>4.9363260000000002</v>
      </c>
      <c r="E808">
        <v>0.46453129999999998</v>
      </c>
      <c r="F808" t="s">
        <v>63</v>
      </c>
      <c r="G808">
        <v>-455.0847</v>
      </c>
      <c r="H808" s="1">
        <v>1.1124539999999999E-6</v>
      </c>
      <c r="I808">
        <v>215.91139999999999</v>
      </c>
      <c r="J808">
        <v>-468.85169999999999</v>
      </c>
      <c r="K808">
        <v>1.1067979999999999</v>
      </c>
      <c r="L808">
        <v>215.28819999999999</v>
      </c>
      <c r="M808">
        <v>0.97654540000000001</v>
      </c>
      <c r="N808">
        <v>0</v>
      </c>
      <c r="O808">
        <v>-0.21488739999999901</v>
      </c>
      <c r="P808">
        <v>0.99448559999999997</v>
      </c>
      <c r="Q808">
        <v>9.7160419999999997E-2</v>
      </c>
      <c r="R808">
        <v>-3.947705E-2</v>
      </c>
      <c r="S808">
        <v>3.0473629999999998</v>
      </c>
      <c r="T808">
        <v>-0.24173029999999901</v>
      </c>
      <c r="U808">
        <v>0.12853999999999999</v>
      </c>
      <c r="V808">
        <v>-0.17604159999999999</v>
      </c>
      <c r="W808">
        <v>0.10898629999999999</v>
      </c>
      <c r="X808">
        <v>0.9783309</v>
      </c>
      <c r="Y808">
        <v>-0.25440770000000001</v>
      </c>
      <c r="Z808">
        <v>2.700178E-2</v>
      </c>
      <c r="AA808">
        <v>0.96672000000000002</v>
      </c>
      <c r="AB808">
        <v>19</v>
      </c>
      <c r="AC808">
        <v>13.7669999999999</v>
      </c>
      <c r="AD808">
        <v>-1.1067968875459999</v>
      </c>
      <c r="AE808">
        <v>0.62319999999999698</v>
      </c>
      <c r="AF808">
        <v>-3.54440159643331</v>
      </c>
      <c r="AG808">
        <v>-1.1067968875459999</v>
      </c>
      <c r="AH808">
        <v>13.226087397048101</v>
      </c>
      <c r="AI808">
        <v>94.621211277977295</v>
      </c>
      <c r="AJ808">
        <v>105.001948791846</v>
      </c>
      <c r="AK808">
        <v>13.7374368009988</v>
      </c>
    </row>
    <row r="809" spans="1:37" x14ac:dyDescent="0.2">
      <c r="A809" t="str">
        <f>"20200111150546337"</f>
        <v>20200111150546337</v>
      </c>
      <c r="B809" t="str">
        <f>"1578726346326338"</f>
        <v>1578726346326338</v>
      </c>
      <c r="C809" t="s">
        <v>37</v>
      </c>
      <c r="D809">
        <v>4.9140620000000004</v>
      </c>
      <c r="E809">
        <v>0.46541919999999998</v>
      </c>
      <c r="F809" t="s">
        <v>63</v>
      </c>
      <c r="G809">
        <v>-454.73180000000002</v>
      </c>
      <c r="H809" s="1">
        <v>9.2130410000000002E-7</v>
      </c>
      <c r="I809">
        <v>215.9872</v>
      </c>
      <c r="J809">
        <v>-468.64510000000001</v>
      </c>
      <c r="K809">
        <v>1.1066370000000001</v>
      </c>
      <c r="L809">
        <v>215.25120000000001</v>
      </c>
      <c r="M809">
        <v>0.97796489999999903</v>
      </c>
      <c r="N809">
        <v>0</v>
      </c>
      <c r="O809">
        <v>-0.20833379999999899</v>
      </c>
      <c r="P809">
        <v>0.99482099999999996</v>
      </c>
      <c r="Q809">
        <v>9.7636529999999999E-2</v>
      </c>
      <c r="R809">
        <v>-2.8257939999999999E-2</v>
      </c>
      <c r="S809">
        <v>3.0459589999999999</v>
      </c>
      <c r="T809">
        <v>-0.2387582</v>
      </c>
      <c r="U809">
        <v>0.15078739999999999</v>
      </c>
      <c r="V809">
        <v>-0.18047289999999999</v>
      </c>
      <c r="W809">
        <v>0.1094598</v>
      </c>
      <c r="X809">
        <v>0.97747030000000001</v>
      </c>
      <c r="Y809">
        <v>-0.25504179999999999</v>
      </c>
      <c r="Z809">
        <v>2.6201680000000001E-2</v>
      </c>
      <c r="AA809">
        <v>0.96657499999999996</v>
      </c>
      <c r="AB809">
        <v>19</v>
      </c>
      <c r="AC809">
        <v>13.9132999999999</v>
      </c>
      <c r="AD809">
        <v>-1.1066360786959</v>
      </c>
      <c r="AE809">
        <v>0.73599999999999</v>
      </c>
      <c r="AF809">
        <v>-3.5960354754624499</v>
      </c>
      <c r="AG809">
        <v>-1.1066360786959</v>
      </c>
      <c r="AH809">
        <v>13.370259496345801</v>
      </c>
      <c r="AI809">
        <v>94.569823590015304</v>
      </c>
      <c r="AJ809">
        <v>105.053903806816</v>
      </c>
      <c r="AK809">
        <v>13.8895627559359</v>
      </c>
    </row>
    <row r="810" spans="1:37" x14ac:dyDescent="0.2">
      <c r="A810" t="str">
        <f>"20200111150546359"</f>
        <v>20200111150546359</v>
      </c>
      <c r="B810" t="str">
        <f>"1578726346356594"</f>
        <v>1578726346356594</v>
      </c>
      <c r="C810" t="s">
        <v>37</v>
      </c>
      <c r="D810">
        <v>4.8784299999999998</v>
      </c>
      <c r="E810">
        <v>0.4675685</v>
      </c>
      <c r="F810" t="s">
        <v>63</v>
      </c>
      <c r="G810">
        <v>-454.72899999999998</v>
      </c>
      <c r="H810" s="1">
        <v>9.1680689999999999E-7</v>
      </c>
      <c r="I810">
        <v>216.05670000000001</v>
      </c>
      <c r="J810">
        <v>-468.45499999999998</v>
      </c>
      <c r="K810">
        <v>1.1064479999999901</v>
      </c>
      <c r="L810">
        <v>215.21799999999999</v>
      </c>
      <c r="M810">
        <v>0.97917419999999999</v>
      </c>
      <c r="N810">
        <v>0</v>
      </c>
      <c r="O810">
        <v>-0.20257610000000001</v>
      </c>
      <c r="P810">
        <v>0.99519429999999998</v>
      </c>
      <c r="Q810">
        <v>9.6214060000000004E-2</v>
      </c>
      <c r="R810">
        <v>-1.8207660000000001E-2</v>
      </c>
      <c r="S810">
        <v>3.0443119999999899</v>
      </c>
      <c r="T810">
        <v>-0.24208949999999901</v>
      </c>
      <c r="U810">
        <v>0.17620849999999999</v>
      </c>
      <c r="V810">
        <v>-0.18456979999999901</v>
      </c>
      <c r="W810">
        <v>0.10805289999999999</v>
      </c>
      <c r="X810">
        <v>0.9768616</v>
      </c>
      <c r="Y810">
        <v>-0.25739719999999999</v>
      </c>
      <c r="Z810">
        <v>2.622089E-2</v>
      </c>
      <c r="AA810">
        <v>0.96594990000000003</v>
      </c>
      <c r="AB810">
        <v>19</v>
      </c>
      <c r="AC810">
        <v>13.7259999999999</v>
      </c>
      <c r="AD810">
        <v>-1.1064470831930999</v>
      </c>
      <c r="AE810">
        <v>0.83870000000001699</v>
      </c>
      <c r="AF810">
        <v>-3.57894944705762</v>
      </c>
      <c r="AG810">
        <v>-1.1064470831930999</v>
      </c>
      <c r="AH810">
        <v>13.186081169029899</v>
      </c>
      <c r="AI810">
        <v>94.629731978609598</v>
      </c>
      <c r="AJ810">
        <v>105.185312252367</v>
      </c>
      <c r="AK810">
        <v>13.707875141273499</v>
      </c>
    </row>
    <row r="811" spans="1:37" x14ac:dyDescent="0.2">
      <c r="A811" t="str">
        <f>"20200111150546401"</f>
        <v>20200111150546401</v>
      </c>
      <c r="B811" t="str">
        <f>"1578726346396610"</f>
        <v>1578726346396610</v>
      </c>
      <c r="C811" t="s">
        <v>37</v>
      </c>
      <c r="D811">
        <v>4.8853179999999998</v>
      </c>
      <c r="E811">
        <v>0.46931679999999998</v>
      </c>
      <c r="F811" t="s">
        <v>63</v>
      </c>
      <c r="G811">
        <v>-454.07549999999998</v>
      </c>
      <c r="H811" s="1">
        <v>5.6661849999999999E-7</v>
      </c>
      <c r="I811">
        <v>216.1123</v>
      </c>
      <c r="J811">
        <v>-468.10410000000002</v>
      </c>
      <c r="K811">
        <v>1.1060859999999999</v>
      </c>
      <c r="L811">
        <v>215.15889999999999</v>
      </c>
      <c r="M811">
        <v>0.98117600000000005</v>
      </c>
      <c r="N811">
        <v>0</v>
      </c>
      <c r="O811">
        <v>-0.1926495</v>
      </c>
      <c r="P811">
        <v>0.99564969999999997</v>
      </c>
      <c r="Q811">
        <v>9.2947000000000002E-2</v>
      </c>
      <c r="R811">
        <v>-6.5403409999999999E-3</v>
      </c>
      <c r="S811">
        <v>3.0405579999999999</v>
      </c>
      <c r="T811">
        <v>-0.23396059999999999</v>
      </c>
      <c r="U811">
        <v>0.1891022</v>
      </c>
      <c r="V811">
        <v>-0.18607989999999999</v>
      </c>
      <c r="W811">
        <v>0.104882399999999</v>
      </c>
      <c r="X811">
        <v>0.97692069999999998</v>
      </c>
      <c r="Y811">
        <v>-0.25189800000000001</v>
      </c>
      <c r="Z811">
        <v>2.4408829999999999E-2</v>
      </c>
      <c r="AA811">
        <v>0.96744589999999997</v>
      </c>
      <c r="AB811">
        <v>19</v>
      </c>
      <c r="AC811">
        <v>14.028600000000001</v>
      </c>
      <c r="AD811">
        <v>-1.1060854333815</v>
      </c>
      <c r="AE811">
        <v>0.95340000000001601</v>
      </c>
      <c r="AF811">
        <v>-3.61600742385968</v>
      </c>
      <c r="AG811">
        <v>-1.1060854333815</v>
      </c>
      <c r="AH811">
        <v>13.498546418924899</v>
      </c>
      <c r="AI811">
        <v>94.5255460533443</v>
      </c>
      <c r="AJ811">
        <v>104.996367639323</v>
      </c>
      <c r="AK811">
        <v>14.0181913990079</v>
      </c>
    </row>
    <row r="812" spans="1:37" x14ac:dyDescent="0.2">
      <c r="A812" t="str">
        <f>"20200111150546447"</f>
        <v>20200111150546447</v>
      </c>
      <c r="B812" t="str">
        <f>"1578726346436627"</f>
        <v>1578726346436627</v>
      </c>
      <c r="C812" t="s">
        <v>37</v>
      </c>
      <c r="D812">
        <v>4.8401100000000001</v>
      </c>
      <c r="E812">
        <v>0.4715473</v>
      </c>
      <c r="F812" t="s">
        <v>63</v>
      </c>
      <c r="G812">
        <v>-454.22500000000002</v>
      </c>
      <c r="H812" s="1">
        <v>6.4573309999999896E-7</v>
      </c>
      <c r="I812">
        <v>216.1223</v>
      </c>
      <c r="J812">
        <v>-467.71879999999999</v>
      </c>
      <c r="K812">
        <v>1.1057729999999999</v>
      </c>
      <c r="L812">
        <v>215.0968</v>
      </c>
      <c r="M812">
        <v>0.98304840000000004</v>
      </c>
      <c r="N812">
        <v>0</v>
      </c>
      <c r="O812">
        <v>-0.18285860000000001</v>
      </c>
      <c r="P812">
        <v>0.99537629999999999</v>
      </c>
      <c r="Q812">
        <v>9.60429E-2</v>
      </c>
      <c r="R812">
        <v>1.310652E-3</v>
      </c>
      <c r="S812">
        <v>3.0371090000000001</v>
      </c>
      <c r="T812">
        <v>-0.24204149999999999</v>
      </c>
      <c r="U812">
        <v>0.21081539999999999</v>
      </c>
      <c r="V812">
        <v>-0.18391729999999901</v>
      </c>
      <c r="W812">
        <v>0.1080932</v>
      </c>
      <c r="X812">
        <v>0.97698019999999997</v>
      </c>
      <c r="Y812">
        <v>-0.24915209999999999</v>
      </c>
      <c r="Z812">
        <v>2.439535E-2</v>
      </c>
      <c r="AA812">
        <v>0.96815709999999999</v>
      </c>
      <c r="AB812">
        <v>19</v>
      </c>
      <c r="AC812">
        <v>13.493799999999901</v>
      </c>
      <c r="AD812">
        <v>-1.10577235426689</v>
      </c>
      <c r="AE812">
        <v>1.0254999999999901</v>
      </c>
      <c r="AF812">
        <v>-3.45283037021956</v>
      </c>
      <c r="AG812">
        <v>-1.10577235426689</v>
      </c>
      <c r="AH812">
        <v>12.991961412792</v>
      </c>
      <c r="AI812">
        <v>94.702371132088004</v>
      </c>
      <c r="AJ812">
        <v>104.88326405988199</v>
      </c>
      <c r="AK812">
        <v>13.4883591076323</v>
      </c>
    </row>
    <row r="813" spans="1:37" x14ac:dyDescent="0.2">
      <c r="A813" t="str">
        <f>"20200111150546467"</f>
        <v>20200111150546467</v>
      </c>
      <c r="B813" t="str">
        <f>"1578726346456146"</f>
        <v>1578726346456146</v>
      </c>
      <c r="C813" t="s">
        <v>37</v>
      </c>
      <c r="D813">
        <v>4.8845029999999996</v>
      </c>
      <c r="E813">
        <v>0.47220319999999999</v>
      </c>
      <c r="F813" t="s">
        <v>63</v>
      </c>
      <c r="G813">
        <v>-453.65219999999999</v>
      </c>
      <c r="H813" s="1">
        <v>3.421423E-7</v>
      </c>
      <c r="I813">
        <v>216.09389999999999</v>
      </c>
      <c r="J813">
        <v>-467.53879999999998</v>
      </c>
      <c r="K813">
        <v>1.1056330000000001</v>
      </c>
      <c r="L813">
        <v>215.0686</v>
      </c>
      <c r="M813">
        <v>0.98381640000000004</v>
      </c>
      <c r="N813">
        <v>0</v>
      </c>
      <c r="O813">
        <v>-0.17868299999999901</v>
      </c>
      <c r="P813">
        <v>0.99528379999999905</v>
      </c>
      <c r="Q813">
        <v>9.6965800000000005E-2</v>
      </c>
      <c r="R813">
        <v>2.8433359999999902E-3</v>
      </c>
      <c r="S813">
        <v>3.0366520000000001</v>
      </c>
      <c r="T813">
        <v>-0.23871039999999999</v>
      </c>
      <c r="U813">
        <v>0.21525569999999999</v>
      </c>
      <c r="V813">
        <v>-0.1812192</v>
      </c>
      <c r="W813">
        <v>0.1090777</v>
      </c>
      <c r="X813">
        <v>0.97737489999999905</v>
      </c>
      <c r="Y813">
        <v>-0.24651699999999999</v>
      </c>
      <c r="Z813">
        <v>2.3635949999999999E-2</v>
      </c>
      <c r="AA813">
        <v>0.96885019999999999</v>
      </c>
      <c r="AB813">
        <v>19</v>
      </c>
      <c r="AC813">
        <v>13.8865999999999</v>
      </c>
      <c r="AD813">
        <v>-1.1056326578577</v>
      </c>
      <c r="AE813">
        <v>1.0252999999999799</v>
      </c>
      <c r="AF813">
        <v>-3.46844864335706</v>
      </c>
      <c r="AG813">
        <v>-1.1056326578577</v>
      </c>
      <c r="AH813">
        <v>13.3954038736395</v>
      </c>
      <c r="AI813">
        <v>94.568407544610096</v>
      </c>
      <c r="AJ813">
        <v>104.516683342105</v>
      </c>
      <c r="AK813">
        <v>13.8812609118784</v>
      </c>
    </row>
    <row r="814" spans="1:37" x14ac:dyDescent="0.2">
      <c r="A814" t="str">
        <f>"20200111150546491"</f>
        <v>20200111150546491</v>
      </c>
      <c r="B814" t="str">
        <f>"1578726346486402"</f>
        <v>1578726346486402</v>
      </c>
      <c r="C814" t="s">
        <v>37</v>
      </c>
      <c r="D814">
        <v>4.8360589999999997</v>
      </c>
      <c r="E814">
        <v>0.47362870000000001</v>
      </c>
      <c r="F814" t="s">
        <v>63</v>
      </c>
      <c r="G814">
        <v>-453.52530000000002</v>
      </c>
      <c r="H814" s="1">
        <v>2.7613199999999997E-7</v>
      </c>
      <c r="I814">
        <v>216.05869999999999</v>
      </c>
      <c r="J814">
        <v>-467.33850000000001</v>
      </c>
      <c r="K814">
        <v>1.105459</v>
      </c>
      <c r="L814">
        <v>215.0378</v>
      </c>
      <c r="M814">
        <v>0.98459699999999895</v>
      </c>
      <c r="N814">
        <v>0</v>
      </c>
      <c r="O814">
        <v>-0.17433209999999999</v>
      </c>
      <c r="P814">
        <v>0.99523240000000002</v>
      </c>
      <c r="Q814">
        <v>9.7414940000000005E-2</v>
      </c>
      <c r="R814">
        <v>4.7712889999999997E-3</v>
      </c>
      <c r="S814">
        <v>3.0369869999999999</v>
      </c>
      <c r="T814">
        <v>-0.2396103</v>
      </c>
      <c r="U814">
        <v>0.21456910000000001</v>
      </c>
      <c r="V814">
        <v>-0.17873599999999901</v>
      </c>
      <c r="W814">
        <v>0.10959339999999999</v>
      </c>
      <c r="X814">
        <v>0.97777440000000004</v>
      </c>
      <c r="Y814">
        <v>-0.24202359999999901</v>
      </c>
      <c r="Z814">
        <v>2.32062E-2</v>
      </c>
      <c r="AA814">
        <v>0.96999279999999999</v>
      </c>
      <c r="AB814">
        <v>19</v>
      </c>
      <c r="AC814">
        <v>13.813199999999901</v>
      </c>
      <c r="AD814">
        <v>-1.105458723868</v>
      </c>
      <c r="AE814">
        <v>1.0208999999999799</v>
      </c>
      <c r="AF814">
        <v>-3.3919551502566798</v>
      </c>
      <c r="AG814">
        <v>-1.105458723868</v>
      </c>
      <c r="AH814">
        <v>13.3386824405822</v>
      </c>
      <c r="AI814">
        <v>94.592131018438394</v>
      </c>
      <c r="AJ814">
        <v>104.26759756705501</v>
      </c>
      <c r="AK814">
        <v>13.8075286703387</v>
      </c>
    </row>
    <row r="815" spans="1:37" x14ac:dyDescent="0.2">
      <c r="A815" t="str">
        <f>"20200111150546514"</f>
        <v>20200111150546514</v>
      </c>
      <c r="B815" t="str">
        <f>"1578726346506899"</f>
        <v>1578726346506899</v>
      </c>
      <c r="C815" t="s">
        <v>37</v>
      </c>
      <c r="D815">
        <v>4.912668</v>
      </c>
      <c r="E815">
        <v>0.47462799999999999</v>
      </c>
      <c r="F815" t="s">
        <v>63</v>
      </c>
      <c r="G815">
        <v>-453.01429999999999</v>
      </c>
      <c r="H815" s="1">
        <v>5.5183240000000001E-9</v>
      </c>
      <c r="I815">
        <v>216.02959999999999</v>
      </c>
      <c r="J815">
        <v>-467.14429999999999</v>
      </c>
      <c r="K815">
        <v>1.1052729999999999</v>
      </c>
      <c r="L815">
        <v>215.0085</v>
      </c>
      <c r="M815">
        <v>0.98527569999999998</v>
      </c>
      <c r="N815">
        <v>0</v>
      </c>
      <c r="O815">
        <v>-0.17045639999999901</v>
      </c>
      <c r="P815">
        <v>0.99508609999999897</v>
      </c>
      <c r="Q815">
        <v>9.8658419999999997E-2</v>
      </c>
      <c r="R815">
        <v>8.3870449999999992E-3</v>
      </c>
      <c r="S815">
        <v>3.0362849999999999</v>
      </c>
      <c r="T815">
        <v>-0.2343237</v>
      </c>
      <c r="U815">
        <v>0.21023559999999999</v>
      </c>
      <c r="V815">
        <v>-0.1783749</v>
      </c>
      <c r="W815">
        <v>0.110893899999999</v>
      </c>
      <c r="X815">
        <v>0.9776937</v>
      </c>
      <c r="Y815">
        <v>-0.23692340000000001</v>
      </c>
      <c r="Z815">
        <v>2.220958E-2</v>
      </c>
      <c r="AA815">
        <v>0.97127439999999998</v>
      </c>
      <c r="AB815">
        <v>19</v>
      </c>
      <c r="AC815">
        <v>14.1299999999999</v>
      </c>
      <c r="AD815">
        <v>-1.1052729944816699</v>
      </c>
      <c r="AE815">
        <v>1.0210999999999899</v>
      </c>
      <c r="AF815">
        <v>-3.3942548500079699</v>
      </c>
      <c r="AG815">
        <v>-1.1052729944816699</v>
      </c>
      <c r="AH815">
        <v>13.665922960959</v>
      </c>
      <c r="AI815">
        <v>94.488124763072094</v>
      </c>
      <c r="AJ815">
        <v>103.94850707465901</v>
      </c>
      <c r="AK815">
        <v>14.124448476099801</v>
      </c>
    </row>
    <row r="816" spans="1:37" x14ac:dyDescent="0.2">
      <c r="A816" t="str">
        <f>"20200111150546537"</f>
        <v>20200111150546537</v>
      </c>
      <c r="B816" t="str">
        <f>"1578726346526418"</f>
        <v>1578726346526418</v>
      </c>
      <c r="C816" t="s">
        <v>37</v>
      </c>
      <c r="D816">
        <v>4.9161469999999996</v>
      </c>
      <c r="E816">
        <v>0.47547460000000003</v>
      </c>
      <c r="F816" t="s">
        <v>63</v>
      </c>
      <c r="G816">
        <v>-452.21080000000001</v>
      </c>
      <c r="H816" s="1">
        <v>-4.2331449999999901E-7</v>
      </c>
      <c r="I816">
        <v>216.05799999999999</v>
      </c>
      <c r="J816">
        <v>-466.95389999999998</v>
      </c>
      <c r="K816">
        <v>1.105091</v>
      </c>
      <c r="L816">
        <v>214.98009999999999</v>
      </c>
      <c r="M816">
        <v>0.98587829999999999</v>
      </c>
      <c r="N816">
        <v>0</v>
      </c>
      <c r="O816">
        <v>-0.16693769999999999</v>
      </c>
      <c r="P816">
        <v>0.99496899999999999</v>
      </c>
      <c r="Q816">
        <v>9.9387970000000006E-2</v>
      </c>
      <c r="R816">
        <v>1.259624E-2</v>
      </c>
      <c r="S816">
        <v>3.0352480000000002</v>
      </c>
      <c r="T816">
        <v>-0.22464890000000001</v>
      </c>
      <c r="U816">
        <v>0.2133179</v>
      </c>
      <c r="V816">
        <v>-0.17896239999999999</v>
      </c>
      <c r="W816">
        <v>0.11167439999999999</v>
      </c>
      <c r="X816">
        <v>0.97749750000000002</v>
      </c>
      <c r="Y816">
        <v>-0.234571999999999</v>
      </c>
      <c r="Z816">
        <v>2.0957400000000001E-2</v>
      </c>
      <c r="AA816">
        <v>0.97187279999999998</v>
      </c>
      <c r="AB816">
        <v>19</v>
      </c>
      <c r="AC816">
        <v>14.743099999999901</v>
      </c>
      <c r="AD816">
        <v>-1.1050914233144999</v>
      </c>
      <c r="AE816">
        <v>1.0778999999999901</v>
      </c>
      <c r="AF816">
        <v>-3.5045814550252898</v>
      </c>
      <c r="AG816">
        <v>-1.1050914233144999</v>
      </c>
      <c r="AH816">
        <v>14.276436673732</v>
      </c>
      <c r="AI816">
        <v>94.299110649859102</v>
      </c>
      <c r="AJ816">
        <v>103.79224919147001</v>
      </c>
      <c r="AK816">
        <v>14.741776091362601</v>
      </c>
    </row>
    <row r="817" spans="1:37" x14ac:dyDescent="0.2">
      <c r="A817" t="str">
        <f>"20200111150546559"</f>
        <v>20200111150546559</v>
      </c>
      <c r="B817" t="str">
        <f>"1578726346556674"</f>
        <v>1578726346556674</v>
      </c>
      <c r="C817" t="s">
        <v>37</v>
      </c>
      <c r="D817">
        <v>4.9793820000000002</v>
      </c>
      <c r="E817">
        <v>0.47655530000000002</v>
      </c>
      <c r="F817" t="s">
        <v>63</v>
      </c>
      <c r="G817">
        <v>-451.47120000000001</v>
      </c>
      <c r="H817" s="1">
        <v>-8.1880199999999995E-7</v>
      </c>
      <c r="I817">
        <v>216.10130000000001</v>
      </c>
      <c r="J817">
        <v>-466.76909999999998</v>
      </c>
      <c r="K817">
        <v>1.104946</v>
      </c>
      <c r="L817">
        <v>214.9529</v>
      </c>
      <c r="M817">
        <v>0.98641800000000002</v>
      </c>
      <c r="N817">
        <v>0</v>
      </c>
      <c r="O817">
        <v>-0.163719899999999</v>
      </c>
      <c r="P817">
        <v>0.99506439999999996</v>
      </c>
      <c r="Q817">
        <v>9.8051120000000005E-2</v>
      </c>
      <c r="R817">
        <v>1.526213E-2</v>
      </c>
      <c r="S817">
        <v>3.0340579999999999</v>
      </c>
      <c r="T817">
        <v>-0.21655830000000001</v>
      </c>
      <c r="U817">
        <v>0.219711299999999</v>
      </c>
      <c r="V817">
        <v>-0.17836920000000001</v>
      </c>
      <c r="W817">
        <v>0.11038489999999999</v>
      </c>
      <c r="X817">
        <v>0.97775230000000002</v>
      </c>
      <c r="Y817">
        <v>-0.23355210000000001</v>
      </c>
      <c r="Z817">
        <v>1.9947799999999901E-2</v>
      </c>
      <c r="AA817">
        <v>0.97213969999999905</v>
      </c>
      <c r="AB817">
        <v>19</v>
      </c>
      <c r="AC817">
        <v>15.297899999999901</v>
      </c>
      <c r="AD817">
        <v>-1.104946818802</v>
      </c>
      <c r="AE817">
        <v>1.1484000000000001</v>
      </c>
      <c r="AF817">
        <v>-3.6189179684275201</v>
      </c>
      <c r="AG817">
        <v>-1.104946818802</v>
      </c>
      <c r="AH817">
        <v>14.826498421620901</v>
      </c>
      <c r="AI817">
        <v>94.140969270287499</v>
      </c>
      <c r="AJ817">
        <v>103.71680444547199</v>
      </c>
      <c r="AK817">
        <v>15.301716576283701</v>
      </c>
    </row>
    <row r="818" spans="1:37" x14ac:dyDescent="0.2">
      <c r="A818" t="str">
        <f>"20200111150546580"</f>
        <v>20200111150546580</v>
      </c>
      <c r="B818" t="str">
        <f>"1578726346576671"</f>
        <v>1578726346576671</v>
      </c>
      <c r="C818" t="s">
        <v>37</v>
      </c>
      <c r="D818">
        <v>5.5922679999999998</v>
      </c>
      <c r="E818">
        <v>0.47725000000000001</v>
      </c>
      <c r="F818" t="s">
        <v>63</v>
      </c>
      <c r="G818">
        <v>-451.65879999999999</v>
      </c>
      <c r="H818" s="1">
        <v>-7.1668409999999998E-7</v>
      </c>
      <c r="I818">
        <v>216.0497</v>
      </c>
      <c r="J818">
        <v>-466.59230000000002</v>
      </c>
      <c r="K818">
        <v>1.1048530000000001</v>
      </c>
      <c r="L818">
        <v>214.9272</v>
      </c>
      <c r="M818">
        <v>0.98689869999999902</v>
      </c>
      <c r="N818">
        <v>0</v>
      </c>
      <c r="O818">
        <v>-0.16079830000000001</v>
      </c>
      <c r="P818">
        <v>0.99514159999999996</v>
      </c>
      <c r="Q818">
        <v>9.7020040000000002E-2</v>
      </c>
      <c r="R818">
        <v>1.6747089999999999E-2</v>
      </c>
      <c r="S818">
        <v>3.0333860000000001</v>
      </c>
      <c r="T818">
        <v>-0.22181819999999999</v>
      </c>
      <c r="U818">
        <v>0.220184299999999</v>
      </c>
      <c r="V818">
        <v>-0.17691960000000001</v>
      </c>
      <c r="W818">
        <v>0.10938630000000001</v>
      </c>
      <c r="X818">
        <v>0.97812779999999999</v>
      </c>
      <c r="Y818">
        <v>-0.23080419999999999</v>
      </c>
      <c r="Z818">
        <v>2.0123680000000001E-2</v>
      </c>
      <c r="AA818">
        <v>0.97279210000000005</v>
      </c>
      <c r="AB818">
        <v>19</v>
      </c>
      <c r="AC818">
        <v>14.9335</v>
      </c>
      <c r="AD818">
        <v>-1.1048537166840999</v>
      </c>
      <c r="AE818">
        <v>1.1225000000000001</v>
      </c>
      <c r="AF818">
        <v>-3.4903838375562999</v>
      </c>
      <c r="AG818">
        <v>-1.1048537166840999</v>
      </c>
      <c r="AH818">
        <v>14.4798147400194</v>
      </c>
      <c r="AI818">
        <v>94.242337062001099</v>
      </c>
      <c r="AJ818">
        <v>103.55269535934001</v>
      </c>
      <c r="AK818">
        <v>14.935478431373699</v>
      </c>
    </row>
    <row r="819" spans="1:37" x14ac:dyDescent="0.2">
      <c r="A819" t="str">
        <f>"20200111150546603"</f>
        <v>20200111150546603</v>
      </c>
      <c r="B819" t="str">
        <f>"1578726346596191"</f>
        <v>1578726346596191</v>
      </c>
      <c r="C819" t="s">
        <v>37</v>
      </c>
      <c r="D819">
        <v>4.8710430000000002</v>
      </c>
      <c r="E819">
        <v>0.47804029999999997</v>
      </c>
      <c r="F819" t="s">
        <v>63</v>
      </c>
      <c r="G819">
        <v>-451.63</v>
      </c>
      <c r="H819" s="1">
        <v>-7.3044989999999999E-7</v>
      </c>
      <c r="I819">
        <v>216.0137</v>
      </c>
      <c r="J819">
        <v>-466.39330000000001</v>
      </c>
      <c r="K819">
        <v>1.104803</v>
      </c>
      <c r="L819">
        <v>214.89869999999999</v>
      </c>
      <c r="M819">
        <v>0.98740339999999904</v>
      </c>
      <c r="N819">
        <v>0</v>
      </c>
      <c r="O819">
        <v>-0.157670899999999</v>
      </c>
      <c r="P819">
        <v>0.99508790000000003</v>
      </c>
      <c r="Q819">
        <v>9.7231429999999994E-2</v>
      </c>
      <c r="R819">
        <v>1.8606540000000001E-2</v>
      </c>
      <c r="S819">
        <v>3.0328369999999998</v>
      </c>
      <c r="T819">
        <v>-0.2239525</v>
      </c>
      <c r="U819">
        <v>0.22023009999999901</v>
      </c>
      <c r="V819">
        <v>-0.1756297</v>
      </c>
      <c r="W819">
        <v>0.1096105</v>
      </c>
      <c r="X819">
        <v>0.97833519999999896</v>
      </c>
      <c r="Y819">
        <v>-0.2277448</v>
      </c>
      <c r="Z819">
        <v>1.9979009999999998E-2</v>
      </c>
      <c r="AA819">
        <v>0.97351589999999999</v>
      </c>
      <c r="AB819">
        <v>19</v>
      </c>
      <c r="AC819">
        <v>14.763299999999999</v>
      </c>
      <c r="AD819">
        <v>-1.1048037304498901</v>
      </c>
      <c r="AE819">
        <v>1.115</v>
      </c>
      <c r="AF819">
        <v>-3.41000822258995</v>
      </c>
      <c r="AG819">
        <v>-1.1048037304498901</v>
      </c>
      <c r="AH819">
        <v>14.3230287737595</v>
      </c>
      <c r="AI819">
        <v>94.291288566432797</v>
      </c>
      <c r="AJ819">
        <v>103.391601597969</v>
      </c>
      <c r="AK819">
        <v>14.7647519659116</v>
      </c>
    </row>
    <row r="820" spans="1:37" x14ac:dyDescent="0.2">
      <c r="A820" t="str">
        <f>"20200111150546625"</f>
        <v>20200111150546625</v>
      </c>
      <c r="B820" t="str">
        <f>"1578726346616687"</f>
        <v>1578726346616687</v>
      </c>
      <c r="C820" t="s">
        <v>37</v>
      </c>
      <c r="D820">
        <v>4.9171589999999998</v>
      </c>
      <c r="E820">
        <v>0.47873969999999999</v>
      </c>
      <c r="F820" t="s">
        <v>63</v>
      </c>
      <c r="G820">
        <v>-451.1277</v>
      </c>
      <c r="H820" s="1">
        <v>-9.9753729999999997E-7</v>
      </c>
      <c r="I820">
        <v>216.00839999999999</v>
      </c>
      <c r="J820">
        <v>-466.2097</v>
      </c>
      <c r="K820">
        <v>1.1047990000000001</v>
      </c>
      <c r="L820">
        <v>214.87289999999999</v>
      </c>
      <c r="M820">
        <v>0.9878439</v>
      </c>
      <c r="N820">
        <v>0</v>
      </c>
      <c r="O820">
        <v>-0.15488869999999999</v>
      </c>
      <c r="P820">
        <v>0.99496679999999904</v>
      </c>
      <c r="Q820">
        <v>9.8028530000000003E-2</v>
      </c>
      <c r="R820">
        <v>2.0779229999999999E-2</v>
      </c>
      <c r="S820">
        <v>3.0321349999999998</v>
      </c>
      <c r="T820">
        <v>-0.21944179999999899</v>
      </c>
      <c r="U820">
        <v>0.2204132</v>
      </c>
      <c r="V820">
        <v>-0.1749956</v>
      </c>
      <c r="W820">
        <v>0.110402399999999</v>
      </c>
      <c r="X820">
        <v>0.9783598</v>
      </c>
      <c r="Y820">
        <v>-0.22513150000000001</v>
      </c>
      <c r="Z820">
        <v>1.9288299999999901E-2</v>
      </c>
      <c r="AA820">
        <v>0.97413749999999999</v>
      </c>
      <c r="AB820">
        <v>19</v>
      </c>
      <c r="AC820">
        <v>15.081999999999899</v>
      </c>
      <c r="AD820">
        <v>-1.1047999975373</v>
      </c>
      <c r="AE820">
        <v>1.1355</v>
      </c>
      <c r="AF820">
        <v>-3.43967562931874</v>
      </c>
      <c r="AG820">
        <v>-1.1047999975373</v>
      </c>
      <c r="AH820">
        <v>14.6459192203301</v>
      </c>
      <c r="AI820">
        <v>94.200028314845298</v>
      </c>
      <c r="AJ820">
        <v>103.216708506374</v>
      </c>
      <c r="AK820">
        <v>15.0849229788529</v>
      </c>
    </row>
    <row r="821" spans="1:37" x14ac:dyDescent="0.2">
      <c r="A821" t="str">
        <f>"20200111150546668"</f>
        <v>20200111150546668</v>
      </c>
      <c r="B821" t="str">
        <f>"1578726346666702"</f>
        <v>1578726346666702</v>
      </c>
      <c r="C821" t="s">
        <v>37</v>
      </c>
      <c r="D821">
        <v>5.4771049999999999</v>
      </c>
      <c r="E821">
        <v>0.48007609999999901</v>
      </c>
      <c r="F821" t="s">
        <v>63</v>
      </c>
      <c r="G821">
        <v>-450.86930000000001</v>
      </c>
      <c r="H821" s="1">
        <v>-1.1344699999999999E-6</v>
      </c>
      <c r="I821">
        <v>215.9956</v>
      </c>
      <c r="J821">
        <v>-465.84710000000001</v>
      </c>
      <c r="K821">
        <v>1.1048199999999999</v>
      </c>
      <c r="L821">
        <v>214.82320000000001</v>
      </c>
      <c r="M821">
        <v>0.98867479999999996</v>
      </c>
      <c r="N821">
        <v>0</v>
      </c>
      <c r="O821">
        <v>-0.14949509999999999</v>
      </c>
      <c r="P821">
        <v>0.99478729999999904</v>
      </c>
      <c r="Q821">
        <v>9.9394990000000003E-2</v>
      </c>
      <c r="R821">
        <v>2.2784349999999998E-2</v>
      </c>
      <c r="S821">
        <v>3.0320429999999998</v>
      </c>
      <c r="T821">
        <v>-0.21836509999999901</v>
      </c>
      <c r="U821">
        <v>0.22190860000000001</v>
      </c>
      <c r="V821">
        <v>-0.17161089999999901</v>
      </c>
      <c r="W821">
        <v>0.1117563</v>
      </c>
      <c r="X821">
        <v>0.97880549999999999</v>
      </c>
      <c r="Y821">
        <v>-0.2203282</v>
      </c>
      <c r="Z821">
        <v>1.8636630000000001E-2</v>
      </c>
      <c r="AA821">
        <v>0.97524769999999905</v>
      </c>
      <c r="AB821">
        <v>19</v>
      </c>
      <c r="AC821">
        <v>14.9778</v>
      </c>
      <c r="AD821">
        <v>-1.1048211344700001</v>
      </c>
      <c r="AE821">
        <v>1.1723999999999799</v>
      </c>
      <c r="AF821">
        <v>-3.3802443402268101</v>
      </c>
      <c r="AG821">
        <v>-1.1048211344700001</v>
      </c>
      <c r="AH821">
        <v>14.5554582513852</v>
      </c>
      <c r="AI821">
        <v>94.228564640055694</v>
      </c>
      <c r="AJ821">
        <v>103.07416847092701</v>
      </c>
      <c r="AK821">
        <v>14.9835925747674</v>
      </c>
    </row>
    <row r="822" spans="1:37" x14ac:dyDescent="0.2">
      <c r="A822" t="str">
        <f>"20200111150546692"</f>
        <v>20200111150546692</v>
      </c>
      <c r="B822" t="str">
        <f>"1578726346686219"</f>
        <v>1578726346686219</v>
      </c>
      <c r="C822" t="s">
        <v>37</v>
      </c>
      <c r="D822">
        <v>5.0786699999999998</v>
      </c>
      <c r="E822">
        <v>0.48038700000000001</v>
      </c>
      <c r="F822" t="s">
        <v>63</v>
      </c>
      <c r="G822">
        <v>-450.4135</v>
      </c>
      <c r="H822" s="1">
        <v>-1.3745539999999999E-6</v>
      </c>
      <c r="I822">
        <v>215.9393</v>
      </c>
      <c r="J822">
        <v>-465.65480000000002</v>
      </c>
      <c r="K822">
        <v>1.1048420000000001</v>
      </c>
      <c r="L822">
        <v>214.79769999999999</v>
      </c>
      <c r="M822">
        <v>0.98910710000000002</v>
      </c>
      <c r="N822">
        <v>0</v>
      </c>
      <c r="O822">
        <v>-0.146608399999999</v>
      </c>
      <c r="P822">
        <v>0.99485159999999995</v>
      </c>
      <c r="Q822">
        <v>9.8435830000000002E-2</v>
      </c>
      <c r="R822">
        <v>2.4100469999999999E-2</v>
      </c>
      <c r="S822">
        <v>3.0323790000000002</v>
      </c>
      <c r="T822">
        <v>-0.21707480000000001</v>
      </c>
      <c r="U822">
        <v>0.21928409999999901</v>
      </c>
      <c r="V822">
        <v>-0.17006379999999999</v>
      </c>
      <c r="W822">
        <v>0.1107891</v>
      </c>
      <c r="X822">
        <v>0.97918539999999998</v>
      </c>
      <c r="Y822">
        <v>-0.2166603</v>
      </c>
      <c r="Z822">
        <v>1.8189250000000001E-2</v>
      </c>
      <c r="AA822">
        <v>0.97607759999999999</v>
      </c>
      <c r="AB822">
        <v>19</v>
      </c>
      <c r="AC822">
        <v>15.241300000000001</v>
      </c>
      <c r="AD822">
        <v>-1.1048433745540001</v>
      </c>
      <c r="AE822">
        <v>1.1416000000000099</v>
      </c>
      <c r="AF822">
        <v>-3.34647149116556</v>
      </c>
      <c r="AG822">
        <v>-1.1048433745540001</v>
      </c>
      <c r="AH822">
        <v>14.831697493853699</v>
      </c>
      <c r="AI822">
        <v>94.156112846042902</v>
      </c>
      <c r="AJ822">
        <v>102.71471964308699</v>
      </c>
      <c r="AK822">
        <v>15.244631870683699</v>
      </c>
    </row>
    <row r="823" spans="1:37" x14ac:dyDescent="0.2">
      <c r="A823" t="str">
        <f>"20200111150546714"</f>
        <v>20200111150546714</v>
      </c>
      <c r="B823" t="str">
        <f>"1578726346706716"</f>
        <v>1578726346706716</v>
      </c>
      <c r="C823" t="s">
        <v>37</v>
      </c>
      <c r="D823">
        <v>4.8122509999999998</v>
      </c>
      <c r="E823">
        <v>0.50485069999999999</v>
      </c>
      <c r="F823" t="s">
        <v>63</v>
      </c>
      <c r="G823">
        <v>-450.48149999999998</v>
      </c>
      <c r="H823" s="1">
        <v>-1.3366949999999999E-6</v>
      </c>
      <c r="I823">
        <v>215.90020000000001</v>
      </c>
      <c r="J823">
        <v>-465.46629999999999</v>
      </c>
      <c r="K823">
        <v>1.1048690000000001</v>
      </c>
      <c r="L823">
        <v>214.7732</v>
      </c>
      <c r="M823">
        <v>0.98952779999999996</v>
      </c>
      <c r="N823">
        <v>0</v>
      </c>
      <c r="O823">
        <v>-0.1437427</v>
      </c>
      <c r="P823">
        <v>0.9949228</v>
      </c>
      <c r="Q823">
        <v>9.7662840000000001E-2</v>
      </c>
      <c r="R823">
        <v>2.430833E-2</v>
      </c>
      <c r="S823">
        <v>3.0320130000000001</v>
      </c>
      <c r="T823">
        <v>-0.22077559999999999</v>
      </c>
      <c r="U823">
        <v>0.22030639999999899</v>
      </c>
      <c r="V823">
        <v>-0.16744389999999901</v>
      </c>
      <c r="W823">
        <v>0.1100143</v>
      </c>
      <c r="X823">
        <v>0.97972420000000005</v>
      </c>
      <c r="Y823">
        <v>-0.21415039999999999</v>
      </c>
      <c r="Z823">
        <v>1.820246E-2</v>
      </c>
      <c r="AA823">
        <v>0.97663109999999997</v>
      </c>
      <c r="AB823">
        <v>19</v>
      </c>
      <c r="AC823">
        <v>14.9848</v>
      </c>
      <c r="AD823">
        <v>-1.1048703366949999</v>
      </c>
      <c r="AE823">
        <v>1.127</v>
      </c>
      <c r="AF823">
        <v>-3.2518565473829999</v>
      </c>
      <c r="AG823">
        <v>-1.1048703366949999</v>
      </c>
      <c r="AH823">
        <v>14.5882818755685</v>
      </c>
      <c r="AI823">
        <v>94.227760796491395</v>
      </c>
      <c r="AJ823">
        <v>102.566289588296</v>
      </c>
      <c r="AK823">
        <v>14.987103707745099</v>
      </c>
    </row>
    <row r="824" spans="1:37" x14ac:dyDescent="0.2">
      <c r="A824" t="str">
        <f>"20200111150546735"</f>
        <v>20200111150546735</v>
      </c>
      <c r="B824" t="str">
        <f>"1578726346726235"</f>
        <v>1578726346726235</v>
      </c>
      <c r="C824" t="s">
        <v>37</v>
      </c>
      <c r="D824">
        <v>4.9719720000000001</v>
      </c>
      <c r="E824">
        <v>0.56248359999999997</v>
      </c>
      <c r="F824" t="s">
        <v>63</v>
      </c>
      <c r="G824">
        <v>-455.21820000000002</v>
      </c>
      <c r="H824" s="1">
        <v>1.229406E-6</v>
      </c>
      <c r="I824">
        <v>214.8603</v>
      </c>
      <c r="J824">
        <v>-465.28109999999998</v>
      </c>
      <c r="K824">
        <v>1.1049040000000001</v>
      </c>
      <c r="L824">
        <v>214.74969999999999</v>
      </c>
      <c r="M824">
        <v>0.98993719999999996</v>
      </c>
      <c r="N824">
        <v>0</v>
      </c>
      <c r="O824">
        <v>-0.14089599999999999</v>
      </c>
      <c r="P824">
        <v>0.99492760000000002</v>
      </c>
      <c r="Q824">
        <v>9.7497749999999994E-2</v>
      </c>
      <c r="R824">
        <v>2.4772229999999999E-2</v>
      </c>
      <c r="S824">
        <v>3.0469059999999999</v>
      </c>
      <c r="T824">
        <v>-0.32849220000000001</v>
      </c>
      <c r="U824">
        <v>2.5909419999999999E-2</v>
      </c>
      <c r="V824">
        <v>-0.16508919999999999</v>
      </c>
      <c r="W824">
        <v>0.109846</v>
      </c>
      <c r="X824">
        <v>0.98014249999999903</v>
      </c>
      <c r="Y824">
        <v>-0.14765300000000001</v>
      </c>
      <c r="Z824">
        <v>2.30477999999999E-2</v>
      </c>
      <c r="AA824">
        <v>0.9887707</v>
      </c>
      <c r="AB824">
        <v>19</v>
      </c>
      <c r="AC824">
        <v>10.0628999999999</v>
      </c>
      <c r="AD824">
        <v>-1.104902770594</v>
      </c>
      <c r="AE824">
        <v>0.110600000000005</v>
      </c>
      <c r="AF824">
        <v>-1.5092480434526201</v>
      </c>
      <c r="AG824">
        <v>-1.104902770594</v>
      </c>
      <c r="AH824">
        <v>9.8284377487829797</v>
      </c>
      <c r="AI824">
        <v>96.340497099795499</v>
      </c>
      <c r="AJ824">
        <v>98.7301061969887</v>
      </c>
      <c r="AK824">
        <v>10.004840247142001</v>
      </c>
    </row>
    <row r="825" spans="1:37" x14ac:dyDescent="0.2">
      <c r="A825" t="str">
        <f>"20200111150546758"</f>
        <v>20200111150546758</v>
      </c>
      <c r="B825" t="str">
        <f>"1578726346746731"</f>
        <v>1578726346746731</v>
      </c>
      <c r="C825" t="s">
        <v>37</v>
      </c>
      <c r="D825">
        <v>5.0351150000000002</v>
      </c>
      <c r="E825">
        <v>0.56716129999999998</v>
      </c>
      <c r="F825" t="s">
        <v>38</v>
      </c>
      <c r="G825">
        <v>-464.43889999999999</v>
      </c>
      <c r="H825">
        <v>1.0206850000000001</v>
      </c>
      <c r="I825">
        <v>214.63059999999999</v>
      </c>
      <c r="J825">
        <v>-465.09649999999999</v>
      </c>
      <c r="K825">
        <v>1.1049340000000001</v>
      </c>
      <c r="L825">
        <v>214.7269</v>
      </c>
      <c r="M825">
        <v>0.99033969999999905</v>
      </c>
      <c r="N825">
        <v>0</v>
      </c>
      <c r="O825">
        <v>-0.13803779999999999</v>
      </c>
      <c r="P825">
        <v>0.99491030000000003</v>
      </c>
      <c r="Q825">
        <v>9.7283300000000003E-2</v>
      </c>
      <c r="R825">
        <v>2.6260390000000002E-2</v>
      </c>
      <c r="S825">
        <v>3.0560610000000001</v>
      </c>
      <c r="T825">
        <v>-0.30619370000000001</v>
      </c>
      <c r="U825">
        <v>-0.43098449999999999</v>
      </c>
      <c r="V825">
        <v>-0.16373389999999999</v>
      </c>
      <c r="W825">
        <v>0.10962329999999899</v>
      </c>
      <c r="X825">
        <v>0.98039480000000001</v>
      </c>
      <c r="Y825">
        <v>2.2702989999999999E-3</v>
      </c>
      <c r="Z825">
        <v>1.355055E-2</v>
      </c>
      <c r="AA825">
        <v>0.99990559999999995</v>
      </c>
      <c r="AB825">
        <v>19</v>
      </c>
      <c r="AC825">
        <v>0.65760000000000196</v>
      </c>
      <c r="AD825">
        <v>-8.4249000000000004E-2</v>
      </c>
      <c r="AE825">
        <v>-9.6300000000013597E-2</v>
      </c>
      <c r="AF825">
        <v>4.5237604411735499E-3</v>
      </c>
      <c r="AG825">
        <v>-8.4249000000000004E-2</v>
      </c>
      <c r="AH825">
        <v>0.65408728826979001</v>
      </c>
      <c r="AI825">
        <v>97.339336235439902</v>
      </c>
      <c r="AJ825">
        <v>89.603740581841194</v>
      </c>
      <c r="AK825">
        <v>0.65950628434129199</v>
      </c>
    </row>
    <row r="826" spans="1:37" x14ac:dyDescent="0.2">
      <c r="A826" t="str">
        <f>"20200111150546780"</f>
        <v>20200111150546780</v>
      </c>
      <c r="B826" t="str">
        <f>"1578726346776011"</f>
        <v>1578726346776011</v>
      </c>
      <c r="C826" t="s">
        <v>37</v>
      </c>
      <c r="D826">
        <v>5.0060390000000003</v>
      </c>
      <c r="E826">
        <v>0.56924549999999996</v>
      </c>
      <c r="F826" t="s">
        <v>38</v>
      </c>
      <c r="G826">
        <v>-464.26639999999998</v>
      </c>
      <c r="H826">
        <v>1.0341670000000001</v>
      </c>
      <c r="I826">
        <v>214.601</v>
      </c>
      <c r="J826">
        <v>-464.90559999999999</v>
      </c>
      <c r="K826">
        <v>1.1049549999999999</v>
      </c>
      <c r="L826">
        <v>214.7039</v>
      </c>
      <c r="M826">
        <v>0.99074930000000005</v>
      </c>
      <c r="N826">
        <v>0</v>
      </c>
      <c r="O826">
        <v>-0.13506670000000001</v>
      </c>
      <c r="P826">
        <v>0.99487269999999906</v>
      </c>
      <c r="Q826">
        <v>9.7088830000000001E-2</v>
      </c>
      <c r="R826">
        <v>2.831846E-2</v>
      </c>
      <c r="S826">
        <v>3.0530089999999999</v>
      </c>
      <c r="T826">
        <v>-0.26013710000000001</v>
      </c>
      <c r="U826">
        <v>-0.4631653</v>
      </c>
      <c r="V826">
        <v>-0.16282869999999999</v>
      </c>
      <c r="W826">
        <v>0.1094204</v>
      </c>
      <c r="X826">
        <v>0.980568199999999</v>
      </c>
      <c r="Y826">
        <v>1.548589E-2</v>
      </c>
      <c r="Z826">
        <v>1.07137E-2</v>
      </c>
      <c r="AA826">
        <v>0.99982269999999895</v>
      </c>
      <c r="AB826">
        <v>19</v>
      </c>
      <c r="AC826">
        <v>0.63920000000001598</v>
      </c>
      <c r="AD826">
        <v>-7.0787999999999796E-2</v>
      </c>
      <c r="AE826">
        <v>-0.102900000000005</v>
      </c>
      <c r="AF826">
        <v>1.5430354234497399E-2</v>
      </c>
      <c r="AG826">
        <v>-7.0787999999999796E-2</v>
      </c>
      <c r="AH826">
        <v>0.63959515400568401</v>
      </c>
      <c r="AI826">
        <v>96.313757049758394</v>
      </c>
      <c r="AJ826">
        <v>88.617996545474099</v>
      </c>
      <c r="AK826">
        <v>0.64368548049754604</v>
      </c>
    </row>
    <row r="827" spans="1:37" x14ac:dyDescent="0.2">
      <c r="A827" t="str">
        <f>"20200111150546803"</f>
        <v>20200111150546803</v>
      </c>
      <c r="B827" t="str">
        <f>"1578726346796508"</f>
        <v>1578726346796508</v>
      </c>
      <c r="C827" t="s">
        <v>37</v>
      </c>
      <c r="D827">
        <v>5.0812540000000004</v>
      </c>
      <c r="E827">
        <v>0.57026429999999995</v>
      </c>
      <c r="F827" t="s">
        <v>38</v>
      </c>
      <c r="G827">
        <v>-464.0926</v>
      </c>
      <c r="H827">
        <v>1.0436749999999999</v>
      </c>
      <c r="I827">
        <v>214.57759999999999</v>
      </c>
      <c r="J827">
        <v>-464.71609999999998</v>
      </c>
      <c r="K827">
        <v>1.1049690000000001</v>
      </c>
      <c r="L827">
        <v>214.6816</v>
      </c>
      <c r="M827">
        <v>0.99114809999999998</v>
      </c>
      <c r="N827">
        <v>0</v>
      </c>
      <c r="O827">
        <v>-0.13210999999999901</v>
      </c>
      <c r="P827">
        <v>0.99475910000000001</v>
      </c>
      <c r="Q827">
        <v>9.7683640000000002E-2</v>
      </c>
      <c r="R827">
        <v>3.0212530000000001E-2</v>
      </c>
      <c r="S827">
        <v>3.0514830000000002</v>
      </c>
      <c r="T827">
        <v>-0.23057719999999901</v>
      </c>
      <c r="U827">
        <v>-0.4724274</v>
      </c>
      <c r="V827">
        <v>-0.16176750000000001</v>
      </c>
      <c r="W827">
        <v>0.1100076</v>
      </c>
      <c r="X827">
        <v>0.980678099999999</v>
      </c>
      <c r="Y827">
        <v>2.1394219999999999E-2</v>
      </c>
      <c r="Z827">
        <v>9.0611470000000003E-3</v>
      </c>
      <c r="AA827">
        <v>0.99973009999999995</v>
      </c>
      <c r="AB827">
        <v>19</v>
      </c>
      <c r="AC827">
        <v>0.62349999999997796</v>
      </c>
      <c r="AD827">
        <v>-6.1294000000000098E-2</v>
      </c>
      <c r="AE827">
        <v>-0.104000000000013</v>
      </c>
      <c r="AF827">
        <v>2.0517684400949501E-2</v>
      </c>
      <c r="AG827">
        <v>-6.1294000000000098E-2</v>
      </c>
      <c r="AH827">
        <v>0.62588978846711696</v>
      </c>
      <c r="AI827">
        <v>95.590212954331605</v>
      </c>
      <c r="AJ827">
        <v>88.122423613154893</v>
      </c>
      <c r="AK827">
        <v>0.62921852890437802</v>
      </c>
    </row>
    <row r="828" spans="1:37" x14ac:dyDescent="0.2">
      <c r="A828" t="str">
        <f>"20200111150546825"</f>
        <v>20200111150546825</v>
      </c>
      <c r="B828" t="str">
        <f>"1578726346816028"</f>
        <v>1578726346816028</v>
      </c>
      <c r="C828" t="s">
        <v>37</v>
      </c>
      <c r="D828">
        <v>5.1859190000000002</v>
      </c>
      <c r="E828">
        <v>0.57027910000000004</v>
      </c>
      <c r="F828" t="s">
        <v>38</v>
      </c>
      <c r="G828">
        <v>-463.92320000000001</v>
      </c>
      <c r="H828">
        <v>1.0460510000000001</v>
      </c>
      <c r="I828">
        <v>214.55850000000001</v>
      </c>
      <c r="J828">
        <v>-464.52749999999997</v>
      </c>
      <c r="K828">
        <v>1.10497</v>
      </c>
      <c r="L828">
        <v>214.66</v>
      </c>
      <c r="M828">
        <v>0.9915349</v>
      </c>
      <c r="N828">
        <v>0</v>
      </c>
      <c r="O828">
        <v>-0.12917519999999999</v>
      </c>
      <c r="P828">
        <v>0.99462299999999904</v>
      </c>
      <c r="Q828">
        <v>9.8354659999999997E-2</v>
      </c>
      <c r="R828">
        <v>3.2427930000000001E-2</v>
      </c>
      <c r="S828">
        <v>3.0524900000000001</v>
      </c>
      <c r="T828">
        <v>-0.22700500000000001</v>
      </c>
      <c r="U828">
        <v>-0.47343439999999998</v>
      </c>
      <c r="V828">
        <v>-0.16104189999999999</v>
      </c>
      <c r="W828">
        <v>0.1106693</v>
      </c>
      <c r="X828">
        <v>0.98072309999999996</v>
      </c>
      <c r="Y828">
        <v>2.4600190000000001E-2</v>
      </c>
      <c r="Z828">
        <v>8.5854490000000002E-3</v>
      </c>
      <c r="AA828">
        <v>0.99966049999999995</v>
      </c>
      <c r="AB828">
        <v>19</v>
      </c>
      <c r="AC828">
        <v>0.60429999999996598</v>
      </c>
      <c r="AD828">
        <v>-5.8918999999999902E-2</v>
      </c>
      <c r="AE828">
        <v>-0.101499999999987</v>
      </c>
      <c r="AF828">
        <v>2.2375297319696501E-2</v>
      </c>
      <c r="AG828">
        <v>-5.8918999999999902E-2</v>
      </c>
      <c r="AH828">
        <v>0.606739070617346</v>
      </c>
      <c r="AI828">
        <v>95.542723187759705</v>
      </c>
      <c r="AJ828">
        <v>87.888005789236303</v>
      </c>
      <c r="AK828">
        <v>0.61000360843584001</v>
      </c>
    </row>
    <row r="829" spans="1:37" x14ac:dyDescent="0.2">
      <c r="A829" t="str">
        <f>"20200111150546848"</f>
        <v>20200111150546848</v>
      </c>
      <c r="B829" t="str">
        <f>"1578726346836523"</f>
        <v>1578726346836523</v>
      </c>
      <c r="C829" t="s">
        <v>37</v>
      </c>
      <c r="D829">
        <v>5.0577180000000004</v>
      </c>
      <c r="E829">
        <v>0.57107909999999995</v>
      </c>
      <c r="F829" t="s">
        <v>38</v>
      </c>
      <c r="G829">
        <v>-463.75490000000002</v>
      </c>
      <c r="H829">
        <v>1.0470349999999999</v>
      </c>
      <c r="I829">
        <v>214.54159999999999</v>
      </c>
      <c r="J829">
        <v>-464.34109999999998</v>
      </c>
      <c r="K829">
        <v>1.1049519999999999</v>
      </c>
      <c r="L829">
        <v>214.63919999999999</v>
      </c>
      <c r="M829">
        <v>0.99190599999999995</v>
      </c>
      <c r="N829">
        <v>0</v>
      </c>
      <c r="O829">
        <v>-0.12629509999999999</v>
      </c>
      <c r="P829">
        <v>0.99462070000000002</v>
      </c>
      <c r="Q829">
        <v>9.7530530000000004E-2</v>
      </c>
      <c r="R829">
        <v>3.489304E-2</v>
      </c>
      <c r="S829">
        <v>3.0541689999999999</v>
      </c>
      <c r="T829">
        <v>-0.22957710000000001</v>
      </c>
      <c r="U829">
        <v>-0.46647640000000001</v>
      </c>
      <c r="V829">
        <v>-0.16062889999999999</v>
      </c>
      <c r="W829">
        <v>0.109836999999999</v>
      </c>
      <c r="X829">
        <v>0.98088439999999999</v>
      </c>
      <c r="Y829">
        <v>2.5192300000000001E-2</v>
      </c>
      <c r="Z829">
        <v>8.4449090000000004E-3</v>
      </c>
      <c r="AA829">
        <v>0.99964699999999995</v>
      </c>
      <c r="AB829">
        <v>19</v>
      </c>
      <c r="AC829">
        <v>0.58619999999996197</v>
      </c>
      <c r="AD829">
        <v>-5.7916999999999899E-2</v>
      </c>
      <c r="AE829">
        <v>-9.7599999999999895E-2</v>
      </c>
      <c r="AF829">
        <v>2.2563482919087701E-2</v>
      </c>
      <c r="AG829">
        <v>-5.7916999999999899E-2</v>
      </c>
      <c r="AH829">
        <v>0.58824545704584796</v>
      </c>
      <c r="AI829">
        <v>95.618953519627297</v>
      </c>
      <c r="AJ829">
        <v>87.803367851828696</v>
      </c>
      <c r="AK829">
        <v>0.59152025103585204</v>
      </c>
    </row>
    <row r="830" spans="1:37" x14ac:dyDescent="0.2">
      <c r="A830" t="str">
        <f>"20200111150546870"</f>
        <v>20200111150546870</v>
      </c>
      <c r="B830" t="str">
        <f>"1578726346866779"</f>
        <v>1578726346866779</v>
      </c>
      <c r="C830" t="s">
        <v>37</v>
      </c>
      <c r="D830">
        <v>5.1228300000000004</v>
      </c>
      <c r="E830">
        <v>0.57181289999999996</v>
      </c>
      <c r="F830" t="s">
        <v>38</v>
      </c>
      <c r="G830">
        <v>-463.58690000000001</v>
      </c>
      <c r="H830">
        <v>1.047944</v>
      </c>
      <c r="I830">
        <v>214.52430000000001</v>
      </c>
      <c r="J830">
        <v>-464.16309999999999</v>
      </c>
      <c r="K830">
        <v>1.10493</v>
      </c>
      <c r="L830">
        <v>214.6198</v>
      </c>
      <c r="M830">
        <v>0.99224789999999996</v>
      </c>
      <c r="N830">
        <v>0</v>
      </c>
      <c r="O830">
        <v>-0.1235826</v>
      </c>
      <c r="P830">
        <v>0.99470259999999999</v>
      </c>
      <c r="Q830">
        <v>9.5900760000000002E-2</v>
      </c>
      <c r="R830">
        <v>3.7007199999999997E-2</v>
      </c>
      <c r="S830">
        <v>3.0551759999999999</v>
      </c>
      <c r="T830">
        <v>-0.23105719999999999</v>
      </c>
      <c r="U830">
        <v>-0.46519470000000002</v>
      </c>
      <c r="V830">
        <v>-0.16004019999999999</v>
      </c>
      <c r="W830">
        <v>0.1082079</v>
      </c>
      <c r="X830">
        <v>0.98116170000000003</v>
      </c>
      <c r="Y830">
        <v>2.745622E-2</v>
      </c>
      <c r="Z830">
        <v>8.2102449999999997E-3</v>
      </c>
      <c r="AA830">
        <v>0.99958930000000001</v>
      </c>
      <c r="AB830">
        <v>19</v>
      </c>
      <c r="AC830">
        <v>0.57619999999997096</v>
      </c>
      <c r="AD830">
        <v>-5.6985999999999898E-2</v>
      </c>
      <c r="AE830">
        <v>-9.5499999999986998E-2</v>
      </c>
      <c r="AF830">
        <v>2.3331293902575299E-2</v>
      </c>
      <c r="AG830">
        <v>-5.6985999999999898E-2</v>
      </c>
      <c r="AH830">
        <v>0.57808227044184701</v>
      </c>
      <c r="AI830">
        <v>95.6253445348257</v>
      </c>
      <c r="AJ830">
        <v>87.688807264979303</v>
      </c>
      <c r="AK830">
        <v>0.58135261663672699</v>
      </c>
    </row>
    <row r="831" spans="1:37" x14ac:dyDescent="0.2">
      <c r="A831" t="str">
        <f>"20200111150546915"</f>
        <v>20200111150546915</v>
      </c>
      <c r="B831" t="str">
        <f>"1578726346906796"</f>
        <v>1578726346906796</v>
      </c>
      <c r="C831" t="s">
        <v>37</v>
      </c>
      <c r="D831">
        <v>5.1776790000000004</v>
      </c>
      <c r="E831">
        <v>0.57285240000000004</v>
      </c>
      <c r="F831" t="s">
        <v>38</v>
      </c>
      <c r="G831">
        <v>-463.41520000000003</v>
      </c>
      <c r="H831">
        <v>1.048532</v>
      </c>
      <c r="I831">
        <v>214.50599999999901</v>
      </c>
      <c r="J831">
        <v>-463.78530000000001</v>
      </c>
      <c r="K831">
        <v>1.1048610000000001</v>
      </c>
      <c r="L831">
        <v>214.58009999999999</v>
      </c>
      <c r="M831">
        <v>0.9929306</v>
      </c>
      <c r="N831">
        <v>0</v>
      </c>
      <c r="O831">
        <v>-0.1179765</v>
      </c>
      <c r="P831">
        <v>0.99438150000000003</v>
      </c>
      <c r="Q831">
        <v>9.7477530000000007E-2</v>
      </c>
      <c r="R831">
        <v>4.1278130000000003E-2</v>
      </c>
      <c r="S831">
        <v>3.0555110000000001</v>
      </c>
      <c r="T831">
        <v>-0.2307958</v>
      </c>
      <c r="U831">
        <v>-0.46415709999999999</v>
      </c>
      <c r="V831">
        <v>-0.15868019999999999</v>
      </c>
      <c r="W831">
        <v>0.10977779999999999</v>
      </c>
      <c r="X831">
        <v>0.98120810000000003</v>
      </c>
      <c r="Y831">
        <v>3.272307E-2</v>
      </c>
      <c r="Z831">
        <v>7.5865949999999998E-3</v>
      </c>
      <c r="AA831">
        <v>0.99943570000000004</v>
      </c>
      <c r="AB831">
        <v>19</v>
      </c>
      <c r="AC831">
        <v>0.370099999999979</v>
      </c>
      <c r="AD831">
        <v>-5.6328999999999997E-2</v>
      </c>
      <c r="AE831">
        <v>-7.4100000000015598E-2</v>
      </c>
      <c r="AF831">
        <v>2.92638431065467E-2</v>
      </c>
      <c r="AG831">
        <v>-5.6328999999999997E-2</v>
      </c>
      <c r="AH831">
        <v>0.36806033880620398</v>
      </c>
      <c r="AI831">
        <v>98.674238727429696</v>
      </c>
      <c r="AJ831">
        <v>85.454074360854705</v>
      </c>
      <c r="AK831">
        <v>0.37349396481938202</v>
      </c>
    </row>
    <row r="832" spans="1:37" x14ac:dyDescent="0.2">
      <c r="A832" t="str">
        <f>"20200111150546935"</f>
        <v>20200111150546935</v>
      </c>
      <c r="B832" t="str">
        <f>"1578726346926315"</f>
        <v>1578726346926315</v>
      </c>
      <c r="C832" t="s">
        <v>37</v>
      </c>
      <c r="D832">
        <v>4.9729729999999996</v>
      </c>
      <c r="E832">
        <v>0.57346809999999904</v>
      </c>
      <c r="F832" t="s">
        <v>38</v>
      </c>
      <c r="G832">
        <v>-462.92599999999999</v>
      </c>
      <c r="H832">
        <v>1.0422689999999999</v>
      </c>
      <c r="I832">
        <v>214.4511</v>
      </c>
      <c r="J832">
        <v>-463.61540000000002</v>
      </c>
      <c r="K832">
        <v>1.1048370000000001</v>
      </c>
      <c r="L832">
        <v>214.56290000000001</v>
      </c>
      <c r="M832">
        <v>0.99321919999999897</v>
      </c>
      <c r="N832">
        <v>0</v>
      </c>
      <c r="O832">
        <v>-0.11552279999999999</v>
      </c>
      <c r="P832">
        <v>0.99427509999999997</v>
      </c>
      <c r="Q832">
        <v>9.7697679999999995E-2</v>
      </c>
      <c r="R832">
        <v>4.3268840000000003E-2</v>
      </c>
      <c r="S832">
        <v>3.0578609999999999</v>
      </c>
      <c r="T832">
        <v>-0.22312470000000001</v>
      </c>
      <c r="U832">
        <v>-0.45846559999999997</v>
      </c>
      <c r="V832">
        <v>-0.1582095</v>
      </c>
      <c r="W832">
        <v>0.10999109999999999</v>
      </c>
      <c r="X832">
        <v>0.98126029999999997</v>
      </c>
      <c r="Y832">
        <v>3.3236479999999999E-2</v>
      </c>
      <c r="Z832">
        <v>7.13605199999999E-3</v>
      </c>
      <c r="AA832">
        <v>0.99942199999999903</v>
      </c>
      <c r="AB832">
        <v>19</v>
      </c>
      <c r="AC832">
        <v>0.68940000000003399</v>
      </c>
      <c r="AD832">
        <v>-6.2567999999999901E-2</v>
      </c>
      <c r="AE832">
        <v>-0.111800000000016</v>
      </c>
      <c r="AF832">
        <v>3.1153130621810202E-2</v>
      </c>
      <c r="AG832">
        <v>-6.2567999999999901E-2</v>
      </c>
      <c r="AH832">
        <v>0.69214509434445504</v>
      </c>
      <c r="AI832">
        <v>95.1601445749926</v>
      </c>
      <c r="AJ832">
        <v>87.422882812300998</v>
      </c>
      <c r="AK832">
        <v>0.69566522393794705</v>
      </c>
    </row>
    <row r="833" spans="1:37" x14ac:dyDescent="0.2">
      <c r="A833" t="str">
        <f>"20200111150546958"</f>
        <v>20200111150546958</v>
      </c>
      <c r="B833" t="str">
        <f>"1578726346956571"</f>
        <v>1578726346956571</v>
      </c>
      <c r="C833" t="s">
        <v>37</v>
      </c>
      <c r="D833">
        <v>5.0616490000000001</v>
      </c>
      <c r="E833">
        <v>0.57441719999999996</v>
      </c>
      <c r="F833" t="s">
        <v>38</v>
      </c>
      <c r="G833">
        <v>-462.76010000000002</v>
      </c>
      <c r="H833">
        <v>1.0415459999999901</v>
      </c>
      <c r="I833">
        <v>214.4348</v>
      </c>
      <c r="J833">
        <v>-463.42340000000002</v>
      </c>
      <c r="K833">
        <v>1.1048069999999901</v>
      </c>
      <c r="L833">
        <v>214.54390000000001</v>
      </c>
      <c r="M833">
        <v>0.99353359999999902</v>
      </c>
      <c r="N833">
        <v>0</v>
      </c>
      <c r="O833">
        <v>-0.1127901</v>
      </c>
      <c r="P833">
        <v>0.99420869999999995</v>
      </c>
      <c r="Q833">
        <v>9.7641770000000003E-2</v>
      </c>
      <c r="R833">
        <v>4.489249E-2</v>
      </c>
      <c r="S833">
        <v>3.059418</v>
      </c>
      <c r="T833">
        <v>-0.22675000000000001</v>
      </c>
      <c r="U833">
        <v>-0.45709229999999901</v>
      </c>
      <c r="V833">
        <v>-0.1571043</v>
      </c>
      <c r="W833">
        <v>0.1099299</v>
      </c>
      <c r="X833">
        <v>0.98144469999999995</v>
      </c>
      <c r="Y833">
        <v>3.5466070000000002E-2</v>
      </c>
      <c r="Z833">
        <v>6.9669709999999998E-3</v>
      </c>
      <c r="AA833">
        <v>0.99934659999999997</v>
      </c>
      <c r="AB833">
        <v>19</v>
      </c>
      <c r="AC833">
        <v>0.66329999999999201</v>
      </c>
      <c r="AD833">
        <v>-6.3260999999999998E-2</v>
      </c>
      <c r="AE833">
        <v>-0.10910000000001201</v>
      </c>
      <c r="AF833">
        <v>3.32888660947653E-2</v>
      </c>
      <c r="AG833">
        <v>-6.3260999999999998E-2</v>
      </c>
      <c r="AH833">
        <v>0.66547932382336195</v>
      </c>
      <c r="AI833">
        <v>95.423524439323003</v>
      </c>
      <c r="AJ833">
        <v>87.136315137274295</v>
      </c>
      <c r="AK833">
        <v>0.66930772680679096</v>
      </c>
    </row>
    <row r="834" spans="1:37" x14ac:dyDescent="0.2">
      <c r="A834" t="str">
        <f>"20200111150546981"</f>
        <v>20200111150546981</v>
      </c>
      <c r="B834" t="str">
        <f>"1578726346976091"</f>
        <v>1578726346976091</v>
      </c>
      <c r="C834" t="s">
        <v>37</v>
      </c>
      <c r="D834">
        <v>5.0354510000000001</v>
      </c>
      <c r="E834">
        <v>0.57523760000000002</v>
      </c>
      <c r="F834" t="s">
        <v>38</v>
      </c>
      <c r="G834">
        <v>-462.59160000000003</v>
      </c>
      <c r="H834">
        <v>1.043669</v>
      </c>
      <c r="I834">
        <v>214.41929999999999</v>
      </c>
      <c r="J834">
        <v>-463.2296</v>
      </c>
      <c r="K834">
        <v>1.1047879999999899</v>
      </c>
      <c r="L834">
        <v>214.52529999999999</v>
      </c>
      <c r="M834">
        <v>0.99383840000000001</v>
      </c>
      <c r="N834">
        <v>0</v>
      </c>
      <c r="O834">
        <v>-0.1100757</v>
      </c>
      <c r="P834">
        <v>0.99411419999999995</v>
      </c>
      <c r="Q834">
        <v>9.7927840000000002E-2</v>
      </c>
      <c r="R834">
        <v>4.6339569999999997E-2</v>
      </c>
      <c r="S834">
        <v>3.0602719999999999</v>
      </c>
      <c r="T834">
        <v>-0.22501599999999999</v>
      </c>
      <c r="U834">
        <v>-0.45840449999999999</v>
      </c>
      <c r="V834">
        <v>-0.15584239999999999</v>
      </c>
      <c r="W834">
        <v>0.11020579999999899</v>
      </c>
      <c r="X834">
        <v>0.98161489999999996</v>
      </c>
      <c r="Y834">
        <v>3.8555819999999998E-2</v>
      </c>
      <c r="Z834">
        <v>6.6023729999999999E-3</v>
      </c>
      <c r="AA834">
        <v>0.99923459999999997</v>
      </c>
      <c r="AB834">
        <v>19</v>
      </c>
      <c r="AC834">
        <v>0.63799999999997603</v>
      </c>
      <c r="AD834">
        <v>-6.1118999999999903E-2</v>
      </c>
      <c r="AE834">
        <v>-0.105999999999994</v>
      </c>
      <c r="AF834">
        <v>3.48106508369974E-2</v>
      </c>
      <c r="AG834">
        <v>-6.1118999999999903E-2</v>
      </c>
      <c r="AH834">
        <v>0.64007504123175296</v>
      </c>
      <c r="AI834">
        <v>95.446478182105395</v>
      </c>
      <c r="AJ834">
        <v>86.887020567510504</v>
      </c>
      <c r="AK834">
        <v>0.64392807981988598</v>
      </c>
    </row>
    <row r="835" spans="1:37" x14ac:dyDescent="0.2">
      <c r="A835" t="str">
        <f>"20200111150547003"</f>
        <v>20200111150547003</v>
      </c>
      <c r="B835" t="str">
        <f>"1578726346996587"</f>
        <v>1578726346996587</v>
      </c>
      <c r="C835" t="s">
        <v>37</v>
      </c>
      <c r="D835">
        <v>5.0087510000000002</v>
      </c>
      <c r="E835">
        <v>0.5757468</v>
      </c>
      <c r="F835" t="s">
        <v>38</v>
      </c>
      <c r="G835">
        <v>-462.42290000000003</v>
      </c>
      <c r="H835">
        <v>1.0461739999999999</v>
      </c>
      <c r="I835">
        <v>214.40369999999999</v>
      </c>
      <c r="J835">
        <v>-463.05009999999999</v>
      </c>
      <c r="K835">
        <v>1.1047719999999901</v>
      </c>
      <c r="L835">
        <v>214.50839999999999</v>
      </c>
      <c r="M835">
        <v>0.9941101</v>
      </c>
      <c r="N835">
        <v>0</v>
      </c>
      <c r="O835">
        <v>-0.107595699999999</v>
      </c>
      <c r="P835">
        <v>0.99399459999999995</v>
      </c>
      <c r="Q835">
        <v>9.8455119999999993E-2</v>
      </c>
      <c r="R835">
        <v>4.7764109999999999E-2</v>
      </c>
      <c r="S835">
        <v>3.0611570000000001</v>
      </c>
      <c r="T835">
        <v>-0.223042299999999</v>
      </c>
      <c r="U835">
        <v>-0.45988459999999998</v>
      </c>
      <c r="V835">
        <v>-0.15479010000000001</v>
      </c>
      <c r="W835">
        <v>0.110719</v>
      </c>
      <c r="X835">
        <v>0.98172369999999898</v>
      </c>
      <c r="Y835">
        <v>4.1461810000000002E-2</v>
      </c>
      <c r="Z835">
        <v>6.2593880000000003E-3</v>
      </c>
      <c r="AA835">
        <v>0.99912049999999997</v>
      </c>
      <c r="AB835">
        <v>19</v>
      </c>
      <c r="AC835">
        <v>0.62719999999995901</v>
      </c>
      <c r="AD835">
        <v>-5.85979999999999E-2</v>
      </c>
      <c r="AE835">
        <v>-0.104700000000008</v>
      </c>
      <c r="AF835">
        <v>3.62941692555225E-2</v>
      </c>
      <c r="AG835">
        <v>-5.85979999999999E-2</v>
      </c>
      <c r="AH835">
        <v>0.62947892016741602</v>
      </c>
      <c r="AI835">
        <v>95.3095519592068</v>
      </c>
      <c r="AJ835">
        <v>86.700123098377304</v>
      </c>
      <c r="AK835">
        <v>0.63324142573041198</v>
      </c>
    </row>
    <row r="836" spans="1:37" x14ac:dyDescent="0.2">
      <c r="A836" t="str">
        <f>"20200111150547025"</f>
        <v>20200111150547025</v>
      </c>
      <c r="B836" t="str">
        <f>"1578726347016107"</f>
        <v>1578726347016107</v>
      </c>
      <c r="C836" t="s">
        <v>37</v>
      </c>
      <c r="D836">
        <v>5.0614189999999999</v>
      </c>
      <c r="E836">
        <v>0.57620950000000004</v>
      </c>
      <c r="F836" t="s">
        <v>38</v>
      </c>
      <c r="G836">
        <v>-462.25470000000001</v>
      </c>
      <c r="H836">
        <v>1.0480370000000001</v>
      </c>
      <c r="I836">
        <v>214.38910000000001</v>
      </c>
      <c r="J836">
        <v>-462.86250000000001</v>
      </c>
      <c r="K836">
        <v>1.104751</v>
      </c>
      <c r="L836">
        <v>214.4913</v>
      </c>
      <c r="M836">
        <v>0.99438510000000002</v>
      </c>
      <c r="N836">
        <v>0</v>
      </c>
      <c r="O836">
        <v>-0.10502789999999999</v>
      </c>
      <c r="P836">
        <v>0.99395299999999998</v>
      </c>
      <c r="Q836">
        <v>9.8317470000000004E-2</v>
      </c>
      <c r="R836">
        <v>4.8898209999999998E-2</v>
      </c>
      <c r="S836">
        <v>3.0618289999999999</v>
      </c>
      <c r="T836">
        <v>-0.21812039999999899</v>
      </c>
      <c r="U836">
        <v>-0.46005249999999998</v>
      </c>
      <c r="V836">
        <v>-0.15336900000000001</v>
      </c>
      <c r="W836">
        <v>0.11056589999999999</v>
      </c>
      <c r="X836">
        <v>0.9819639</v>
      </c>
      <c r="Y836">
        <v>4.404346E-2</v>
      </c>
      <c r="Z836">
        <v>5.8487219999999998E-3</v>
      </c>
      <c r="AA836">
        <v>0.99901249999999997</v>
      </c>
      <c r="AB836">
        <v>19</v>
      </c>
      <c r="AC836">
        <v>0.60779999999999701</v>
      </c>
      <c r="AD836">
        <v>-5.6713999999999903E-2</v>
      </c>
      <c r="AE836">
        <v>-0.102199999999982</v>
      </c>
      <c r="AF836">
        <v>3.7476038368043897E-2</v>
      </c>
      <c r="AG836">
        <v>-5.6713999999999903E-2</v>
      </c>
      <c r="AH836">
        <v>0.61000742935320895</v>
      </c>
      <c r="AI836">
        <v>95.301731723376705</v>
      </c>
      <c r="AJ836">
        <v>86.484430501913295</v>
      </c>
      <c r="AK836">
        <v>0.61378334541910895</v>
      </c>
    </row>
    <row r="837" spans="1:37" x14ac:dyDescent="0.2">
      <c r="A837" t="str">
        <f>"20200111150547048"</f>
        <v>20200111150547048</v>
      </c>
      <c r="B837" t="str">
        <f>"1578726347046363"</f>
        <v>1578726347046363</v>
      </c>
      <c r="C837" t="s">
        <v>37</v>
      </c>
      <c r="D837">
        <v>5.0000650000000002</v>
      </c>
      <c r="E837">
        <v>0.57703009999999999</v>
      </c>
      <c r="F837" t="s">
        <v>38</v>
      </c>
      <c r="G837">
        <v>-462.08640000000003</v>
      </c>
      <c r="H837">
        <v>1.0502049999999901</v>
      </c>
      <c r="I837">
        <v>214.37430000000001</v>
      </c>
      <c r="J837">
        <v>-462.67669999999998</v>
      </c>
      <c r="K837">
        <v>1.104733</v>
      </c>
      <c r="L837">
        <v>214.47479999999999</v>
      </c>
      <c r="M837">
        <v>0.99464929999999996</v>
      </c>
      <c r="N837">
        <v>0</v>
      </c>
      <c r="O837">
        <v>-0.1024992</v>
      </c>
      <c r="P837">
        <v>0.99392340000000001</v>
      </c>
      <c r="Q837">
        <v>9.814138E-2</v>
      </c>
      <c r="R837">
        <v>4.9845899999999999E-2</v>
      </c>
      <c r="S837">
        <v>3.0622250000000002</v>
      </c>
      <c r="T837">
        <v>-0.215827299999999</v>
      </c>
      <c r="U837">
        <v>-0.46034239999999998</v>
      </c>
      <c r="V837">
        <v>-0.15180350000000001</v>
      </c>
      <c r="W837">
        <v>0.1103726</v>
      </c>
      <c r="X837">
        <v>0.98222889999999996</v>
      </c>
      <c r="Y837">
        <v>4.6641490000000001E-2</v>
      </c>
      <c r="Z837">
        <v>5.5200400000000004E-3</v>
      </c>
      <c r="AA837">
        <v>0.99889640000000002</v>
      </c>
      <c r="AB837">
        <v>19</v>
      </c>
      <c r="AC837">
        <v>0.59029999999995597</v>
      </c>
      <c r="AD837">
        <v>-5.4528000000000097E-2</v>
      </c>
      <c r="AE837">
        <v>-0.10049999999998201</v>
      </c>
      <c r="AF837">
        <v>3.9135733644554402E-2</v>
      </c>
      <c r="AG837">
        <v>-5.4528000000000097E-2</v>
      </c>
      <c r="AH837">
        <v>0.59257850741796503</v>
      </c>
      <c r="AI837">
        <v>95.246083757818596</v>
      </c>
      <c r="AJ837">
        <v>86.221495126956398</v>
      </c>
      <c r="AK837">
        <v>0.59636750069533495</v>
      </c>
    </row>
    <row r="838" spans="1:37" x14ac:dyDescent="0.2">
      <c r="A838" t="str">
        <f>"20200111150547073"</f>
        <v>20200111150547073</v>
      </c>
      <c r="B838" t="str">
        <f>"1578726347066859"</f>
        <v>1578726347066859</v>
      </c>
      <c r="C838" t="s">
        <v>37</v>
      </c>
      <c r="D838">
        <v>4.9048939999999996</v>
      </c>
      <c r="E838">
        <v>0.57781539999999998</v>
      </c>
      <c r="F838" t="s">
        <v>38</v>
      </c>
      <c r="G838">
        <v>-461.91840000000002</v>
      </c>
      <c r="H838">
        <v>1.051453</v>
      </c>
      <c r="I838">
        <v>214.36</v>
      </c>
      <c r="J838">
        <v>-462.47559999999999</v>
      </c>
      <c r="K838">
        <v>1.1047149999999999</v>
      </c>
      <c r="L838">
        <v>214.4573</v>
      </c>
      <c r="M838">
        <v>0.99492749999999996</v>
      </c>
      <c r="N838">
        <v>0</v>
      </c>
      <c r="O838">
        <v>-9.976815E-2</v>
      </c>
      <c r="P838">
        <v>0.99377469999999901</v>
      </c>
      <c r="Q838">
        <v>9.855651E-2</v>
      </c>
      <c r="R838">
        <v>5.1945619999999998E-2</v>
      </c>
      <c r="S838">
        <v>3.062805</v>
      </c>
      <c r="T838">
        <v>-0.2151161</v>
      </c>
      <c r="U838">
        <v>-0.4639587</v>
      </c>
      <c r="V838">
        <v>-0.1511759</v>
      </c>
      <c r="W838">
        <v>0.11075599999999999</v>
      </c>
      <c r="X838">
        <v>0.98228249999999995</v>
      </c>
      <c r="Y838">
        <v>5.0492269999999999E-2</v>
      </c>
      <c r="Z838">
        <v>5.1769260000000001E-3</v>
      </c>
      <c r="AA838">
        <v>0.99871100000000002</v>
      </c>
      <c r="AB838">
        <v>19</v>
      </c>
      <c r="AC838">
        <v>0.55719999999996594</v>
      </c>
      <c r="AD838">
        <v>-5.32619999999999E-2</v>
      </c>
      <c r="AE838">
        <v>-9.7299999999989895E-2</v>
      </c>
      <c r="AF838">
        <v>4.0856775941004897E-2</v>
      </c>
      <c r="AG838">
        <v>-5.32619999999999E-2</v>
      </c>
      <c r="AH838">
        <v>0.55916969824331297</v>
      </c>
      <c r="AI838">
        <v>95.426738239677604</v>
      </c>
      <c r="AJ838">
        <v>85.821003444210803</v>
      </c>
      <c r="AK838">
        <v>0.56318457739697703</v>
      </c>
    </row>
    <row r="839" spans="1:37" x14ac:dyDescent="0.2">
      <c r="A839" t="str">
        <f>"20200111150547094"</f>
        <v>20200111150547094</v>
      </c>
      <c r="B839" t="str">
        <f>"1578726347086378"</f>
        <v>1578726347086378</v>
      </c>
      <c r="C839" t="s">
        <v>37</v>
      </c>
      <c r="D839">
        <v>4.9183750000000002</v>
      </c>
      <c r="E839">
        <v>0.57822629999999997</v>
      </c>
      <c r="F839" t="s">
        <v>38</v>
      </c>
      <c r="G839">
        <v>-461.5949</v>
      </c>
      <c r="H839">
        <v>1.043955</v>
      </c>
      <c r="I839">
        <v>214.32400000000001</v>
      </c>
      <c r="J839">
        <v>-462.29860000000002</v>
      </c>
      <c r="K839">
        <v>1.1047149999999999</v>
      </c>
      <c r="L839">
        <v>214.4425</v>
      </c>
      <c r="M839">
        <v>0.99516610000000005</v>
      </c>
      <c r="N839">
        <v>0</v>
      </c>
      <c r="O839">
        <v>-9.7363729999999996E-2</v>
      </c>
      <c r="P839">
        <v>0.99359979999999903</v>
      </c>
      <c r="Q839">
        <v>9.9108790000000002E-2</v>
      </c>
      <c r="R839">
        <v>5.4193430000000001E-2</v>
      </c>
      <c r="S839">
        <v>3.0639949999999998</v>
      </c>
      <c r="T839">
        <v>-0.211481</v>
      </c>
      <c r="U839">
        <v>-0.46356199999999997</v>
      </c>
      <c r="V839">
        <v>-0.1510206</v>
      </c>
      <c r="W839">
        <v>0.1112683</v>
      </c>
      <c r="X839">
        <v>0.98224849999999997</v>
      </c>
      <c r="Y839">
        <v>5.2706959999999997E-2</v>
      </c>
      <c r="Z839">
        <v>4.8482270000000001E-3</v>
      </c>
      <c r="AA839">
        <v>0.99859830000000005</v>
      </c>
      <c r="AB839">
        <v>19</v>
      </c>
      <c r="AC839">
        <v>0.70370000000002597</v>
      </c>
      <c r="AD839">
        <v>-6.0759999999999897E-2</v>
      </c>
      <c r="AE839">
        <v>-0.11849999999998299</v>
      </c>
      <c r="AF839">
        <v>4.9060723961691699E-2</v>
      </c>
      <c r="AG839">
        <v>-6.0759999999999897E-2</v>
      </c>
      <c r="AH839">
        <v>0.70677079254956898</v>
      </c>
      <c r="AI839">
        <v>94.901811525723701</v>
      </c>
      <c r="AJ839">
        <v>86.029164500959197</v>
      </c>
      <c r="AK839">
        <v>0.71107220831417095</v>
      </c>
    </row>
    <row r="840" spans="1:37" x14ac:dyDescent="0.2">
      <c r="A840" t="str">
        <f>"20200111150547115"</f>
        <v>20200111150547115</v>
      </c>
      <c r="B840" t="str">
        <f>"1578726347106876"</f>
        <v>1578726347106876</v>
      </c>
      <c r="C840" t="s">
        <v>37</v>
      </c>
      <c r="D840">
        <v>4.9642710000000001</v>
      </c>
      <c r="E840">
        <v>0.57876719999999904</v>
      </c>
      <c r="F840" t="s">
        <v>38</v>
      </c>
      <c r="G840">
        <v>-461.42770000000002</v>
      </c>
      <c r="H840">
        <v>1.045105</v>
      </c>
      <c r="I840">
        <v>214.3116</v>
      </c>
      <c r="J840">
        <v>-462.11779999999999</v>
      </c>
      <c r="K840">
        <v>1.104716</v>
      </c>
      <c r="L840">
        <v>214.42779999999999</v>
      </c>
      <c r="M840">
        <v>0.99540409999999901</v>
      </c>
      <c r="N840">
        <v>0</v>
      </c>
      <c r="O840">
        <v>-9.4905229999999993E-2</v>
      </c>
      <c r="P840">
        <v>0.99346049999999997</v>
      </c>
      <c r="Q840">
        <v>9.9181790000000006E-2</v>
      </c>
      <c r="R840">
        <v>5.6559730000000003E-2</v>
      </c>
      <c r="S840">
        <v>3.0653380000000001</v>
      </c>
      <c r="T840">
        <v>-0.21021279999999901</v>
      </c>
      <c r="U840">
        <v>-0.45970149999999999</v>
      </c>
      <c r="V840">
        <v>-0.1509344</v>
      </c>
      <c r="W840">
        <v>0.1112948</v>
      </c>
      <c r="X840">
        <v>0.98225869999999904</v>
      </c>
      <c r="Y840">
        <v>5.3869720000000003E-2</v>
      </c>
      <c r="Z840">
        <v>4.6117850000000002E-3</v>
      </c>
      <c r="AA840">
        <v>0.99853729999999996</v>
      </c>
      <c r="AB840">
        <v>19</v>
      </c>
      <c r="AC840">
        <v>0.69009999999997196</v>
      </c>
      <c r="AD840">
        <v>-5.9610999999999997E-2</v>
      </c>
      <c r="AE840">
        <v>-0.116199999999992</v>
      </c>
      <c r="AF840">
        <v>4.9814518182028603E-2</v>
      </c>
      <c r="AG840">
        <v>-5.9610999999999997E-2</v>
      </c>
      <c r="AH840">
        <v>0.69298530262290003</v>
      </c>
      <c r="AI840">
        <v>94.903921814835797</v>
      </c>
      <c r="AJ840">
        <v>85.888425453623</v>
      </c>
      <c r="AK840">
        <v>0.69732602647116304</v>
      </c>
    </row>
    <row r="841" spans="1:37" x14ac:dyDescent="0.2">
      <c r="A841" t="str">
        <f>"20200111150547161"</f>
        <v>20200111150547161</v>
      </c>
      <c r="B841" t="str">
        <f>"1578726347156651"</f>
        <v>1578726347156651</v>
      </c>
      <c r="C841" t="s">
        <v>37</v>
      </c>
      <c r="D841">
        <v>6.5033000000000003</v>
      </c>
      <c r="E841">
        <v>0.46879700000000002</v>
      </c>
      <c r="F841" t="s">
        <v>38</v>
      </c>
      <c r="G841">
        <v>-461.26069999999999</v>
      </c>
      <c r="H841">
        <v>1.0459160000000001</v>
      </c>
      <c r="I841">
        <v>214.3</v>
      </c>
      <c r="J841">
        <v>-461.745</v>
      </c>
      <c r="K841">
        <v>1.1047119999999999</v>
      </c>
      <c r="L841">
        <v>214.3989</v>
      </c>
      <c r="M841">
        <v>0.99587769999999998</v>
      </c>
      <c r="N841">
        <v>0</v>
      </c>
      <c r="O841">
        <v>-8.9818250000000002E-2</v>
      </c>
      <c r="P841">
        <v>0.99322160000000004</v>
      </c>
      <c r="Q841">
        <v>9.9041790000000005E-2</v>
      </c>
      <c r="R841">
        <v>6.0840560000000002E-2</v>
      </c>
      <c r="S841">
        <v>3.0667719999999998</v>
      </c>
      <c r="T841">
        <v>-0.21078649999999999</v>
      </c>
      <c r="U841">
        <v>-0.45639039999999997</v>
      </c>
      <c r="V841">
        <v>-0.15015209999999901</v>
      </c>
      <c r="W841">
        <v>0.1110237</v>
      </c>
      <c r="X841">
        <v>0.98240930000000004</v>
      </c>
      <c r="Y841">
        <v>5.782793E-2</v>
      </c>
      <c r="Z841">
        <v>4.1424729999999998E-3</v>
      </c>
      <c r="AA841">
        <v>0.99831800000000004</v>
      </c>
      <c r="AB841">
        <v>19</v>
      </c>
      <c r="AC841">
        <v>0.48430000000001799</v>
      </c>
      <c r="AD841">
        <v>-5.8796000000000001E-2</v>
      </c>
      <c r="AE841">
        <v>-9.8899999999986193E-2</v>
      </c>
      <c r="AF841">
        <v>5.4230432702020298E-2</v>
      </c>
      <c r="AG841">
        <v>-5.8796000000000001E-2</v>
      </c>
      <c r="AH841">
        <v>0.48437262295333799</v>
      </c>
      <c r="AI841">
        <v>96.878477457758393</v>
      </c>
      <c r="AJ841">
        <v>83.611759508118993</v>
      </c>
      <c r="AK841">
        <v>0.49093252827017297</v>
      </c>
    </row>
    <row r="842" spans="1:37" x14ac:dyDescent="0.2">
      <c r="A842" t="str">
        <f>"20200111150547182"</f>
        <v>20200111150547182</v>
      </c>
      <c r="B842" t="str">
        <f>"1578726347176678"</f>
        <v>1578726347176678</v>
      </c>
      <c r="C842" t="s">
        <v>37</v>
      </c>
      <c r="D842">
        <v>4.2904479999999996</v>
      </c>
      <c r="E842">
        <v>0.45488450000000002</v>
      </c>
      <c r="F842" t="s">
        <v>63</v>
      </c>
      <c r="G842">
        <v>-448.678</v>
      </c>
      <c r="H842" s="1">
        <v>3.0088770000000001E-6</v>
      </c>
      <c r="I842">
        <v>216.27070000000001</v>
      </c>
      <c r="J842">
        <v>-461.56509999999997</v>
      </c>
      <c r="K842">
        <v>1.104708</v>
      </c>
      <c r="L842">
        <v>214.38560000000001</v>
      </c>
      <c r="M842">
        <v>0.99609840000000005</v>
      </c>
      <c r="N842">
        <v>0</v>
      </c>
      <c r="O842">
        <v>-8.7350269999999994E-2</v>
      </c>
      <c r="P842">
        <v>0.99302950000000001</v>
      </c>
      <c r="Q842">
        <v>9.9612640000000002E-2</v>
      </c>
      <c r="R842">
        <v>6.3005809999999995E-2</v>
      </c>
      <c r="S842">
        <v>3.0194399999999999</v>
      </c>
      <c r="T842">
        <v>-0.25526860000000001</v>
      </c>
      <c r="U842">
        <v>0.43252559999999901</v>
      </c>
      <c r="V842">
        <v>-0.14985770000000001</v>
      </c>
      <c r="W842">
        <v>0.1115076</v>
      </c>
      <c r="X842">
        <v>0.98239949999999998</v>
      </c>
      <c r="Y842">
        <v>-0.22663139999999901</v>
      </c>
      <c r="Z842">
        <v>1.685387E-2</v>
      </c>
      <c r="AA842">
        <v>0.9738348</v>
      </c>
      <c r="AB842">
        <v>19</v>
      </c>
      <c r="AC842">
        <v>12.887099999999901</v>
      </c>
      <c r="AD842">
        <v>-1.104704991123</v>
      </c>
      <c r="AE842">
        <v>1.88509999999999</v>
      </c>
      <c r="AF842">
        <v>-2.98221899096206</v>
      </c>
      <c r="AG842">
        <v>-1.104704991123</v>
      </c>
      <c r="AH842">
        <v>12.5826333016213</v>
      </c>
      <c r="AI842">
        <v>94.8828846343701</v>
      </c>
      <c r="AJ842">
        <v>103.333678746224</v>
      </c>
      <c r="AK842">
        <v>12.9783151460633</v>
      </c>
    </row>
    <row r="843" spans="1:37" x14ac:dyDescent="0.2">
      <c r="A843" t="str">
        <f>"20200111150547204"</f>
        <v>20200111150547204</v>
      </c>
      <c r="B843" t="str">
        <f>"1578726347196198"</f>
        <v>1578726347196198</v>
      </c>
      <c r="C843" t="s">
        <v>37</v>
      </c>
      <c r="D843">
        <v>5.2068129999999897</v>
      </c>
      <c r="E843">
        <v>0.44659919999999997</v>
      </c>
      <c r="F843" t="s">
        <v>63</v>
      </c>
      <c r="G843">
        <v>-443.89609999999999</v>
      </c>
      <c r="H843" s="1">
        <v>4.0537170000000001E-7</v>
      </c>
      <c r="I843">
        <v>217.6172</v>
      </c>
      <c r="J843">
        <v>-461.38130000000001</v>
      </c>
      <c r="K843">
        <v>1.1046989999999901</v>
      </c>
      <c r="L843">
        <v>214.3725</v>
      </c>
      <c r="M843">
        <v>0.99631829999999999</v>
      </c>
      <c r="N843">
        <v>0</v>
      </c>
      <c r="O843">
        <v>-8.4820980000000004E-2</v>
      </c>
      <c r="P843">
        <v>0.99284609999999995</v>
      </c>
      <c r="Q843">
        <v>9.9945220000000001E-2</v>
      </c>
      <c r="R843">
        <v>6.5328230000000001E-2</v>
      </c>
      <c r="S843">
        <v>3.0050349999999999</v>
      </c>
      <c r="T843">
        <v>-0.18788270000000001</v>
      </c>
      <c r="U843">
        <v>0.54960629999999999</v>
      </c>
      <c r="V843">
        <v>-0.14965980000000001</v>
      </c>
      <c r="W843">
        <v>0.1117393</v>
      </c>
      <c r="X843">
        <v>0.98240329999999998</v>
      </c>
      <c r="Y843">
        <v>-0.26204810000000001</v>
      </c>
      <c r="Z843">
        <v>1.337725E-2</v>
      </c>
      <c r="AA843">
        <v>0.96496209999999905</v>
      </c>
      <c r="AB843">
        <v>19</v>
      </c>
      <c r="AC843">
        <v>17.485199999999999</v>
      </c>
      <c r="AD843">
        <v>-1.1046985946282999</v>
      </c>
      <c r="AE843">
        <v>3.2446999999999901</v>
      </c>
      <c r="AF843">
        <v>-4.6981032399740004</v>
      </c>
      <c r="AG843">
        <v>-1.1046985946282999</v>
      </c>
      <c r="AH843">
        <v>17.0810263108615</v>
      </c>
      <c r="AI843">
        <v>93.568245375526999</v>
      </c>
      <c r="AJ843">
        <v>105.37881153185</v>
      </c>
      <c r="AK843">
        <v>17.749760360939302</v>
      </c>
    </row>
    <row r="844" spans="1:37" x14ac:dyDescent="0.2">
      <c r="A844" t="str">
        <f>"20200111150547226"</f>
        <v>20200111150547226</v>
      </c>
      <c r="B844" t="str">
        <f>"1578726347216694"</f>
        <v>1578726347216694</v>
      </c>
      <c r="C844" t="s">
        <v>37</v>
      </c>
      <c r="D844">
        <v>5.0362349999999996</v>
      </c>
      <c r="E844">
        <v>0.44579659999999899</v>
      </c>
      <c r="F844" t="s">
        <v>66</v>
      </c>
      <c r="G844">
        <v>-435.62529999999998</v>
      </c>
      <c r="H844">
        <v>8.0000230000000006E-2</v>
      </c>
      <c r="I844">
        <v>219.7304</v>
      </c>
      <c r="J844">
        <v>-461.19189999999998</v>
      </c>
      <c r="K844">
        <v>1.1046860000000001</v>
      </c>
      <c r="L844">
        <v>214.3595</v>
      </c>
      <c r="M844">
        <v>0.99653879999999995</v>
      </c>
      <c r="N844">
        <v>0</v>
      </c>
      <c r="O844">
        <v>-8.2208600000000007E-2</v>
      </c>
      <c r="P844">
        <v>0.99267249999999996</v>
      </c>
      <c r="Q844">
        <v>0.1000607</v>
      </c>
      <c r="R844">
        <v>6.7745189999999997E-2</v>
      </c>
      <c r="S844">
        <v>2.9926759999999999</v>
      </c>
      <c r="T844">
        <v>-0.1190634</v>
      </c>
      <c r="U844">
        <v>0.62254330000000002</v>
      </c>
      <c r="V844">
        <v>-0.149476</v>
      </c>
      <c r="W844">
        <v>0.11172459999999999</v>
      </c>
      <c r="X844">
        <v>0.982433</v>
      </c>
      <c r="Y844">
        <v>-0.28318649999999901</v>
      </c>
      <c r="Z844">
        <v>8.8106409999999993E-3</v>
      </c>
      <c r="AA844">
        <v>0.9590244</v>
      </c>
      <c r="AB844">
        <v>19</v>
      </c>
      <c r="AC844">
        <v>25.566599999999902</v>
      </c>
      <c r="AD844">
        <v>-1.0246857700000001</v>
      </c>
      <c r="AE844">
        <v>5.3708999999999998</v>
      </c>
      <c r="AF844">
        <v>-7.4432208884454303</v>
      </c>
      <c r="AG844">
        <v>-1.0246857700000001</v>
      </c>
      <c r="AH844">
        <v>25.000018787890198</v>
      </c>
      <c r="AI844">
        <v>92.249609546225003</v>
      </c>
      <c r="AJ844">
        <v>106.579774345736</v>
      </c>
      <c r="AK844">
        <v>26.104644366784498</v>
      </c>
    </row>
    <row r="845" spans="1:37" x14ac:dyDescent="0.2">
      <c r="A845" t="str">
        <f>"20200111150547248"</f>
        <v>20200111150547248</v>
      </c>
      <c r="B845" t="str">
        <f>"1578726347245975"</f>
        <v>1578726347245975</v>
      </c>
      <c r="C845" t="s">
        <v>37</v>
      </c>
      <c r="D845">
        <v>5.025315</v>
      </c>
      <c r="E845">
        <v>0.44792520000000002</v>
      </c>
      <c r="F845" t="s">
        <v>66</v>
      </c>
      <c r="G845">
        <v>-427.34910000000002</v>
      </c>
      <c r="H845" s="1">
        <v>1.649644E-6</v>
      </c>
      <c r="I845">
        <v>221.56319999999999</v>
      </c>
      <c r="J845">
        <v>-461.00979999999998</v>
      </c>
      <c r="K845">
        <v>1.104665</v>
      </c>
      <c r="L845">
        <v>214.3475</v>
      </c>
      <c r="M845">
        <v>0.99674509999999905</v>
      </c>
      <c r="N845">
        <v>0</v>
      </c>
      <c r="O845">
        <v>-7.9693849999999997E-2</v>
      </c>
      <c r="P845">
        <v>0.99248829999999999</v>
      </c>
      <c r="Q845">
        <v>0.1002217</v>
      </c>
      <c r="R845">
        <v>7.0160040000000007E-2</v>
      </c>
      <c r="S845">
        <v>2.9885860000000002</v>
      </c>
      <c r="T845">
        <v>-9.7552299999999995E-2</v>
      </c>
      <c r="U845">
        <v>0.63613889999999995</v>
      </c>
      <c r="V845">
        <v>-0.14938609999999999</v>
      </c>
      <c r="W845">
        <v>0.1117213</v>
      </c>
      <c r="X845">
        <v>0.98244699999999996</v>
      </c>
      <c r="Y845">
        <v>-0.28529640000000001</v>
      </c>
      <c r="Z845">
        <v>7.1789169999999999E-3</v>
      </c>
      <c r="AA845">
        <v>0.9584125</v>
      </c>
      <c r="AB845">
        <v>19</v>
      </c>
      <c r="AC845">
        <v>33.660699999999899</v>
      </c>
      <c r="AD845">
        <v>-1.1046633503559999</v>
      </c>
      <c r="AE845">
        <v>7.2156999999999902</v>
      </c>
      <c r="AF845">
        <v>-9.86533755766526</v>
      </c>
      <c r="AG845">
        <v>-1.1046633503559999</v>
      </c>
      <c r="AH845">
        <v>32.944610605388498</v>
      </c>
      <c r="AI845">
        <v>91.839801939962896</v>
      </c>
      <c r="AJ845">
        <v>106.670447111035</v>
      </c>
      <c r="AK845">
        <v>34.4077394518294</v>
      </c>
    </row>
    <row r="846" spans="1:37" x14ac:dyDescent="0.2">
      <c r="A846" t="str">
        <f>"20200111150547275"</f>
        <v>20200111150547275</v>
      </c>
      <c r="B846" t="str">
        <f>"1578726347266003"</f>
        <v>1578726347266003</v>
      </c>
      <c r="C846" t="s">
        <v>37</v>
      </c>
      <c r="D846">
        <v>4.8250469999999996</v>
      </c>
      <c r="E846">
        <v>0.44834859999999999</v>
      </c>
      <c r="F846" t="s">
        <v>66</v>
      </c>
      <c r="G846">
        <v>-435.863</v>
      </c>
      <c r="H846">
        <v>2.2193850000000001E-2</v>
      </c>
      <c r="I846">
        <v>219.6163</v>
      </c>
      <c r="J846">
        <v>-460.78640000000001</v>
      </c>
      <c r="K846">
        <v>1.104619</v>
      </c>
      <c r="L846">
        <v>214.33330000000001</v>
      </c>
      <c r="M846">
        <v>0.99699069999999901</v>
      </c>
      <c r="N846">
        <v>0</v>
      </c>
      <c r="O846">
        <v>-7.6603939999999995E-2</v>
      </c>
      <c r="P846">
        <v>0.99226239999999999</v>
      </c>
      <c r="Q846">
        <v>0.100748</v>
      </c>
      <c r="R846">
        <v>7.2561399999999998E-2</v>
      </c>
      <c r="S846">
        <v>2.991425</v>
      </c>
      <c r="T846">
        <v>-0.12876899999999999</v>
      </c>
      <c r="U846">
        <v>0.62676999999999905</v>
      </c>
      <c r="V846">
        <v>-0.14871479999999901</v>
      </c>
      <c r="W846">
        <v>0.1119696</v>
      </c>
      <c r="X846">
        <v>0.98252059999999997</v>
      </c>
      <c r="Y846">
        <v>-0.27913119999999902</v>
      </c>
      <c r="Z846">
        <v>9.2055060000000005E-3</v>
      </c>
      <c r="AA846">
        <v>0.96020879999999997</v>
      </c>
      <c r="AB846">
        <v>19</v>
      </c>
      <c r="AC846">
        <v>24.923399999999901</v>
      </c>
      <c r="AD846">
        <v>-1.0824251499999999</v>
      </c>
      <c r="AE846">
        <v>5.2829999999999799</v>
      </c>
      <c r="AF846">
        <v>-7.1639085157081199</v>
      </c>
      <c r="AG846">
        <v>-1.0824251499999999</v>
      </c>
      <c r="AH846">
        <v>24.4013813622105</v>
      </c>
      <c r="AI846">
        <v>92.437196668742004</v>
      </c>
      <c r="AJ846">
        <v>106.361510290439</v>
      </c>
      <c r="AK846">
        <v>25.4542853329419</v>
      </c>
    </row>
    <row r="847" spans="1:37" x14ac:dyDescent="0.2">
      <c r="A847" t="str">
        <f>"20200111150547296"</f>
        <v>20200111150547296</v>
      </c>
      <c r="B847" t="str">
        <f>"1578726347286499"</f>
        <v>1578726347286499</v>
      </c>
      <c r="C847" t="s">
        <v>37</v>
      </c>
      <c r="D847">
        <v>5.0756839999999999</v>
      </c>
      <c r="E847">
        <v>0.44910729999999999</v>
      </c>
      <c r="F847" t="s">
        <v>66</v>
      </c>
      <c r="G847">
        <v>-438.42360000000002</v>
      </c>
      <c r="H847" s="1">
        <v>5.565028E-6</v>
      </c>
      <c r="I847">
        <v>219.04849999999999</v>
      </c>
      <c r="J847">
        <v>-460.61219999999997</v>
      </c>
      <c r="K847">
        <v>1.10456</v>
      </c>
      <c r="L847">
        <v>214.3228</v>
      </c>
      <c r="M847">
        <v>0.99717690000000003</v>
      </c>
      <c r="N847">
        <v>0</v>
      </c>
      <c r="O847">
        <v>-7.419096E-2</v>
      </c>
      <c r="P847">
        <v>0.99217269999999902</v>
      </c>
      <c r="Q847">
        <v>0.100588</v>
      </c>
      <c r="R847">
        <v>7.3997779999999999E-2</v>
      </c>
      <c r="S847">
        <v>2.9922490000000002</v>
      </c>
      <c r="T847">
        <v>-0.1478025</v>
      </c>
      <c r="U847">
        <v>0.63090519999999894</v>
      </c>
      <c r="V847">
        <v>-0.147759</v>
      </c>
      <c r="W847">
        <v>0.11151749999999901</v>
      </c>
      <c r="X847">
        <v>0.98271620000000004</v>
      </c>
      <c r="Y847">
        <v>-0.27792899999999998</v>
      </c>
      <c r="Z847">
        <v>1.041299E-2</v>
      </c>
      <c r="AA847">
        <v>0.96054519999999899</v>
      </c>
      <c r="AB847">
        <v>19</v>
      </c>
      <c r="AC847">
        <v>22.188599999999902</v>
      </c>
      <c r="AD847">
        <v>-1.104554434972</v>
      </c>
      <c r="AE847">
        <v>4.7256999999999802</v>
      </c>
      <c r="AF847">
        <v>-6.3439396517539999</v>
      </c>
      <c r="AG847">
        <v>-1.104554434972</v>
      </c>
      <c r="AH847">
        <v>21.7253126166855</v>
      </c>
      <c r="AI847">
        <v>92.794028165727894</v>
      </c>
      <c r="AJ847">
        <v>106.278164939489</v>
      </c>
      <c r="AK847">
        <v>22.6595414582385</v>
      </c>
    </row>
    <row r="848" spans="1:37" x14ac:dyDescent="0.2">
      <c r="A848" t="str">
        <f>"20200111150547317"</f>
        <v>20200111150547317</v>
      </c>
      <c r="B848" t="str">
        <f>"1578726347306020"</f>
        <v>1578726347306020</v>
      </c>
      <c r="C848" t="s">
        <v>37</v>
      </c>
      <c r="D848">
        <v>5.0548089999999997</v>
      </c>
      <c r="E848">
        <v>0.4499457</v>
      </c>
      <c r="F848" t="s">
        <v>66</v>
      </c>
      <c r="G848">
        <v>-439.7799</v>
      </c>
      <c r="H848" s="1">
        <v>6.1965610000000001E-6</v>
      </c>
      <c r="I848">
        <v>218.7045</v>
      </c>
      <c r="J848">
        <v>-460.43400000000003</v>
      </c>
      <c r="K848">
        <v>1.1045</v>
      </c>
      <c r="L848">
        <v>214.3124</v>
      </c>
      <c r="M848">
        <v>0.99736139999999995</v>
      </c>
      <c r="N848">
        <v>0</v>
      </c>
      <c r="O848">
        <v>-7.1723709999999996E-2</v>
      </c>
      <c r="P848">
        <v>0.99205239999999995</v>
      </c>
      <c r="Q848">
        <v>0.1006078</v>
      </c>
      <c r="R848">
        <v>7.5567129999999996E-2</v>
      </c>
      <c r="S848">
        <v>2.99276699999999</v>
      </c>
      <c r="T848">
        <v>-0.15868019999999999</v>
      </c>
      <c r="U848">
        <v>0.6294708</v>
      </c>
      <c r="V848">
        <v>-0.14688190000000001</v>
      </c>
      <c r="W848">
        <v>0.1111972</v>
      </c>
      <c r="X848">
        <v>0.98288399999999998</v>
      </c>
      <c r="Y848">
        <v>-0.27502140000000003</v>
      </c>
      <c r="Z848">
        <v>1.09712E-2</v>
      </c>
      <c r="AA848">
        <v>0.96137549999999905</v>
      </c>
      <c r="AB848">
        <v>19</v>
      </c>
      <c r="AC848">
        <v>20.6541</v>
      </c>
      <c r="AD848">
        <v>-1.1044938034389999</v>
      </c>
      <c r="AE848">
        <v>4.3920999999999903</v>
      </c>
      <c r="AF848">
        <v>-5.8462738209216401</v>
      </c>
      <c r="AG848">
        <v>-1.1044938034389999</v>
      </c>
      <c r="AH848">
        <v>20.230512471807799</v>
      </c>
      <c r="AI848">
        <v>93.002372494500506</v>
      </c>
      <c r="AJ848">
        <v>106.118393974916</v>
      </c>
      <c r="AK848">
        <v>21.087258214926798</v>
      </c>
    </row>
    <row r="849" spans="1:37" x14ac:dyDescent="0.2">
      <c r="A849" t="str">
        <f>"20200111150547339"</f>
        <v>20200111150547339</v>
      </c>
      <c r="B849" t="str">
        <f>"1578726347336275"</f>
        <v>1578726347336275</v>
      </c>
      <c r="C849" t="s">
        <v>37</v>
      </c>
      <c r="D849">
        <v>5.0864949999999904</v>
      </c>
      <c r="E849">
        <v>0.45067609999999902</v>
      </c>
      <c r="F849" t="s">
        <v>63</v>
      </c>
      <c r="G849">
        <v>-440.5772</v>
      </c>
      <c r="H849" s="1">
        <v>-1.3981330000000001E-6</v>
      </c>
      <c r="I849">
        <v>218.4716</v>
      </c>
      <c r="J849">
        <v>-460.25400000000002</v>
      </c>
      <c r="K849">
        <v>1.1044350000000001</v>
      </c>
      <c r="L849">
        <v>214.30240000000001</v>
      </c>
      <c r="M849">
        <v>0.99754209999999999</v>
      </c>
      <c r="N849">
        <v>0</v>
      </c>
      <c r="O849">
        <v>-6.9229230000000003E-2</v>
      </c>
      <c r="P849">
        <v>0.99184640000000002</v>
      </c>
      <c r="Q849">
        <v>0.1009963</v>
      </c>
      <c r="R849">
        <v>7.7722719999999995E-2</v>
      </c>
      <c r="S849">
        <v>2.9931640000000002</v>
      </c>
      <c r="T849">
        <v>-0.16649</v>
      </c>
      <c r="U849">
        <v>0.62693789999999905</v>
      </c>
      <c r="V849">
        <v>-0.1465582</v>
      </c>
      <c r="W849">
        <v>0.1111858</v>
      </c>
      <c r="X849">
        <v>0.98293359999999996</v>
      </c>
      <c r="Y849">
        <v>-0.27177199999999901</v>
      </c>
      <c r="Z849">
        <v>1.1283079999999999E-2</v>
      </c>
      <c r="AA849">
        <v>0.96229549999999997</v>
      </c>
      <c r="AB849">
        <v>19</v>
      </c>
      <c r="AC849">
        <v>19.6768</v>
      </c>
      <c r="AD849">
        <v>-1.1044363981330001</v>
      </c>
      <c r="AE849">
        <v>4.1691999999999796</v>
      </c>
      <c r="AF849">
        <v>-5.5048877354545702</v>
      </c>
      <c r="AG849">
        <v>-1.1044363981330001</v>
      </c>
      <c r="AH849">
        <v>19.282798744582198</v>
      </c>
      <c r="AI849">
        <v>93.152401351824594</v>
      </c>
      <c r="AJ849">
        <v>105.93307902471101</v>
      </c>
      <c r="AK849">
        <v>20.0835727937421</v>
      </c>
    </row>
    <row r="850" spans="1:37" x14ac:dyDescent="0.2">
      <c r="A850" t="str">
        <f>"20200111150547362"</f>
        <v>20200111150547362</v>
      </c>
      <c r="B850" t="str">
        <f>"1578726347356771"</f>
        <v>1578726347356771</v>
      </c>
      <c r="C850" t="s">
        <v>37</v>
      </c>
      <c r="D850">
        <v>5.0995749999999997</v>
      </c>
      <c r="E850">
        <v>0.45116250000000002</v>
      </c>
      <c r="F850" t="s">
        <v>66</v>
      </c>
      <c r="G850">
        <v>-439.49779999999998</v>
      </c>
      <c r="H850" s="1">
        <v>6.0759339999999901E-6</v>
      </c>
      <c r="I850">
        <v>218.6533</v>
      </c>
      <c r="J850">
        <v>-460.05529999999999</v>
      </c>
      <c r="K850">
        <v>1.104365</v>
      </c>
      <c r="L850">
        <v>214.29179999999999</v>
      </c>
      <c r="M850">
        <v>0.99773480000000003</v>
      </c>
      <c r="N850">
        <v>0</v>
      </c>
      <c r="O850">
        <v>-6.6474179999999994E-2</v>
      </c>
      <c r="P850">
        <v>0.99169149999999995</v>
      </c>
      <c r="Q850">
        <v>0.100824699999999</v>
      </c>
      <c r="R850">
        <v>7.9890119999999995E-2</v>
      </c>
      <c r="S850">
        <v>2.99175999999999</v>
      </c>
      <c r="T850">
        <v>-0.15919040000000001</v>
      </c>
      <c r="U850">
        <v>0.62713619999999903</v>
      </c>
      <c r="V850">
        <v>-0.1459935</v>
      </c>
      <c r="W850">
        <v>0.11049769999999901</v>
      </c>
      <c r="X850">
        <v>0.98309519999999995</v>
      </c>
      <c r="Y850">
        <v>-0.26931529999999998</v>
      </c>
      <c r="Z850">
        <v>1.0584140000000001E-2</v>
      </c>
      <c r="AA850">
        <v>0.96299389999999996</v>
      </c>
      <c r="AB850">
        <v>19</v>
      </c>
      <c r="AC850">
        <v>20.557500000000001</v>
      </c>
      <c r="AD850">
        <v>-1.1043589240659999</v>
      </c>
      <c r="AE850">
        <v>4.3615000000000004</v>
      </c>
      <c r="AF850">
        <v>-5.7027191191949296</v>
      </c>
      <c r="AG850">
        <v>-1.1043589240659999</v>
      </c>
      <c r="AH850">
        <v>20.166391173561099</v>
      </c>
      <c r="AI850">
        <v>93.016463385153102</v>
      </c>
      <c r="AJ850">
        <v>105.790018316656</v>
      </c>
      <c r="AK850">
        <v>20.986279969319899</v>
      </c>
    </row>
    <row r="851" spans="1:37" x14ac:dyDescent="0.2">
      <c r="A851" t="str">
        <f>"20200111150547385"</f>
        <v>20200111150547385</v>
      </c>
      <c r="B851" t="str">
        <f>"1578726347376291"</f>
        <v>1578726347376291</v>
      </c>
      <c r="C851" t="s">
        <v>37</v>
      </c>
      <c r="D851">
        <v>5.0117449999999897</v>
      </c>
      <c r="E851">
        <v>0.4518817</v>
      </c>
      <c r="F851" t="s">
        <v>63</v>
      </c>
      <c r="G851">
        <v>-440.56009999999998</v>
      </c>
      <c r="H851" s="1">
        <v>-1.4041949999999999E-6</v>
      </c>
      <c r="I851">
        <v>218.40119999999999</v>
      </c>
      <c r="J851">
        <v>-459.85939999999999</v>
      </c>
      <c r="K851">
        <v>1.1042879999999999</v>
      </c>
      <c r="L851">
        <v>214.28190000000001</v>
      </c>
      <c r="M851">
        <v>0.99791770000000002</v>
      </c>
      <c r="N851">
        <v>0</v>
      </c>
      <c r="O851">
        <v>-6.3761319999999996E-2</v>
      </c>
      <c r="P851">
        <v>0.99162609999999995</v>
      </c>
      <c r="Q851">
        <v>0.10096469999999901</v>
      </c>
      <c r="R851">
        <v>8.0521960000000004E-2</v>
      </c>
      <c r="S851">
        <v>2.9915470000000002</v>
      </c>
      <c r="T851">
        <v>-0.16946520000000001</v>
      </c>
      <c r="U851">
        <v>0.6305847</v>
      </c>
      <c r="V851">
        <v>-0.14394479999999901</v>
      </c>
      <c r="W851">
        <v>0.110080199999999</v>
      </c>
      <c r="X851">
        <v>0.98344409999999904</v>
      </c>
      <c r="Y851">
        <v>-0.2677195</v>
      </c>
      <c r="Z851">
        <v>1.106889E-2</v>
      </c>
      <c r="AA851">
        <v>0.96343330000000005</v>
      </c>
      <c r="AB851">
        <v>19</v>
      </c>
      <c r="AC851">
        <v>19.299299999999999</v>
      </c>
      <c r="AD851">
        <v>-1.104289404195</v>
      </c>
      <c r="AE851">
        <v>4.1192999999999804</v>
      </c>
      <c r="AF851">
        <v>-5.3248502223302303</v>
      </c>
      <c r="AG851">
        <v>-1.104289404195</v>
      </c>
      <c r="AH851">
        <v>18.938059060301399</v>
      </c>
      <c r="AI851">
        <v>93.212863051571901</v>
      </c>
      <c r="AJ851">
        <v>105.704491449221</v>
      </c>
      <c r="AK851">
        <v>19.703389707102001</v>
      </c>
    </row>
    <row r="852" spans="1:37" x14ac:dyDescent="0.2">
      <c r="A852" t="str">
        <f>"20200111150547408"</f>
        <v>20200111150547408</v>
      </c>
      <c r="B852" t="str">
        <f>"1578726347396787"</f>
        <v>1578726347396787</v>
      </c>
      <c r="C852" t="s">
        <v>37</v>
      </c>
      <c r="D852">
        <v>5.0834669999999997</v>
      </c>
      <c r="E852">
        <v>0.4523568</v>
      </c>
      <c r="F852" t="s">
        <v>63</v>
      </c>
      <c r="G852">
        <v>-441.3091</v>
      </c>
      <c r="H852" s="1">
        <v>-9.9556450000000002E-7</v>
      </c>
      <c r="I852">
        <v>218.1713</v>
      </c>
      <c r="J852">
        <v>-459.65769999999998</v>
      </c>
      <c r="K852">
        <v>1.104212</v>
      </c>
      <c r="L852">
        <v>214.2722</v>
      </c>
      <c r="M852">
        <v>0.99809740000000002</v>
      </c>
      <c r="N852">
        <v>0</v>
      </c>
      <c r="O852">
        <v>-6.0976059999999999E-2</v>
      </c>
      <c r="P852">
        <v>0.99155910000000003</v>
      </c>
      <c r="Q852">
        <v>0.1002378</v>
      </c>
      <c r="R852">
        <v>8.2237710000000006E-2</v>
      </c>
      <c r="S852">
        <v>2.9925229999999998</v>
      </c>
      <c r="T852">
        <v>-0.17814250000000001</v>
      </c>
      <c r="U852">
        <v>0.62744140000000004</v>
      </c>
      <c r="V852">
        <v>-0.14290510000000001</v>
      </c>
      <c r="W852">
        <v>0.10877100000000001</v>
      </c>
      <c r="X852">
        <v>0.98374130000000004</v>
      </c>
      <c r="Y852">
        <v>-0.26395390000000002</v>
      </c>
      <c r="Z852">
        <v>1.1357239999999999E-2</v>
      </c>
      <c r="AA852">
        <v>0.9644684</v>
      </c>
      <c r="AB852">
        <v>19</v>
      </c>
      <c r="AC852">
        <v>18.348599999999902</v>
      </c>
      <c r="AD852">
        <v>-1.1042129955644999</v>
      </c>
      <c r="AE852">
        <v>3.8990999999999998</v>
      </c>
      <c r="AF852">
        <v>-4.9934133278349702</v>
      </c>
      <c r="AG852">
        <v>-1.1042129955644999</v>
      </c>
      <c r="AH852">
        <v>18.0142712881959</v>
      </c>
      <c r="AI852">
        <v>93.380490873119001</v>
      </c>
      <c r="AJ852">
        <v>105.49295215117201</v>
      </c>
      <c r="AK852">
        <v>18.726116336466902</v>
      </c>
    </row>
    <row r="853" spans="1:37" x14ac:dyDescent="0.2">
      <c r="A853" t="str">
        <f>"20200111150547450"</f>
        <v>20200111150547450</v>
      </c>
      <c r="B853" t="str">
        <f>"1578726347446563"</f>
        <v>1578726347446563</v>
      </c>
      <c r="C853" t="s">
        <v>37</v>
      </c>
      <c r="D853">
        <v>5.010675</v>
      </c>
      <c r="E853">
        <v>0.45340999999999998</v>
      </c>
      <c r="F853" t="s">
        <v>63</v>
      </c>
      <c r="G853">
        <v>-441.80889999999999</v>
      </c>
      <c r="H853" s="1">
        <v>-7.2294049999999995E-7</v>
      </c>
      <c r="I853">
        <v>218.01920000000001</v>
      </c>
      <c r="J853">
        <v>-459.28809999999999</v>
      </c>
      <c r="K853">
        <v>1.1041099999999999</v>
      </c>
      <c r="L853">
        <v>214.25579999999999</v>
      </c>
      <c r="M853">
        <v>0.9984016</v>
      </c>
      <c r="N853">
        <v>0</v>
      </c>
      <c r="O853">
        <v>-5.5923800000000003E-2</v>
      </c>
      <c r="P853">
        <v>0.99159629999999999</v>
      </c>
      <c r="Q853">
        <v>9.7114790000000006E-2</v>
      </c>
      <c r="R853">
        <v>8.5471270000000002E-2</v>
      </c>
      <c r="S853">
        <v>2.9921880000000001</v>
      </c>
      <c r="T853">
        <v>-0.185111</v>
      </c>
      <c r="U853">
        <v>0.62815859999999901</v>
      </c>
      <c r="V853">
        <v>-0.14114260000000001</v>
      </c>
      <c r="W853">
        <v>0.1046984</v>
      </c>
      <c r="X853">
        <v>0.98443740000000002</v>
      </c>
      <c r="Y853">
        <v>-0.25928659999999998</v>
      </c>
      <c r="Z853">
        <v>1.134954E-2</v>
      </c>
      <c r="AA853">
        <v>0.96573379999999998</v>
      </c>
      <c r="AB853">
        <v>19</v>
      </c>
      <c r="AC853">
        <v>17.479199999999899</v>
      </c>
      <c r="AD853">
        <v>-1.1041107229404901</v>
      </c>
      <c r="AE853">
        <v>3.7634000000000101</v>
      </c>
      <c r="AF853">
        <v>-4.7170583493960399</v>
      </c>
      <c r="AG853">
        <v>-1.1041107229404901</v>
      </c>
      <c r="AH853">
        <v>17.1758763138616</v>
      </c>
      <c r="AI853">
        <v>93.547082889944093</v>
      </c>
      <c r="AJ853">
        <v>105.356687580654</v>
      </c>
      <c r="AK853">
        <v>17.846019923478501</v>
      </c>
    </row>
    <row r="854" spans="1:37" x14ac:dyDescent="0.2">
      <c r="A854" t="str">
        <f>"20200111150547475"</f>
        <v>20200111150547475</v>
      </c>
      <c r="B854" t="str">
        <f>"1578726347466083"</f>
        <v>1578726347466083</v>
      </c>
      <c r="C854" t="s">
        <v>37</v>
      </c>
      <c r="D854">
        <v>7.8070199999999996</v>
      </c>
      <c r="E854">
        <v>0.47652600000000001</v>
      </c>
      <c r="F854" t="s">
        <v>63</v>
      </c>
      <c r="G854">
        <v>-443.12939999999998</v>
      </c>
      <c r="H854" s="1">
        <v>-4.3676920000000001E-9</v>
      </c>
      <c r="I854">
        <v>217.65629999999999</v>
      </c>
      <c r="J854">
        <v>-459.06479999999999</v>
      </c>
      <c r="K854">
        <v>1.1040729999999901</v>
      </c>
      <c r="L854">
        <v>214.24680000000001</v>
      </c>
      <c r="M854">
        <v>0.99857030000000002</v>
      </c>
      <c r="N854">
        <v>0</v>
      </c>
      <c r="O854">
        <v>-5.2900280000000001E-2</v>
      </c>
      <c r="P854">
        <v>0.99146869999999998</v>
      </c>
      <c r="Q854">
        <v>9.6716389999999999E-2</v>
      </c>
      <c r="R854">
        <v>8.7382199999999993E-2</v>
      </c>
      <c r="S854">
        <v>2.9912109999999998</v>
      </c>
      <c r="T854">
        <v>-0.20438609999999999</v>
      </c>
      <c r="U854">
        <v>0.62948609999999905</v>
      </c>
      <c r="V854">
        <v>-0.14006109999999999</v>
      </c>
      <c r="W854">
        <v>0.10380399999999999</v>
      </c>
      <c r="X854">
        <v>0.98468659999999997</v>
      </c>
      <c r="Y854">
        <v>-0.25672089999999997</v>
      </c>
      <c r="Z854">
        <v>1.2241129999999999E-2</v>
      </c>
      <c r="AA854">
        <v>0.96640809999999999</v>
      </c>
      <c r="AB854">
        <v>20</v>
      </c>
      <c r="AC854">
        <v>15.9354</v>
      </c>
      <c r="AD854">
        <v>-1.1040730043676901</v>
      </c>
      <c r="AE854">
        <v>3.4094999999999702</v>
      </c>
      <c r="AF854">
        <v>-4.2283288798143497</v>
      </c>
      <c r="AG854">
        <v>-1.1040730043676901</v>
      </c>
      <c r="AH854">
        <v>15.660831004165701</v>
      </c>
      <c r="AI854">
        <v>93.893654344507993</v>
      </c>
      <c r="AJ854">
        <v>105.109249500817</v>
      </c>
      <c r="AK854">
        <v>16.259131897364099</v>
      </c>
    </row>
    <row r="855" spans="1:37" x14ac:dyDescent="0.2">
      <c r="A855" t="str">
        <f>"20200111150547494"</f>
        <v>20200111150547494</v>
      </c>
      <c r="B855" t="str">
        <f>"1578726347486579"</f>
        <v>1578726347486579</v>
      </c>
      <c r="C855" t="s">
        <v>37</v>
      </c>
      <c r="D855">
        <v>5.27311</v>
      </c>
      <c r="E855">
        <v>0.47652600000000001</v>
      </c>
      <c r="F855" t="s">
        <v>71</v>
      </c>
      <c r="G855">
        <v>-251.17590000000001</v>
      </c>
      <c r="H855">
        <v>78.236400000000003</v>
      </c>
      <c r="I855">
        <v>246.32</v>
      </c>
      <c r="J855">
        <v>-458.89699999999999</v>
      </c>
      <c r="K855">
        <v>1.104039</v>
      </c>
      <c r="L855">
        <v>214.24039999999999</v>
      </c>
      <c r="M855">
        <v>0.99869019999999997</v>
      </c>
      <c r="N855">
        <v>0</v>
      </c>
      <c r="O855">
        <v>-5.0641289999999999E-2</v>
      </c>
      <c r="P855">
        <v>0.99142770000000002</v>
      </c>
      <c r="Q855">
        <v>9.5979439999999999E-2</v>
      </c>
      <c r="R855">
        <v>8.8651530000000006E-2</v>
      </c>
      <c r="S855">
        <v>2.8823240000000001</v>
      </c>
      <c r="T855">
        <v>1.0694189999999999</v>
      </c>
      <c r="U855">
        <v>0.4446869</v>
      </c>
      <c r="V855">
        <v>-0.1390951</v>
      </c>
      <c r="W855">
        <v>0.1027112</v>
      </c>
      <c r="X855">
        <v>0.98493799999999898</v>
      </c>
      <c r="Y855">
        <v>-0.1868398</v>
      </c>
      <c r="Z855">
        <v>-5.1462870000000001E-2</v>
      </c>
      <c r="AA855">
        <v>0.98104150000000001</v>
      </c>
      <c r="AB855">
        <v>20</v>
      </c>
      <c r="AC855">
        <v>207.72110000000001</v>
      </c>
      <c r="AD855">
        <v>77.132361000000003</v>
      </c>
      <c r="AE855">
        <v>32.079599999999999</v>
      </c>
      <c r="AF855">
        <v>-37.506876729307997</v>
      </c>
      <c r="AG855">
        <v>77.132361000000003</v>
      </c>
      <c r="AH855">
        <v>181.400498670075</v>
      </c>
      <c r="AI855">
        <v>67.393288420870604</v>
      </c>
      <c r="AJ855">
        <v>101.682020662497</v>
      </c>
      <c r="AK855">
        <v>200.654698009226</v>
      </c>
    </row>
    <row r="856" spans="1:37" x14ac:dyDescent="0.2">
      <c r="A856" t="str">
        <f>"20200111150547518"</f>
        <v>20200111150547518</v>
      </c>
      <c r="B856" t="str">
        <f>"1578726347506099"</f>
        <v>1578726347506099</v>
      </c>
      <c r="C856" t="s">
        <v>37</v>
      </c>
      <c r="D856">
        <v>5.227252</v>
      </c>
      <c r="E856">
        <v>0.58614140000000003</v>
      </c>
      <c r="F856" t="s">
        <v>71</v>
      </c>
      <c r="G856">
        <v>-251.17580000000001</v>
      </c>
      <c r="H856">
        <v>78.017229999999998</v>
      </c>
      <c r="I856">
        <v>246.60560000000001</v>
      </c>
      <c r="J856">
        <v>-458.68439999999998</v>
      </c>
      <c r="K856">
        <v>1.1040000000000001</v>
      </c>
      <c r="L856">
        <v>214.2329</v>
      </c>
      <c r="M856">
        <v>0.99883339999999998</v>
      </c>
      <c r="N856">
        <v>0</v>
      </c>
      <c r="O856">
        <v>-4.7802160000000003E-2</v>
      </c>
      <c r="P856">
        <v>0.99145419999999995</v>
      </c>
      <c r="Q856">
        <v>9.452787E-2</v>
      </c>
      <c r="R856">
        <v>8.9907780000000007E-2</v>
      </c>
      <c r="S856">
        <v>2.8824160000000001</v>
      </c>
      <c r="T856">
        <v>1.0672759999999999</v>
      </c>
      <c r="U856">
        <v>0.44911190000000001</v>
      </c>
      <c r="V856">
        <v>-0.13754449999999999</v>
      </c>
      <c r="W856">
        <v>0.10082569999999901</v>
      </c>
      <c r="X856">
        <v>0.98535049999999902</v>
      </c>
      <c r="Y856">
        <v>-0.18583769999999999</v>
      </c>
      <c r="Z856">
        <v>-5.0167709999999997E-2</v>
      </c>
      <c r="AA856">
        <v>0.98129889999999997</v>
      </c>
      <c r="AB856">
        <v>20</v>
      </c>
      <c r="AC856">
        <v>207.5086</v>
      </c>
      <c r="AD856">
        <v>76.913229999999999</v>
      </c>
      <c r="AE856">
        <v>32.372700000000002</v>
      </c>
      <c r="AF856">
        <v>-37.258281197314098</v>
      </c>
      <c r="AG856">
        <v>76.913229999999999</v>
      </c>
      <c r="AH856">
        <v>181.39547657304701</v>
      </c>
      <c r="AI856">
        <v>67.445039696633998</v>
      </c>
      <c r="AJ856">
        <v>101.607012524072</v>
      </c>
      <c r="AK856">
        <v>200.519683293122</v>
      </c>
    </row>
    <row r="857" spans="1:37" x14ac:dyDescent="0.2">
      <c r="A857" t="str">
        <f>"20200111150547540"</f>
        <v>20200111150547540</v>
      </c>
      <c r="B857" t="str">
        <f>"1578726347536356"</f>
        <v>1578726347536356</v>
      </c>
      <c r="C857" t="s">
        <v>37</v>
      </c>
      <c r="D857">
        <v>5.1423350000000001</v>
      </c>
      <c r="E857">
        <v>0.58639189999999997</v>
      </c>
      <c r="F857" t="s">
        <v>38</v>
      </c>
      <c r="G857">
        <v>-457.90390000000002</v>
      </c>
      <c r="H857">
        <v>0.89908049999999995</v>
      </c>
      <c r="I857">
        <v>214.1309</v>
      </c>
      <c r="J857">
        <v>-458.4898</v>
      </c>
      <c r="K857">
        <v>1.1039540000000001</v>
      </c>
      <c r="L857">
        <v>214.22649999999999</v>
      </c>
      <c r="M857">
        <v>0.99895610000000001</v>
      </c>
      <c r="N857">
        <v>0</v>
      </c>
      <c r="O857">
        <v>-4.5222940000000003E-2</v>
      </c>
      <c r="P857">
        <v>0.99151019999999901</v>
      </c>
      <c r="Q857">
        <v>9.3030860000000007E-2</v>
      </c>
      <c r="R857">
        <v>9.0845869999999995E-2</v>
      </c>
      <c r="S857">
        <v>3.1416930000000001</v>
      </c>
      <c r="T857">
        <v>-0.82530519999999996</v>
      </c>
      <c r="U857">
        <v>-0.40917969999999998</v>
      </c>
      <c r="V857">
        <v>-0.13593279999999999</v>
      </c>
      <c r="W857">
        <v>9.8932119999999998E-2</v>
      </c>
      <c r="X857">
        <v>0.98576609999999998</v>
      </c>
      <c r="Y857">
        <v>8.2916950000000003E-2</v>
      </c>
      <c r="Z857">
        <v>9.5735489999999998E-4</v>
      </c>
      <c r="AA857">
        <v>0.996556</v>
      </c>
      <c r="AB857">
        <v>20</v>
      </c>
      <c r="AC857">
        <v>0.58589999999997999</v>
      </c>
      <c r="AD857">
        <v>-0.20487349999999999</v>
      </c>
      <c r="AE857">
        <v>-9.5599999999990304E-2</v>
      </c>
      <c r="AF857">
        <v>6.1661596007792002E-2</v>
      </c>
      <c r="AG857">
        <v>-0.20487349999999999</v>
      </c>
      <c r="AH857">
        <v>0.52687314401788099</v>
      </c>
      <c r="AI857">
        <v>111.11715623278999</v>
      </c>
      <c r="AJ857">
        <v>83.324862818153306</v>
      </c>
      <c r="AK857">
        <v>0.56865685022847101</v>
      </c>
    </row>
    <row r="858" spans="1:37" x14ac:dyDescent="0.2">
      <c r="A858" t="str">
        <f>"20200111150547562"</f>
        <v>20200111150547562</v>
      </c>
      <c r="B858" t="str">
        <f>"1578726347556851"</f>
        <v>1578726347556851</v>
      </c>
      <c r="C858" t="s">
        <v>37</v>
      </c>
      <c r="D858">
        <v>5.0895060000000001</v>
      </c>
      <c r="E858">
        <v>0.58629370000000003</v>
      </c>
      <c r="F858" t="s">
        <v>38</v>
      </c>
      <c r="G858">
        <v>-457.7174</v>
      </c>
      <c r="H858">
        <v>0.90860959999999902</v>
      </c>
      <c r="I858">
        <v>214.12599999999901</v>
      </c>
      <c r="J858">
        <v>-458.279</v>
      </c>
      <c r="K858">
        <v>1.1038870000000001</v>
      </c>
      <c r="L858">
        <v>214.2201</v>
      </c>
      <c r="M858">
        <v>0.99908030000000003</v>
      </c>
      <c r="N858">
        <v>0</v>
      </c>
      <c r="O858">
        <v>-4.24579E-2</v>
      </c>
      <c r="P858">
        <v>0.99152949999999995</v>
      </c>
      <c r="Q858">
        <v>9.1618809999999995E-2</v>
      </c>
      <c r="R858">
        <v>9.2060760000000005E-2</v>
      </c>
      <c r="S858">
        <v>3.1375120000000001</v>
      </c>
      <c r="T858">
        <v>-0.79364809999999997</v>
      </c>
      <c r="U858">
        <v>-0.40730290000000002</v>
      </c>
      <c r="V858">
        <v>-0.13441040000000001</v>
      </c>
      <c r="W858">
        <v>9.7072389999999995E-2</v>
      </c>
      <c r="X858">
        <v>0.98615959999999903</v>
      </c>
      <c r="Y858">
        <v>8.5192680000000007E-2</v>
      </c>
      <c r="Z858" s="1">
        <v>-4.3665059999999899E-5</v>
      </c>
      <c r="AA858">
        <v>0.99636449999999999</v>
      </c>
      <c r="AB858">
        <v>20</v>
      </c>
      <c r="AC858">
        <v>0.56159999999999799</v>
      </c>
      <c r="AD858">
        <v>-0.19527739999999999</v>
      </c>
      <c r="AE858">
        <v>-9.4100000000025802E-2</v>
      </c>
      <c r="AF858">
        <v>6.2786382303347904E-2</v>
      </c>
      <c r="AG858">
        <v>-0.19527739999999999</v>
      </c>
      <c r="AH858">
        <v>0.50562502334577797</v>
      </c>
      <c r="AI858">
        <v>110.970145332692</v>
      </c>
      <c r="AJ858">
        <v>82.921486085863805</v>
      </c>
      <c r="AK858">
        <v>0.545648290556216</v>
      </c>
    </row>
    <row r="859" spans="1:37" x14ac:dyDescent="0.2">
      <c r="A859" t="str">
        <f>"20200111150547585"</f>
        <v>20200111150547585</v>
      </c>
      <c r="B859" t="str">
        <f>"1578726347576371"</f>
        <v>1578726347576371</v>
      </c>
      <c r="C859" t="s">
        <v>37</v>
      </c>
      <c r="D859">
        <v>5.1598350000000002</v>
      </c>
      <c r="E859">
        <v>0.58774329999999997</v>
      </c>
      <c r="F859" t="s">
        <v>38</v>
      </c>
      <c r="G859">
        <v>-457.53320000000002</v>
      </c>
      <c r="H859">
        <v>0.90879049999999995</v>
      </c>
      <c r="I859">
        <v>214.12440000000001</v>
      </c>
      <c r="J859">
        <v>-458.07279999999997</v>
      </c>
      <c r="K859">
        <v>1.1038159999999999</v>
      </c>
      <c r="L859">
        <v>214.21420000000001</v>
      </c>
      <c r="M859">
        <v>0.99919309999999995</v>
      </c>
      <c r="N859">
        <v>0</v>
      </c>
      <c r="O859">
        <v>-3.9784750000000001E-2</v>
      </c>
      <c r="P859">
        <v>0.99148510000000001</v>
      </c>
      <c r="Q859">
        <v>9.092008E-2</v>
      </c>
      <c r="R859">
        <v>9.322648E-2</v>
      </c>
      <c r="S859">
        <v>3.1388240000000001</v>
      </c>
      <c r="T859">
        <v>-0.82108119999999996</v>
      </c>
      <c r="U859">
        <v>-0.40234379999999997</v>
      </c>
      <c r="V859">
        <v>-0.13292899999999999</v>
      </c>
      <c r="W859">
        <v>9.5912910000000004E-2</v>
      </c>
      <c r="X859">
        <v>0.98647379999999996</v>
      </c>
      <c r="Y859">
        <v>8.6049039999999993E-2</v>
      </c>
      <c r="Z859">
        <v>-8.3848739999999998E-4</v>
      </c>
      <c r="AA859">
        <v>0.99629059999999903</v>
      </c>
      <c r="AB859">
        <v>21</v>
      </c>
      <c r="AC859">
        <v>0.53959999999995001</v>
      </c>
      <c r="AD859">
        <v>-0.19502549999999899</v>
      </c>
      <c r="AE859">
        <v>-8.9799999999996702E-2</v>
      </c>
      <c r="AF859">
        <v>6.0562693229764597E-2</v>
      </c>
      <c r="AG859">
        <v>-0.19502549999999899</v>
      </c>
      <c r="AH859">
        <v>0.48153794679057499</v>
      </c>
      <c r="AI859">
        <v>111.892224866646</v>
      </c>
      <c r="AJ859">
        <v>82.831587921851806</v>
      </c>
      <c r="AK859">
        <v>0.52305026494666396</v>
      </c>
    </row>
    <row r="860" spans="1:37" x14ac:dyDescent="0.2">
      <c r="A860" t="str">
        <f>"20200111150547606"</f>
        <v>20200111150547606</v>
      </c>
      <c r="B860" t="str">
        <f>"1578726347596867"</f>
        <v>1578726347596867</v>
      </c>
      <c r="C860" t="s">
        <v>37</v>
      </c>
      <c r="D860">
        <v>5.170032</v>
      </c>
      <c r="E860">
        <v>0.587538</v>
      </c>
      <c r="F860" t="s">
        <v>38</v>
      </c>
      <c r="G860">
        <v>-457.34629999999999</v>
      </c>
      <c r="H860">
        <v>0.91188670000000005</v>
      </c>
      <c r="I860">
        <v>214.1191</v>
      </c>
      <c r="J860">
        <v>-457.87079999999997</v>
      </c>
      <c r="K860">
        <v>1.103756</v>
      </c>
      <c r="L860">
        <v>214.209</v>
      </c>
      <c r="M860">
        <v>0.99929509999999899</v>
      </c>
      <c r="N860">
        <v>0</v>
      </c>
      <c r="O860">
        <v>-3.7203729999999997E-2</v>
      </c>
      <c r="P860">
        <v>0.99136159999999995</v>
      </c>
      <c r="Q860">
        <v>9.1318389999999999E-2</v>
      </c>
      <c r="R860">
        <v>9.4146099999999996E-2</v>
      </c>
      <c r="S860">
        <v>3.1404719999999999</v>
      </c>
      <c r="T860">
        <v>-0.8298759</v>
      </c>
      <c r="U860">
        <v>-0.41061399999999998</v>
      </c>
      <c r="V860">
        <v>-0.13129270000000001</v>
      </c>
      <c r="W860">
        <v>9.5850270000000001E-2</v>
      </c>
      <c r="X860">
        <v>0.98669899999999999</v>
      </c>
      <c r="Y860">
        <v>9.0856290000000006E-2</v>
      </c>
      <c r="Z860">
        <v>-2.1353329999999901E-3</v>
      </c>
      <c r="AA860">
        <v>0.99586169999999996</v>
      </c>
      <c r="AB860">
        <v>21</v>
      </c>
      <c r="AC860">
        <v>0.52449999999998898</v>
      </c>
      <c r="AD860">
        <v>-0.19186929999999899</v>
      </c>
      <c r="AE860">
        <v>-8.9899999999999994E-2</v>
      </c>
      <c r="AF860">
        <v>6.22337425961563E-2</v>
      </c>
      <c r="AG860">
        <v>-0.19186929999999899</v>
      </c>
      <c r="AH860">
        <v>0.46679762487147902</v>
      </c>
      <c r="AI860">
        <v>112.16736802179101</v>
      </c>
      <c r="AJ860">
        <v>82.406073073084499</v>
      </c>
      <c r="AK860">
        <v>0.50851439466908799</v>
      </c>
    </row>
    <row r="861" spans="1:37" x14ac:dyDescent="0.2">
      <c r="A861" t="str">
        <f>"20200111150547629"</f>
        <v>20200111150547629</v>
      </c>
      <c r="B861" t="str">
        <f>"1578726347626146"</f>
        <v>1578726347626146</v>
      </c>
      <c r="C861" t="s">
        <v>37</v>
      </c>
      <c r="D861">
        <v>5.2278570000000002</v>
      </c>
      <c r="E861">
        <v>0.58723930000000002</v>
      </c>
      <c r="F861" t="s">
        <v>38</v>
      </c>
      <c r="G861">
        <v>-457.15769999999998</v>
      </c>
      <c r="H861">
        <v>0.91427179999999997</v>
      </c>
      <c r="I861">
        <v>214.11680000000001</v>
      </c>
      <c r="J861">
        <v>-457.6583</v>
      </c>
      <c r="K861">
        <v>1.103685</v>
      </c>
      <c r="L861">
        <v>214.20410000000001</v>
      </c>
      <c r="M861">
        <v>0.99939330000000004</v>
      </c>
      <c r="N861">
        <v>0</v>
      </c>
      <c r="O861">
        <v>-3.4532439999999998E-2</v>
      </c>
      <c r="P861">
        <v>0.99126599999999998</v>
      </c>
      <c r="Q861">
        <v>9.1663339999999996E-2</v>
      </c>
      <c r="R861">
        <v>9.4816159999999997E-2</v>
      </c>
      <c r="S861">
        <v>3.1415709999999999</v>
      </c>
      <c r="T861">
        <v>-0.83514889999999997</v>
      </c>
      <c r="U861">
        <v>-0.40519709999999998</v>
      </c>
      <c r="V861">
        <v>-0.1293193</v>
      </c>
      <c r="W861">
        <v>9.571926E-2</v>
      </c>
      <c r="X861">
        <v>0.98697230000000002</v>
      </c>
      <c r="Y861">
        <v>9.1644340000000005E-2</v>
      </c>
      <c r="Z861">
        <v>-2.944613E-3</v>
      </c>
      <c r="AA861">
        <v>0.99578739999999999</v>
      </c>
      <c r="AB861">
        <v>21</v>
      </c>
      <c r="AC861">
        <v>0.50060000000001903</v>
      </c>
      <c r="AD861">
        <v>-0.189413199999999</v>
      </c>
      <c r="AE861">
        <v>-8.7299999999999003E-2</v>
      </c>
      <c r="AF861">
        <v>6.1426241663845402E-2</v>
      </c>
      <c r="AG861">
        <v>-0.189413199999999</v>
      </c>
      <c r="AH861">
        <v>0.44191622203061498</v>
      </c>
      <c r="AI861">
        <v>113.002984680518</v>
      </c>
      <c r="AJ861">
        <v>82.086606072882802</v>
      </c>
      <c r="AK861">
        <v>0.484706602794925</v>
      </c>
    </row>
    <row r="862" spans="1:37" x14ac:dyDescent="0.2">
      <c r="A862" t="str">
        <f>"20200111150547651"</f>
        <v>20200111150547651</v>
      </c>
      <c r="B862" t="str">
        <f>"1578726347646643"</f>
        <v>1578726347646643</v>
      </c>
      <c r="C862" t="s">
        <v>37</v>
      </c>
      <c r="D862">
        <v>5.2177230000000003</v>
      </c>
      <c r="E862">
        <v>0.58723369999999997</v>
      </c>
      <c r="F862" t="s">
        <v>38</v>
      </c>
      <c r="G862">
        <v>-456.96600000000001</v>
      </c>
      <c r="H862">
        <v>0.92023129999999997</v>
      </c>
      <c r="I862">
        <v>214.11599999999899</v>
      </c>
      <c r="J862">
        <v>-457.44400000000002</v>
      </c>
      <c r="K862">
        <v>1.1036239999999999</v>
      </c>
      <c r="L862">
        <v>214.1995</v>
      </c>
      <c r="M862">
        <v>0.99948320000000002</v>
      </c>
      <c r="N862">
        <v>0</v>
      </c>
      <c r="O862">
        <v>-3.1888560000000003E-2</v>
      </c>
      <c r="P862">
        <v>0.99118600000000001</v>
      </c>
      <c r="Q862">
        <v>9.141444E-2</v>
      </c>
      <c r="R862">
        <v>9.5885650000000003E-2</v>
      </c>
      <c r="S862">
        <v>3.1416019999999998</v>
      </c>
      <c r="T862">
        <v>-0.83314959999999905</v>
      </c>
      <c r="U862">
        <v>-0.39817809999999998</v>
      </c>
      <c r="V862">
        <v>-0.12777140000000001</v>
      </c>
      <c r="W862">
        <v>9.5023410000000003E-2</v>
      </c>
      <c r="X862">
        <v>0.98724109999999998</v>
      </c>
      <c r="Y862">
        <v>9.1994510000000002E-2</v>
      </c>
      <c r="Z862">
        <v>-3.6692059999999999E-3</v>
      </c>
      <c r="AA862">
        <v>0.99575279999999999</v>
      </c>
      <c r="AB862">
        <v>21</v>
      </c>
      <c r="AC862">
        <v>0.47800000000000797</v>
      </c>
      <c r="AD862">
        <v>-0.18339269999999999</v>
      </c>
      <c r="AE862">
        <v>-8.3500000000015007E-2</v>
      </c>
      <c r="AF862">
        <v>5.9688668292507102E-2</v>
      </c>
      <c r="AG862">
        <v>-0.18339269999999999</v>
      </c>
      <c r="AH862">
        <v>0.420372983126862</v>
      </c>
      <c r="AI862">
        <v>113.36094041008501</v>
      </c>
      <c r="AJ862">
        <v>81.918605734894399</v>
      </c>
      <c r="AK862">
        <v>0.46250304266977499</v>
      </c>
    </row>
    <row r="863" spans="1:37" x14ac:dyDescent="0.2">
      <c r="A863" t="str">
        <f>"20200111150547673"</f>
        <v>20200111150547673</v>
      </c>
      <c r="B863" t="str">
        <f>"1578726347666163"</f>
        <v>1578726347666163</v>
      </c>
      <c r="C863" t="s">
        <v>37</v>
      </c>
      <c r="D863">
        <v>5.1570660000000004</v>
      </c>
      <c r="E863">
        <v>0.58644830000000003</v>
      </c>
      <c r="F863" t="s">
        <v>38</v>
      </c>
      <c r="G863">
        <v>-456.77269999999999</v>
      </c>
      <c r="H863">
        <v>0.92531169999999996</v>
      </c>
      <c r="I863">
        <v>214.11490000000001</v>
      </c>
      <c r="J863">
        <v>-457.22980000000001</v>
      </c>
      <c r="K863">
        <v>1.103596</v>
      </c>
      <c r="L863">
        <v>214.19550000000001</v>
      </c>
      <c r="M863">
        <v>0.99956389999999995</v>
      </c>
      <c r="N863">
        <v>0</v>
      </c>
      <c r="O863">
        <v>-2.929783E-2</v>
      </c>
      <c r="P863">
        <v>0.99111769999999999</v>
      </c>
      <c r="Q863">
        <v>9.0705030000000006E-2</v>
      </c>
      <c r="R863">
        <v>9.7253989999999998E-2</v>
      </c>
      <c r="S863">
        <v>3.1419069999999998</v>
      </c>
      <c r="T863">
        <v>-0.83461830000000004</v>
      </c>
      <c r="U863">
        <v>-0.39547729999999998</v>
      </c>
      <c r="V863">
        <v>-0.1265752</v>
      </c>
      <c r="W863">
        <v>9.3923519999999996E-2</v>
      </c>
      <c r="X863">
        <v>0.98750039999999994</v>
      </c>
      <c r="Y863">
        <v>9.3570990000000007E-2</v>
      </c>
      <c r="Z863">
        <v>-4.5534159999999898E-3</v>
      </c>
      <c r="AA863">
        <v>0.99560219999999899</v>
      </c>
      <c r="AB863">
        <v>21</v>
      </c>
      <c r="AC863">
        <v>0.45710000000002499</v>
      </c>
      <c r="AD863">
        <v>-0.17828429999999901</v>
      </c>
      <c r="AE863">
        <v>-8.0600000000004002E-2</v>
      </c>
      <c r="AF863">
        <v>5.8536816472453602E-2</v>
      </c>
      <c r="AG863">
        <v>-0.17828429999999901</v>
      </c>
      <c r="AH863">
        <v>0.40021756185917701</v>
      </c>
      <c r="AI863">
        <v>113.786862355908</v>
      </c>
      <c r="AJ863">
        <v>81.678779785004593</v>
      </c>
      <c r="AK863">
        <v>0.44202482659882802</v>
      </c>
    </row>
    <row r="864" spans="1:37" x14ac:dyDescent="0.2">
      <c r="A864" t="str">
        <f>"20200111150547695"</f>
        <v>20200111150547695</v>
      </c>
      <c r="B864" t="str">
        <f>"1578726347686659"</f>
        <v>1578726347686659</v>
      </c>
      <c r="C864" t="s">
        <v>37</v>
      </c>
      <c r="D864">
        <v>5.1723179999999997</v>
      </c>
      <c r="E864">
        <v>0.58645400000000003</v>
      </c>
      <c r="F864" t="s">
        <v>38</v>
      </c>
      <c r="G864">
        <v>-456.40300000000002</v>
      </c>
      <c r="H864">
        <v>0.8855113</v>
      </c>
      <c r="I864">
        <v>214.09399999999999</v>
      </c>
      <c r="J864">
        <v>-457.01440000000002</v>
      </c>
      <c r="K864">
        <v>1.103583</v>
      </c>
      <c r="L864">
        <v>214.19200000000001</v>
      </c>
      <c r="M864">
        <v>0.99963679999999999</v>
      </c>
      <c r="N864">
        <v>0</v>
      </c>
      <c r="O864">
        <v>-2.6739969999999998E-2</v>
      </c>
      <c r="P864">
        <v>0.99101219999999901</v>
      </c>
      <c r="Q864">
        <v>9.122458E-2</v>
      </c>
      <c r="R864">
        <v>9.7841999999999998E-2</v>
      </c>
      <c r="S864">
        <v>3.1405639999999999</v>
      </c>
      <c r="T864">
        <v>-0.82837569999999905</v>
      </c>
      <c r="U864">
        <v>-0.38580320000000001</v>
      </c>
      <c r="V864">
        <v>-0.124636</v>
      </c>
      <c r="W864">
        <v>9.4115299999999999E-2</v>
      </c>
      <c r="X864">
        <v>0.98772879999999996</v>
      </c>
      <c r="Y864">
        <v>9.3109410000000004E-2</v>
      </c>
      <c r="Z864">
        <v>-5.123659E-3</v>
      </c>
      <c r="AA864">
        <v>0.99564269999999999</v>
      </c>
      <c r="AB864">
        <v>22</v>
      </c>
      <c r="AC864">
        <v>0.61140000000000305</v>
      </c>
      <c r="AD864">
        <v>-0.21807169999999901</v>
      </c>
      <c r="AE864">
        <v>-9.7999999999984697E-2</v>
      </c>
      <c r="AF864">
        <v>7.2610130986232299E-2</v>
      </c>
      <c r="AG864">
        <v>-0.21807169999999901</v>
      </c>
      <c r="AH864">
        <v>0.54607198230617704</v>
      </c>
      <c r="AI864">
        <v>111.596724680265</v>
      </c>
      <c r="AJ864">
        <v>82.425920785125996</v>
      </c>
      <c r="AK864">
        <v>0.59247118691335998</v>
      </c>
    </row>
    <row r="865" spans="1:37" x14ac:dyDescent="0.2">
      <c r="A865" t="str">
        <f>"20200111150547719"</f>
        <v>20200111150547719</v>
      </c>
      <c r="B865" t="str">
        <f>"1578726347716915"</f>
        <v>1578726347716915</v>
      </c>
      <c r="C865" t="s">
        <v>37</v>
      </c>
      <c r="D865">
        <v>5.031987</v>
      </c>
      <c r="E865">
        <v>0.58527669999999998</v>
      </c>
      <c r="F865" t="s">
        <v>38</v>
      </c>
      <c r="G865">
        <v>-456.2045</v>
      </c>
      <c r="H865">
        <v>0.89246080000000005</v>
      </c>
      <c r="I865">
        <v>214.0926</v>
      </c>
      <c r="J865">
        <v>-456.78559999999999</v>
      </c>
      <c r="K865">
        <v>1.1035759999999999</v>
      </c>
      <c r="L865">
        <v>214.18889999999999</v>
      </c>
      <c r="M865">
        <v>0.99970590000000004</v>
      </c>
      <c r="N865">
        <v>0</v>
      </c>
      <c r="O865">
        <v>-2.405496E-2</v>
      </c>
      <c r="P865">
        <v>0.99092729999999996</v>
      </c>
      <c r="Q865">
        <v>9.1795230000000005E-2</v>
      </c>
      <c r="R865">
        <v>9.8166779999999995E-2</v>
      </c>
      <c r="S865">
        <v>3.1405029999999998</v>
      </c>
      <c r="T865">
        <v>-0.81910190000000005</v>
      </c>
      <c r="U865">
        <v>-0.38389590000000001</v>
      </c>
      <c r="V865">
        <v>-0.1223095</v>
      </c>
      <c r="W865">
        <v>9.4393489999999997E-2</v>
      </c>
      <c r="X865">
        <v>0.98799309999999996</v>
      </c>
      <c r="Y865">
        <v>9.5084489999999994E-2</v>
      </c>
      <c r="Z865">
        <v>-6.0065069999999899E-3</v>
      </c>
      <c r="AA865">
        <v>0.99545110000000003</v>
      </c>
      <c r="AB865">
        <v>22</v>
      </c>
      <c r="AC865">
        <v>0.58109999999999196</v>
      </c>
      <c r="AD865">
        <v>-0.2111152</v>
      </c>
      <c r="AE865">
        <v>-9.6299999999985106E-2</v>
      </c>
      <c r="AF865">
        <v>7.2925637109689107E-2</v>
      </c>
      <c r="AG865">
        <v>-0.2111152</v>
      </c>
      <c r="AH865">
        <v>0.51685295374764595</v>
      </c>
      <c r="AI865">
        <v>112.02119905294199</v>
      </c>
      <c r="AJ865">
        <v>81.968836741344006</v>
      </c>
      <c r="AK865">
        <v>0.56304951115915203</v>
      </c>
    </row>
    <row r="866" spans="1:37" x14ac:dyDescent="0.2">
      <c r="A866" t="str">
        <f>"20200111150547761"</f>
        <v>20200111150547761</v>
      </c>
      <c r="B866" t="str">
        <f>"1578726347755955"</f>
        <v>1578726347755955</v>
      </c>
      <c r="C866" t="s">
        <v>37</v>
      </c>
      <c r="D866">
        <v>4.823302</v>
      </c>
      <c r="E866">
        <v>0.58436069999999996</v>
      </c>
      <c r="F866" t="s">
        <v>38</v>
      </c>
      <c r="G866">
        <v>-456.00209999999998</v>
      </c>
      <c r="H866">
        <v>0.90516509999999994</v>
      </c>
      <c r="I866">
        <v>214.09549999999999</v>
      </c>
      <c r="J866">
        <v>-456.36360000000002</v>
      </c>
      <c r="K866">
        <v>1.1035649999999999</v>
      </c>
      <c r="L866">
        <v>214.18459999999999</v>
      </c>
      <c r="M866">
        <v>0.9998129</v>
      </c>
      <c r="N866">
        <v>0</v>
      </c>
      <c r="O866">
        <v>-1.9169950000000002E-2</v>
      </c>
      <c r="P866">
        <v>0.9907127</v>
      </c>
      <c r="Q866">
        <v>9.1825509999999999E-2</v>
      </c>
      <c r="R866">
        <v>0.1002825</v>
      </c>
      <c r="S866">
        <v>3.1381839999999999</v>
      </c>
      <c r="T866">
        <v>-0.79503559999999995</v>
      </c>
      <c r="U866">
        <v>-0.37351990000000002</v>
      </c>
      <c r="V866">
        <v>-0.1195951</v>
      </c>
      <c r="W866">
        <v>9.4008960000000003E-2</v>
      </c>
      <c r="X866">
        <v>0.98836199999999996</v>
      </c>
      <c r="Y866">
        <v>9.6717780000000003E-2</v>
      </c>
      <c r="Z866">
        <v>-7.2569080000000003E-3</v>
      </c>
      <c r="AA866">
        <v>0.99528539999999999</v>
      </c>
      <c r="AB866">
        <v>22</v>
      </c>
      <c r="AC866">
        <v>0.36150000000003402</v>
      </c>
      <c r="AD866">
        <v>-0.19839989999999999</v>
      </c>
      <c r="AE866">
        <v>-8.91000000000019E-2</v>
      </c>
      <c r="AF866">
        <v>6.3984713370960997E-2</v>
      </c>
      <c r="AG866">
        <v>-0.19839989999999999</v>
      </c>
      <c r="AH866">
        <v>0.28282988793806502</v>
      </c>
      <c r="AI866">
        <v>124.37959543705701</v>
      </c>
      <c r="AJ866">
        <v>77.252535438418604</v>
      </c>
      <c r="AK866">
        <v>0.35135353901196498</v>
      </c>
    </row>
    <row r="867" spans="1:37" x14ac:dyDescent="0.2">
      <c r="A867" t="str">
        <f>"20200111150547784"</f>
        <v>20200111150547784</v>
      </c>
      <c r="B867" t="str">
        <f>"1578726347776451"</f>
        <v>1578726347776451</v>
      </c>
      <c r="C867" t="s">
        <v>37</v>
      </c>
      <c r="D867">
        <v>4.7512019999999904</v>
      </c>
      <c r="E867">
        <v>0.5841404</v>
      </c>
      <c r="F867" t="s">
        <v>38</v>
      </c>
      <c r="G867">
        <v>-455.59809999999999</v>
      </c>
      <c r="H867">
        <v>0.91605439999999905</v>
      </c>
      <c r="I867">
        <v>214.0968</v>
      </c>
      <c r="J867">
        <v>-456.13330000000002</v>
      </c>
      <c r="K867">
        <v>1.103561</v>
      </c>
      <c r="L867">
        <v>214.1831</v>
      </c>
      <c r="M867">
        <v>0.99986019999999898</v>
      </c>
      <c r="N867">
        <v>0</v>
      </c>
      <c r="O867">
        <v>-1.6539689999999999E-2</v>
      </c>
      <c r="P867">
        <v>0.99066419999999999</v>
      </c>
      <c r="Q867">
        <v>9.1131050000000005E-2</v>
      </c>
      <c r="R867">
        <v>0.101388399999999</v>
      </c>
      <c r="S867">
        <v>3.1355900000000001</v>
      </c>
      <c r="T867">
        <v>-0.76828409999999903</v>
      </c>
      <c r="U867">
        <v>-0.35884090000000002</v>
      </c>
      <c r="V867">
        <v>-0.1180987</v>
      </c>
      <c r="W867">
        <v>9.3159649999999997E-2</v>
      </c>
      <c r="X867">
        <v>0.98862220000000001</v>
      </c>
      <c r="Y867">
        <v>9.4962039999999998E-2</v>
      </c>
      <c r="Z867">
        <v>-7.4485539999999996E-3</v>
      </c>
      <c r="AA867">
        <v>0.99545300000000003</v>
      </c>
      <c r="AB867">
        <v>22</v>
      </c>
      <c r="AC867">
        <v>0.53520000000003098</v>
      </c>
      <c r="AD867">
        <v>-0.1875066</v>
      </c>
      <c r="AE867">
        <v>-8.6299999999994201E-2</v>
      </c>
      <c r="AF867">
        <v>6.9162024790289003E-2</v>
      </c>
      <c r="AG867">
        <v>-0.1875066</v>
      </c>
      <c r="AH867">
        <v>0.47922300035294002</v>
      </c>
      <c r="AI867">
        <v>111.169386085903</v>
      </c>
      <c r="AJ867">
        <v>81.787709542315199</v>
      </c>
      <c r="AK867">
        <v>0.51922711291295798</v>
      </c>
    </row>
    <row r="868" spans="1:37" x14ac:dyDescent="0.2">
      <c r="A868" t="str">
        <f>"20200111150547807"</f>
        <v>20200111150547807</v>
      </c>
      <c r="B868" t="str">
        <f>"1578726347795971"</f>
        <v>1578726347795971</v>
      </c>
      <c r="C868" t="s">
        <v>37</v>
      </c>
      <c r="D868">
        <v>4.6402330000000003</v>
      </c>
      <c r="E868">
        <v>0.58385559999999903</v>
      </c>
      <c r="F868" t="s">
        <v>38</v>
      </c>
      <c r="G868">
        <v>-455.39249999999998</v>
      </c>
      <c r="H868">
        <v>0.92384959999999905</v>
      </c>
      <c r="I868">
        <v>214.0993</v>
      </c>
      <c r="J868">
        <v>-455.90440000000001</v>
      </c>
      <c r="K868">
        <v>1.1035520000000001</v>
      </c>
      <c r="L868">
        <v>214.18209999999999</v>
      </c>
      <c r="M868">
        <v>0.99989969999999995</v>
      </c>
      <c r="N868">
        <v>0</v>
      </c>
      <c r="O868">
        <v>-1.396412E-2</v>
      </c>
      <c r="P868">
        <v>0.99069699999999905</v>
      </c>
      <c r="Q868">
        <v>9.071999E-2</v>
      </c>
      <c r="R868">
        <v>0.10143729999999999</v>
      </c>
      <c r="S868">
        <v>3.134369</v>
      </c>
      <c r="T868">
        <v>-0.76083519999999905</v>
      </c>
      <c r="U868">
        <v>-0.35258479999999998</v>
      </c>
      <c r="V868">
        <v>-0.1155991</v>
      </c>
      <c r="W868">
        <v>9.2655440000000006E-2</v>
      </c>
      <c r="X868">
        <v>0.98896499999999998</v>
      </c>
      <c r="Y868">
        <v>9.5558000000000004E-2</v>
      </c>
      <c r="Z868">
        <v>-8.0670749999999999E-3</v>
      </c>
      <c r="AA868">
        <v>0.99539120000000003</v>
      </c>
      <c r="AB868">
        <v>23</v>
      </c>
      <c r="AC868">
        <v>0.511900000000025</v>
      </c>
      <c r="AD868">
        <v>-0.17970240000000001</v>
      </c>
      <c r="AE868">
        <v>-8.27999999999917E-2</v>
      </c>
      <c r="AF868">
        <v>6.7533330372242698E-2</v>
      </c>
      <c r="AG868">
        <v>-0.17970240000000001</v>
      </c>
      <c r="AH868">
        <v>0.45800294490821303</v>
      </c>
      <c r="AI868">
        <v>111.214407498068</v>
      </c>
      <c r="AJ868">
        <v>81.612079318232503</v>
      </c>
      <c r="AK868">
        <v>0.49660890127093199</v>
      </c>
    </row>
    <row r="869" spans="1:37" x14ac:dyDescent="0.2">
      <c r="A869" t="str">
        <f>"20200111150547830"</f>
        <v>20200111150547830</v>
      </c>
      <c r="B869" t="str">
        <f>"1578726347826227"</f>
        <v>1578726347826227</v>
      </c>
      <c r="C869" t="s">
        <v>37</v>
      </c>
      <c r="D869">
        <v>4.5786059999999997</v>
      </c>
      <c r="E869">
        <v>0.58337720000000004</v>
      </c>
      <c r="F869" t="s">
        <v>38</v>
      </c>
      <c r="G869">
        <v>-455.18619999999999</v>
      </c>
      <c r="H869">
        <v>0.92992779999999997</v>
      </c>
      <c r="I869">
        <v>214.1018</v>
      </c>
      <c r="J869">
        <v>-455.67579999999998</v>
      </c>
      <c r="K869">
        <v>1.1035429999999999</v>
      </c>
      <c r="L869">
        <v>214.18170000000001</v>
      </c>
      <c r="M869">
        <v>0.99993169999999898</v>
      </c>
      <c r="N869">
        <v>0</v>
      </c>
      <c r="O869">
        <v>-1.1459169999999999E-2</v>
      </c>
      <c r="P869">
        <v>0.99075800000000003</v>
      </c>
      <c r="Q869">
        <v>8.9030250000000005E-2</v>
      </c>
      <c r="R869">
        <v>0.1023366</v>
      </c>
      <c r="S869">
        <v>3.133362</v>
      </c>
      <c r="T869">
        <v>-0.75767320000000005</v>
      </c>
      <c r="U869">
        <v>-0.3498077</v>
      </c>
      <c r="V869">
        <v>-0.11401269999999999</v>
      </c>
      <c r="W869">
        <v>9.0943700000000002E-2</v>
      </c>
      <c r="X869">
        <v>0.98930799999999997</v>
      </c>
      <c r="Y869">
        <v>9.7116820000000006E-2</v>
      </c>
      <c r="Z869">
        <v>-8.8176899999999996E-3</v>
      </c>
      <c r="AA869">
        <v>0.99523399999999995</v>
      </c>
      <c r="AB869">
        <v>23</v>
      </c>
      <c r="AC869">
        <v>0.48959999999999498</v>
      </c>
      <c r="AD869">
        <v>-0.173615199999999</v>
      </c>
      <c r="AE869">
        <v>-7.9900000000009103E-2</v>
      </c>
      <c r="AF869">
        <v>6.6178547328545598E-2</v>
      </c>
      <c r="AG869">
        <v>-0.173615199999999</v>
      </c>
      <c r="AH869">
        <v>0.43696270856254499</v>
      </c>
      <c r="AI869">
        <v>111.447025606325</v>
      </c>
      <c r="AJ869">
        <v>81.387931110787406</v>
      </c>
      <c r="AK869">
        <v>0.47482443752598902</v>
      </c>
    </row>
    <row r="870" spans="1:37" x14ac:dyDescent="0.2">
      <c r="A870" t="str">
        <f>"20200111150547854"</f>
        <v>20200111150547854</v>
      </c>
      <c r="B870" t="str">
        <f>"1578726347846723"</f>
        <v>1578726347846723</v>
      </c>
      <c r="C870" t="s">
        <v>37</v>
      </c>
      <c r="D870">
        <v>4.5240650000000002</v>
      </c>
      <c r="E870">
        <v>0.58291419999999905</v>
      </c>
      <c r="F870" t="s">
        <v>38</v>
      </c>
      <c r="G870">
        <v>-454.9785</v>
      </c>
      <c r="H870">
        <v>0.93609330000000002</v>
      </c>
      <c r="I870">
        <v>214.1044</v>
      </c>
      <c r="J870">
        <v>-455.42239999999998</v>
      </c>
      <c r="K870">
        <v>1.103532</v>
      </c>
      <c r="L870">
        <v>214.18180000000001</v>
      </c>
      <c r="M870">
        <v>0.99995859999999903</v>
      </c>
      <c r="N870">
        <v>0</v>
      </c>
      <c r="O870">
        <v>-8.7916609999999992E-3</v>
      </c>
      <c r="P870">
        <v>0.99062790000000001</v>
      </c>
      <c r="Q870">
        <v>8.8559849999999996E-2</v>
      </c>
      <c r="R870">
        <v>0.10398879999999899</v>
      </c>
      <c r="S870">
        <v>3.131195</v>
      </c>
      <c r="T870">
        <v>-0.75258359999999902</v>
      </c>
      <c r="U870">
        <v>-0.34431459999999903</v>
      </c>
      <c r="V870">
        <v>-0.1130144</v>
      </c>
      <c r="W870">
        <v>9.0537679999999995E-2</v>
      </c>
      <c r="X870">
        <v>0.9894598</v>
      </c>
      <c r="Y870">
        <v>9.8049209999999998E-2</v>
      </c>
      <c r="Z870">
        <v>-9.5070280000000007E-3</v>
      </c>
      <c r="AA870">
        <v>0.99513609999999897</v>
      </c>
      <c r="AB870">
        <v>23</v>
      </c>
      <c r="AC870">
        <v>0.44389999999998497</v>
      </c>
      <c r="AD870">
        <v>-0.167438699999999</v>
      </c>
      <c r="AE870">
        <v>-7.7400000000011404E-2</v>
      </c>
      <c r="AF870">
        <v>6.4577450405371703E-2</v>
      </c>
      <c r="AG870">
        <v>-0.167438699999999</v>
      </c>
      <c r="AH870">
        <v>0.390625323307557</v>
      </c>
      <c r="AI870">
        <v>112.92363258965101</v>
      </c>
      <c r="AJ870">
        <v>80.612871049825799</v>
      </c>
      <c r="AK870">
        <v>0.42987685279354299</v>
      </c>
    </row>
    <row r="871" spans="1:37" x14ac:dyDescent="0.2">
      <c r="A871" t="str">
        <f>"20200111150547896"</f>
        <v>20200111150547896</v>
      </c>
      <c r="B871" t="str">
        <f>"1578726347886739"</f>
        <v>1578726347886739</v>
      </c>
      <c r="C871" t="s">
        <v>37</v>
      </c>
      <c r="D871">
        <v>4.4736060000000002</v>
      </c>
      <c r="E871">
        <v>0.58204160000000005</v>
      </c>
      <c r="F871" t="s">
        <v>38</v>
      </c>
      <c r="G871">
        <v>-454.57990000000001</v>
      </c>
      <c r="H871">
        <v>0.90263280000000001</v>
      </c>
      <c r="I871">
        <v>214.0907</v>
      </c>
      <c r="J871">
        <v>-454.986999999999</v>
      </c>
      <c r="K871">
        <v>1.103477</v>
      </c>
      <c r="L871">
        <v>214.1833</v>
      </c>
      <c r="M871">
        <v>0.99998639999999905</v>
      </c>
      <c r="N871">
        <v>0</v>
      </c>
      <c r="O871">
        <v>-4.5186200000000001E-3</v>
      </c>
      <c r="P871">
        <v>0.99013779999999996</v>
      </c>
      <c r="Q871">
        <v>8.9608640000000003E-2</v>
      </c>
      <c r="R871">
        <v>0.1076912</v>
      </c>
      <c r="S871">
        <v>3.1304630000000002</v>
      </c>
      <c r="T871">
        <v>-0.74682459999999995</v>
      </c>
      <c r="U871">
        <v>-0.3365784</v>
      </c>
      <c r="V871">
        <v>-0.112466</v>
      </c>
      <c r="W871">
        <v>9.1838320000000001E-2</v>
      </c>
      <c r="X871">
        <v>0.98940239999999902</v>
      </c>
      <c r="Y871">
        <v>9.9764729999999996E-2</v>
      </c>
      <c r="Z871">
        <v>-1.064317E-2</v>
      </c>
      <c r="AA871">
        <v>0.99495409999999995</v>
      </c>
      <c r="AB871">
        <v>23</v>
      </c>
      <c r="AC871">
        <v>0.407099999999957</v>
      </c>
      <c r="AD871">
        <v>-0.200844199999999</v>
      </c>
      <c r="AE871">
        <v>-9.2600000000004401E-2</v>
      </c>
      <c r="AF871">
        <v>7.37029009942652E-2</v>
      </c>
      <c r="AG871">
        <v>-0.200844199999999</v>
      </c>
      <c r="AH871">
        <v>0.33092930037128698</v>
      </c>
      <c r="AI871">
        <v>120.642310096776</v>
      </c>
      <c r="AJ871">
        <v>77.444292668124305</v>
      </c>
      <c r="AK871">
        <v>0.39406181257873701</v>
      </c>
    </row>
    <row r="872" spans="1:37" x14ac:dyDescent="0.2">
      <c r="A872" t="str">
        <f>"20200111150547918"</f>
        <v>20200111150547918</v>
      </c>
      <c r="B872" t="str">
        <f>"1578726347916019"</f>
        <v>1578726347916019</v>
      </c>
      <c r="C872" t="s">
        <v>37</v>
      </c>
      <c r="D872">
        <v>4.3275160000000001</v>
      </c>
      <c r="E872">
        <v>0.58142629999999995</v>
      </c>
      <c r="F872" t="s">
        <v>38</v>
      </c>
      <c r="G872">
        <v>-454.15879999999999</v>
      </c>
      <c r="H872">
        <v>0.90995499999999996</v>
      </c>
      <c r="I872">
        <v>214.09889999999999</v>
      </c>
      <c r="J872">
        <v>-454.7482</v>
      </c>
      <c r="K872">
        <v>1.103437</v>
      </c>
      <c r="L872">
        <v>214.18469999999999</v>
      </c>
      <c r="M872">
        <v>0.99999340000000003</v>
      </c>
      <c r="N872">
        <v>0</v>
      </c>
      <c r="O872">
        <v>-2.3387989999999999E-3</v>
      </c>
      <c r="P872">
        <v>0.98986450000000004</v>
      </c>
      <c r="Q872">
        <v>8.9909749999999997E-2</v>
      </c>
      <c r="R872">
        <v>0.10992979999999999</v>
      </c>
      <c r="S872">
        <v>3.1306759999999998</v>
      </c>
      <c r="T872">
        <v>-0.73172879999999996</v>
      </c>
      <c r="U872">
        <v>-0.31777949999999999</v>
      </c>
      <c r="V872">
        <v>-0.1125333</v>
      </c>
      <c r="W872">
        <v>9.2297920000000006E-2</v>
      </c>
      <c r="X872">
        <v>0.98935200000000001</v>
      </c>
      <c r="Y872">
        <v>9.6156140000000001E-2</v>
      </c>
      <c r="Z872">
        <v>-1.0522470000000001E-2</v>
      </c>
      <c r="AA872">
        <v>0.99531069999999999</v>
      </c>
      <c r="AB872">
        <v>23</v>
      </c>
      <c r="AC872">
        <v>0.58940000000001103</v>
      </c>
      <c r="AD872">
        <v>-0.19348199999999999</v>
      </c>
      <c r="AE872">
        <v>-8.5800000000006094E-2</v>
      </c>
      <c r="AF872">
        <v>7.6363085582908996E-2</v>
      </c>
      <c r="AG872">
        <v>-0.19348199999999999</v>
      </c>
      <c r="AH872">
        <v>0.53332059921019603</v>
      </c>
      <c r="AI872">
        <v>109.754469518644</v>
      </c>
      <c r="AJ872">
        <v>81.851534037259597</v>
      </c>
      <c r="AK872">
        <v>0.57244865857617799</v>
      </c>
    </row>
    <row r="873" spans="1:37" x14ac:dyDescent="0.2">
      <c r="A873" t="str">
        <f>"20200111150547942"</f>
        <v>20200111150547942</v>
      </c>
      <c r="B873" t="str">
        <f>"1578726347936515"</f>
        <v>1578726347936515</v>
      </c>
      <c r="C873" t="s">
        <v>37</v>
      </c>
      <c r="D873">
        <v>4.310314</v>
      </c>
      <c r="E873">
        <v>0.58130459999999995</v>
      </c>
      <c r="F873" t="s">
        <v>38</v>
      </c>
      <c r="G873">
        <v>-453.94459999999998</v>
      </c>
      <c r="H873">
        <v>0.91769979999999995</v>
      </c>
      <c r="I873">
        <v>214.10589999999999</v>
      </c>
      <c r="J873">
        <v>-454.50709999999998</v>
      </c>
      <c r="K873">
        <v>1.103386</v>
      </c>
      <c r="L873">
        <v>214.1865</v>
      </c>
      <c r="M873">
        <v>0.99999590000000005</v>
      </c>
      <c r="N873">
        <v>0</v>
      </c>
      <c r="O873">
        <v>-2.7024800000000001E-4</v>
      </c>
      <c r="P873">
        <v>0.98955680000000001</v>
      </c>
      <c r="Q873">
        <v>9.0769230000000006E-2</v>
      </c>
      <c r="R873">
        <v>0.111975399999999</v>
      </c>
      <c r="S873">
        <v>3.1304630000000002</v>
      </c>
      <c r="T873">
        <v>-0.72387400000000002</v>
      </c>
      <c r="U873">
        <v>-0.30592350000000001</v>
      </c>
      <c r="V873">
        <v>-0.1125193</v>
      </c>
      <c r="W873">
        <v>9.3316319999999994E-2</v>
      </c>
      <c r="X873">
        <v>0.98925810000000003</v>
      </c>
      <c r="Y873">
        <v>9.4528470000000003E-2</v>
      </c>
      <c r="Z873">
        <v>-1.0700660000000001E-2</v>
      </c>
      <c r="AA873">
        <v>0.99546460000000003</v>
      </c>
      <c r="AB873">
        <v>24</v>
      </c>
      <c r="AC873">
        <v>0.5625</v>
      </c>
      <c r="AD873">
        <v>-0.1856862</v>
      </c>
      <c r="AE873">
        <v>-8.0600000000004002E-2</v>
      </c>
      <c r="AF873">
        <v>7.2686551544053499E-2</v>
      </c>
      <c r="AG873">
        <v>-0.1856862</v>
      </c>
      <c r="AH873">
        <v>0.50825099684372599</v>
      </c>
      <c r="AI873">
        <v>109.88321886923499</v>
      </c>
      <c r="AJ873">
        <v>81.861140764522801</v>
      </c>
      <c r="AK873">
        <v>0.54596865792685201</v>
      </c>
    </row>
    <row r="874" spans="1:37" x14ac:dyDescent="0.2">
      <c r="A874" t="str">
        <f>"20200111150547963"</f>
        <v>20200111150547963</v>
      </c>
      <c r="B874" t="str">
        <f>"1578726347956035"</f>
        <v>1578726347956035</v>
      </c>
      <c r="C874" t="s">
        <v>37</v>
      </c>
      <c r="D874">
        <v>4.2731139999999996</v>
      </c>
      <c r="E874">
        <v>0.55735080000000004</v>
      </c>
      <c r="F874" t="s">
        <v>38</v>
      </c>
      <c r="G874">
        <v>-453.72919999999999</v>
      </c>
      <c r="H874">
        <v>0.92487229999999998</v>
      </c>
      <c r="I874">
        <v>214.11199999999999</v>
      </c>
      <c r="J874">
        <v>-454.27269999999999</v>
      </c>
      <c r="K874">
        <v>1.1033059999999999</v>
      </c>
      <c r="L874">
        <v>214.1885</v>
      </c>
      <c r="M874">
        <v>0.99999419999999895</v>
      </c>
      <c r="N874">
        <v>0</v>
      </c>
      <c r="O874">
        <v>1.5589950000000001E-3</v>
      </c>
      <c r="P874">
        <v>0.98925049999999903</v>
      </c>
      <c r="Q874">
        <v>9.1713359999999994E-2</v>
      </c>
      <c r="R874">
        <v>0.11389529999999901</v>
      </c>
      <c r="S874">
        <v>3.13137799999999</v>
      </c>
      <c r="T874">
        <v>-0.71881260000000002</v>
      </c>
      <c r="U874">
        <v>-0.29853819999999998</v>
      </c>
      <c r="V874">
        <v>-0.1126118</v>
      </c>
      <c r="W874">
        <v>9.4415319999999997E-2</v>
      </c>
      <c r="X874">
        <v>0.98914329999999995</v>
      </c>
      <c r="Y874">
        <v>9.3995910000000002E-2</v>
      </c>
      <c r="Z874">
        <v>-1.0979289999999999E-2</v>
      </c>
      <c r="AA874">
        <v>0.99551209999999901</v>
      </c>
      <c r="AB874">
        <v>24</v>
      </c>
      <c r="AC874">
        <v>0.54349999999999399</v>
      </c>
      <c r="AD874">
        <v>-0.178433699999999</v>
      </c>
      <c r="AE874">
        <v>-7.6500000000009893E-2</v>
      </c>
      <c r="AF874">
        <v>6.99537954945091E-2</v>
      </c>
      <c r="AG874">
        <v>-0.178433699999999</v>
      </c>
      <c r="AH874">
        <v>0.491439723257521</v>
      </c>
      <c r="AI874">
        <v>109.771490070718</v>
      </c>
      <c r="AJ874">
        <v>81.898678387449195</v>
      </c>
      <c r="AK874">
        <v>0.52748945050607998</v>
      </c>
    </row>
    <row r="875" spans="1:37" x14ac:dyDescent="0.2">
      <c r="A875" t="str">
        <f>"20200111150547985"</f>
        <v>20200111150547985</v>
      </c>
      <c r="B875" t="str">
        <f>"1578726347976531"</f>
        <v>1578726347976531</v>
      </c>
      <c r="C875" t="s">
        <v>37</v>
      </c>
      <c r="D875">
        <v>4.2291840000000001</v>
      </c>
      <c r="E875">
        <v>0.56141819999999998</v>
      </c>
      <c r="F875" t="s">
        <v>38</v>
      </c>
      <c r="G875">
        <v>-453.48140000000001</v>
      </c>
      <c r="H875">
        <v>0.99619089999999999</v>
      </c>
      <c r="I875">
        <v>214.1611</v>
      </c>
      <c r="J875">
        <v>-454.04050000000001</v>
      </c>
      <c r="K875">
        <v>1.103191</v>
      </c>
      <c r="L875">
        <v>214.1908</v>
      </c>
      <c r="M875">
        <v>0.99998999999999905</v>
      </c>
      <c r="N875">
        <v>0</v>
      </c>
      <c r="O875">
        <v>3.1599290000000001E-3</v>
      </c>
      <c r="P875">
        <v>0.988932699999999</v>
      </c>
      <c r="Q875">
        <v>9.3008129999999994E-2</v>
      </c>
      <c r="R875">
        <v>0.1155943</v>
      </c>
      <c r="S875">
        <v>3.0834959999999998</v>
      </c>
      <c r="T875">
        <v>-0.41762519999999997</v>
      </c>
      <c r="U875">
        <v>-0.105819699999999</v>
      </c>
      <c r="V875">
        <v>-0.11270419999999901</v>
      </c>
      <c r="W875">
        <v>9.5862600000000006E-2</v>
      </c>
      <c r="X875">
        <v>0.98899349999999997</v>
      </c>
      <c r="Y875">
        <v>3.7088759999999998E-2</v>
      </c>
      <c r="Z875">
        <v>-2.9254059999999902E-3</v>
      </c>
      <c r="AA875">
        <v>0.99930769999999902</v>
      </c>
      <c r="AB875">
        <v>24</v>
      </c>
      <c r="AC875">
        <v>0.55910000000000004</v>
      </c>
      <c r="AD875">
        <v>-0.1070001</v>
      </c>
      <c r="AE875">
        <v>-2.9699999999991102E-2</v>
      </c>
      <c r="AF875">
        <v>3.03578203627436E-2</v>
      </c>
      <c r="AG875">
        <v>-0.1070001</v>
      </c>
      <c r="AH875">
        <v>0.53930631230089299</v>
      </c>
      <c r="AI875">
        <v>101.204646870651</v>
      </c>
      <c r="AJ875">
        <v>86.778192118801996</v>
      </c>
      <c r="AK875">
        <v>0.55065589722146302</v>
      </c>
    </row>
    <row r="876" spans="1:37" x14ac:dyDescent="0.2">
      <c r="A876" t="str">
        <f>"20200111150548007"</f>
        <v>20200111150548007</v>
      </c>
      <c r="B876" t="str">
        <f>"1578726347996051"</f>
        <v>1578726347996051</v>
      </c>
      <c r="C876" t="s">
        <v>37</v>
      </c>
      <c r="D876">
        <v>4.267614</v>
      </c>
      <c r="E876">
        <v>0.56131039999999999</v>
      </c>
      <c r="F876" t="s">
        <v>38</v>
      </c>
      <c r="G876">
        <v>-453.25560000000002</v>
      </c>
      <c r="H876">
        <v>1.020097</v>
      </c>
      <c r="I876">
        <v>214.15610000000001</v>
      </c>
      <c r="J876">
        <v>-453.7989</v>
      </c>
      <c r="K876">
        <v>1.1030500000000001</v>
      </c>
      <c r="L876">
        <v>214.19319999999999</v>
      </c>
      <c r="M876">
        <v>0.99998410000000004</v>
      </c>
      <c r="N876">
        <v>0</v>
      </c>
      <c r="O876">
        <v>4.5841839999999998E-3</v>
      </c>
      <c r="P876">
        <v>0.98872610000000005</v>
      </c>
      <c r="Q876">
        <v>9.3679860000000004E-2</v>
      </c>
      <c r="R876">
        <v>0.11681030000000001</v>
      </c>
      <c r="S876">
        <v>3.0799560000000001</v>
      </c>
      <c r="T876">
        <v>-0.32642270000000001</v>
      </c>
      <c r="U876">
        <v>-0.13391110000000001</v>
      </c>
      <c r="V876">
        <v>-0.1124787</v>
      </c>
      <c r="W876">
        <v>9.6691760000000002E-2</v>
      </c>
      <c r="X876">
        <v>0.98893850000000005</v>
      </c>
      <c r="Y876">
        <v>4.7724240000000001E-2</v>
      </c>
      <c r="Z876">
        <v>-3.0050089999999999E-3</v>
      </c>
      <c r="AA876">
        <v>0.99885599999999997</v>
      </c>
      <c r="AB876">
        <v>24</v>
      </c>
      <c r="AC876">
        <v>0.54329999999998702</v>
      </c>
      <c r="AD876">
        <v>-8.2952999999999999E-2</v>
      </c>
      <c r="AE876">
        <v>-3.7099999999981002E-2</v>
      </c>
      <c r="AF876">
        <v>3.86923894521949E-2</v>
      </c>
      <c r="AG876">
        <v>-8.2952999999999999E-2</v>
      </c>
      <c r="AH876">
        <v>0.53080732134661601</v>
      </c>
      <c r="AI876">
        <v>98.859041217631599</v>
      </c>
      <c r="AJ876">
        <v>85.830885315623306</v>
      </c>
      <c r="AK876">
        <v>0.53864154463399005</v>
      </c>
    </row>
    <row r="877" spans="1:37" x14ac:dyDescent="0.2">
      <c r="A877" t="str">
        <f>"20200111150548030"</f>
        <v>20200111150548030</v>
      </c>
      <c r="B877" t="str">
        <f>"1578726348026308"</f>
        <v>1578726348026308</v>
      </c>
      <c r="C877" t="s">
        <v>37</v>
      </c>
      <c r="D877">
        <v>5.2922880000000001</v>
      </c>
      <c r="E877">
        <v>0.56045559999999905</v>
      </c>
      <c r="F877" t="s">
        <v>38</v>
      </c>
      <c r="G877">
        <v>-453.03339999999997</v>
      </c>
      <c r="H877">
        <v>1.0337829999999999</v>
      </c>
      <c r="I877">
        <v>214.16059999999999</v>
      </c>
      <c r="J877">
        <v>-453.5573</v>
      </c>
      <c r="K877">
        <v>1.1028799999999901</v>
      </c>
      <c r="L877">
        <v>214.19579999999999</v>
      </c>
      <c r="M877">
        <v>0.99997789999999998</v>
      </c>
      <c r="N877">
        <v>0</v>
      </c>
      <c r="O877">
        <v>5.74793599999999E-3</v>
      </c>
      <c r="P877">
        <v>0.98866319999999996</v>
      </c>
      <c r="Q877">
        <v>9.4249799999999995E-2</v>
      </c>
      <c r="R877">
        <v>0.1168865</v>
      </c>
      <c r="S877">
        <v>3.075958</v>
      </c>
      <c r="T877">
        <v>-0.27846359999999998</v>
      </c>
      <c r="U877">
        <v>-0.13015750000000001</v>
      </c>
      <c r="V877">
        <v>-0.1113644</v>
      </c>
      <c r="W877">
        <v>9.7415989999999994E-2</v>
      </c>
      <c r="X877">
        <v>0.98899349999999997</v>
      </c>
      <c r="Y877">
        <v>4.7800139999999998E-2</v>
      </c>
      <c r="Z877">
        <v>-2.6773550000000002E-3</v>
      </c>
      <c r="AA877">
        <v>0.99885330000000006</v>
      </c>
      <c r="AB877">
        <v>24</v>
      </c>
      <c r="AC877">
        <v>0.52390000000002601</v>
      </c>
      <c r="AD877">
        <v>-6.9096999999999895E-2</v>
      </c>
      <c r="AE877">
        <v>-3.5200000000003201E-2</v>
      </c>
      <c r="AF877">
        <v>3.75603570394367E-2</v>
      </c>
      <c r="AG877">
        <v>-6.9096999999999895E-2</v>
      </c>
      <c r="AH877">
        <v>0.51477480896508998</v>
      </c>
      <c r="AI877">
        <v>97.624950947334199</v>
      </c>
      <c r="AJ877">
        <v>85.826829526770496</v>
      </c>
      <c r="AK877">
        <v>0.52074780822868105</v>
      </c>
    </row>
    <row r="878" spans="1:37" x14ac:dyDescent="0.2">
      <c r="A878" t="str">
        <f>"20200111150548052"</f>
        <v>20200111150548052</v>
      </c>
      <c r="B878" t="str">
        <f>"1578726348046803"</f>
        <v>1578726348046803</v>
      </c>
      <c r="C878" t="s">
        <v>37</v>
      </c>
      <c r="D878">
        <v>4.2949650000000004</v>
      </c>
      <c r="E878">
        <v>0.56198440000000005</v>
      </c>
      <c r="F878" t="s">
        <v>38</v>
      </c>
      <c r="G878">
        <v>-452.80990000000003</v>
      </c>
      <c r="H878">
        <v>1.0474209999999999</v>
      </c>
      <c r="I878">
        <v>214.16560000000001</v>
      </c>
      <c r="J878">
        <v>-453.32010000000002</v>
      </c>
      <c r="K878">
        <v>1.1027</v>
      </c>
      <c r="L878">
        <v>214.19820000000001</v>
      </c>
      <c r="M878">
        <v>0.99997209999999903</v>
      </c>
      <c r="N878">
        <v>0</v>
      </c>
      <c r="O878">
        <v>6.6181039999999997E-3</v>
      </c>
      <c r="P878">
        <v>0.98870069999999999</v>
      </c>
      <c r="Q878">
        <v>9.4444710000000001E-2</v>
      </c>
      <c r="R878">
        <v>0.116409999999999</v>
      </c>
      <c r="S878">
        <v>3.0706479999999998</v>
      </c>
      <c r="T878">
        <v>-0.2280691</v>
      </c>
      <c r="U878">
        <v>-0.12263489999999901</v>
      </c>
      <c r="V878">
        <v>-0.109984</v>
      </c>
      <c r="W878">
        <v>9.7755770000000006E-2</v>
      </c>
      <c r="X878">
        <v>0.98911439999999995</v>
      </c>
      <c r="Y878">
        <v>4.637223E-2</v>
      </c>
      <c r="Z878">
        <v>-2.2097710000000001E-3</v>
      </c>
      <c r="AA878">
        <v>0.99892179999999997</v>
      </c>
      <c r="AB878">
        <v>24</v>
      </c>
      <c r="AC878">
        <v>0.51019999999999699</v>
      </c>
      <c r="AD878">
        <v>-5.5279000000000002E-2</v>
      </c>
      <c r="AE878">
        <v>-3.26000000000021E-2</v>
      </c>
      <c r="AF878">
        <v>3.5560112209190899E-2</v>
      </c>
      <c r="AG878">
        <v>-5.5279000000000002E-2</v>
      </c>
      <c r="AH878">
        <v>0.50407963209093598</v>
      </c>
      <c r="AI878">
        <v>96.2428412469677</v>
      </c>
      <c r="AJ878">
        <v>85.964775277566901</v>
      </c>
      <c r="AK878">
        <v>0.50834689426637003</v>
      </c>
    </row>
    <row r="879" spans="1:37" x14ac:dyDescent="0.2">
      <c r="A879" t="str">
        <f>"20200111150548078"</f>
        <v>20200111150548078</v>
      </c>
      <c r="B879" t="str">
        <f>"1578726348066323"</f>
        <v>1578726348066323</v>
      </c>
      <c r="C879" t="s">
        <v>37</v>
      </c>
      <c r="D879">
        <v>6.6247100000000003</v>
      </c>
      <c r="E879">
        <v>0.56161300000000003</v>
      </c>
      <c r="F879" t="s">
        <v>38</v>
      </c>
      <c r="G879">
        <v>-452.5915</v>
      </c>
      <c r="H879">
        <v>1.047696</v>
      </c>
      <c r="I879">
        <v>214.16540000000001</v>
      </c>
      <c r="J879">
        <v>-453.0444</v>
      </c>
      <c r="K879">
        <v>1.1024769999999999</v>
      </c>
      <c r="L879">
        <v>214.20099999999999</v>
      </c>
      <c r="M879">
        <v>0.99996749999999901</v>
      </c>
      <c r="N879">
        <v>0</v>
      </c>
      <c r="O879">
        <v>7.2362210000000001E-3</v>
      </c>
      <c r="P879">
        <v>0.98876849999999905</v>
      </c>
      <c r="Q879">
        <v>9.4318559999999996E-2</v>
      </c>
      <c r="R879">
        <v>0.11593579999999901</v>
      </c>
      <c r="S879">
        <v>3.0725099999999999</v>
      </c>
      <c r="T879">
        <v>-0.2321513</v>
      </c>
      <c r="U879">
        <v>-0.1366425</v>
      </c>
      <c r="V879">
        <v>-0.1088456</v>
      </c>
      <c r="W879">
        <v>9.7786150000000002E-2</v>
      </c>
      <c r="X879">
        <v>0.98923739999999905</v>
      </c>
      <c r="Y879">
        <v>5.1489559999999997E-2</v>
      </c>
      <c r="Z879">
        <v>-2.4872150000000001E-3</v>
      </c>
      <c r="AA879">
        <v>0.99867050000000002</v>
      </c>
      <c r="AB879">
        <v>24</v>
      </c>
      <c r="AC879">
        <v>0.45289999999999903</v>
      </c>
      <c r="AD879">
        <v>-5.47810000000001E-2</v>
      </c>
      <c r="AE879">
        <v>-3.5599999999988002E-2</v>
      </c>
      <c r="AF879">
        <v>3.8319191851269703E-2</v>
      </c>
      <c r="AG879">
        <v>-5.47810000000001E-2</v>
      </c>
      <c r="AH879">
        <v>0.44614337107339003</v>
      </c>
      <c r="AI879">
        <v>96.974762455861097</v>
      </c>
      <c r="AJ879">
        <v>85.090921376997201</v>
      </c>
      <c r="AK879">
        <v>0.45112440188695502</v>
      </c>
    </row>
    <row r="880" spans="1:37" x14ac:dyDescent="0.2">
      <c r="A880" t="str">
        <f>"20200111150548097"</f>
        <v>20200111150548097</v>
      </c>
      <c r="B880" t="str">
        <f>"1578726348086818"</f>
        <v>1578726348086818</v>
      </c>
      <c r="C880" t="s">
        <v>37</v>
      </c>
      <c r="D880">
        <v>4.3933089999999897</v>
      </c>
      <c r="E880">
        <v>0.56113230000000003</v>
      </c>
      <c r="F880" t="s">
        <v>38</v>
      </c>
      <c r="G880">
        <v>-452.1524</v>
      </c>
      <c r="H880">
        <v>1.045688</v>
      </c>
      <c r="I880">
        <v>214.16079999999999</v>
      </c>
      <c r="J880">
        <v>-452.82139999999998</v>
      </c>
      <c r="K880">
        <v>1.1023049999999901</v>
      </c>
      <c r="L880">
        <v>214.203</v>
      </c>
      <c r="M880">
        <v>0.9999654</v>
      </c>
      <c r="N880">
        <v>0</v>
      </c>
      <c r="O880">
        <v>7.4835309999999999E-3</v>
      </c>
      <c r="P880">
        <v>0.98885559999999995</v>
      </c>
      <c r="Q880">
        <v>9.4411309999999998E-2</v>
      </c>
      <c r="R880">
        <v>0.115113799999999</v>
      </c>
      <c r="S880">
        <v>3.0688169999999899</v>
      </c>
      <c r="T880">
        <v>-0.19545499999999999</v>
      </c>
      <c r="U880">
        <v>-0.13723750000000001</v>
      </c>
      <c r="V880">
        <v>-0.1077376</v>
      </c>
      <c r="W880">
        <v>9.799447E-2</v>
      </c>
      <c r="X880">
        <v>0.98933799999999905</v>
      </c>
      <c r="Y880">
        <v>5.2029869999999999E-2</v>
      </c>
      <c r="Z880">
        <v>-2.1303379999999998E-3</v>
      </c>
      <c r="AA880">
        <v>0.99864330000000001</v>
      </c>
      <c r="AB880">
        <v>25</v>
      </c>
      <c r="AC880">
        <v>0.66899999999998205</v>
      </c>
      <c r="AD880">
        <v>-5.6616999999999897E-2</v>
      </c>
      <c r="AE880">
        <v>-4.2200000000008203E-2</v>
      </c>
      <c r="AF880">
        <v>4.6870968597599899E-2</v>
      </c>
      <c r="AG880">
        <v>-5.6616999999999897E-2</v>
      </c>
      <c r="AH880">
        <v>0.66392916594975304</v>
      </c>
      <c r="AI880">
        <v>94.862100911170799</v>
      </c>
      <c r="AJ880">
        <v>85.961827362338795</v>
      </c>
      <c r="AK880">
        <v>0.66798526165254002</v>
      </c>
    </row>
    <row r="881" spans="1:37" x14ac:dyDescent="0.2">
      <c r="A881" t="str">
        <f>"20200111150548678"</f>
        <v>20200111150548678</v>
      </c>
      <c r="B881" t="str">
        <f>"1578726348666563"</f>
        <v>1578726348666563</v>
      </c>
      <c r="C881" t="s">
        <v>37</v>
      </c>
      <c r="D881">
        <v>4.9027779999999996</v>
      </c>
      <c r="E881">
        <v>0.4918979</v>
      </c>
      <c r="F881" t="s">
        <v>38</v>
      </c>
      <c r="G881">
        <v>-445.23099999999999</v>
      </c>
      <c r="H881">
        <v>1.046942</v>
      </c>
      <c r="I881">
        <v>213.98679999999999</v>
      </c>
      <c r="J881">
        <v>-445.88319999999999</v>
      </c>
      <c r="K881">
        <v>1.1011869999999999</v>
      </c>
      <c r="L881">
        <v>214.0504</v>
      </c>
      <c r="M881">
        <v>0.99905059999999901</v>
      </c>
      <c r="N881">
        <v>0</v>
      </c>
      <c r="O881">
        <v>-4.3367790000000003E-2</v>
      </c>
      <c r="P881">
        <v>0.99149789999999904</v>
      </c>
      <c r="Q881">
        <v>0.10470639999999901</v>
      </c>
      <c r="R881">
        <v>7.7258590000000002E-2</v>
      </c>
      <c r="S881">
        <v>3.0654599999999999</v>
      </c>
      <c r="T881">
        <v>-0.17985989999999999</v>
      </c>
      <c r="U881">
        <v>-0.25233460000000002</v>
      </c>
      <c r="V881">
        <v>-0.11992079999999999</v>
      </c>
      <c r="W881">
        <v>0.10911939999999901</v>
      </c>
      <c r="X881">
        <v>0.98676839999999999</v>
      </c>
      <c r="Y881">
        <v>3.8746639999999999E-2</v>
      </c>
      <c r="Z881">
        <v>1.4025470000000001E-3</v>
      </c>
      <c r="AA881">
        <v>0.99924809999999997</v>
      </c>
      <c r="AB881">
        <v>28</v>
      </c>
      <c r="AC881">
        <v>0.65219999999999301</v>
      </c>
      <c r="AD881">
        <v>-5.4245000000000099E-2</v>
      </c>
      <c r="AE881">
        <v>-6.3600000000008095E-2</v>
      </c>
      <c r="AF881">
        <v>3.5015504667705498E-2</v>
      </c>
      <c r="AG881">
        <v>-5.4245000000000099E-2</v>
      </c>
      <c r="AH881">
        <v>0.64989123477270205</v>
      </c>
      <c r="AI881">
        <v>94.764415044192802</v>
      </c>
      <c r="AJ881">
        <v>86.915941369942303</v>
      </c>
      <c r="AK881">
        <v>0.65309051641140903</v>
      </c>
    </row>
    <row r="882" spans="1:37" x14ac:dyDescent="0.2">
      <c r="A882" t="str">
        <f>"20200111150548790"</f>
        <v>20200111150548790</v>
      </c>
      <c r="B882" t="str">
        <f>"1578726348786423"</f>
        <v>1578726348786423</v>
      </c>
      <c r="C882" t="s">
        <v>37</v>
      </c>
      <c r="D882">
        <v>4.9996479999999996</v>
      </c>
      <c r="E882">
        <v>0.48979209999999901</v>
      </c>
      <c r="F882" t="s">
        <v>66</v>
      </c>
      <c r="G882">
        <v>-426.85640000000001</v>
      </c>
      <c r="H882" s="1">
        <v>2.6353539999999998E-6</v>
      </c>
      <c r="I882">
        <v>215.9093</v>
      </c>
      <c r="J882">
        <v>-444.43709999999999</v>
      </c>
      <c r="K882">
        <v>1.102249</v>
      </c>
      <c r="L882">
        <v>213.98259999999999</v>
      </c>
      <c r="M882">
        <v>0.99896620000000003</v>
      </c>
      <c r="N882">
        <v>0</v>
      </c>
      <c r="O882">
        <v>-4.5264329999999998E-2</v>
      </c>
      <c r="P882">
        <v>0.99262169999999905</v>
      </c>
      <c r="Q882">
        <v>0.1012508</v>
      </c>
      <c r="R882">
        <v>6.6712489999999999E-2</v>
      </c>
      <c r="S882">
        <v>3.0211790000000001</v>
      </c>
      <c r="T882">
        <v>-0.1748519</v>
      </c>
      <c r="U882">
        <v>0.29516599999999998</v>
      </c>
      <c r="V882">
        <v>-0.1115932</v>
      </c>
      <c r="W882">
        <v>0.1054069</v>
      </c>
      <c r="X882">
        <v>0.98814789999999997</v>
      </c>
      <c r="Y882">
        <v>-0.141876</v>
      </c>
      <c r="Z882">
        <v>6.7045069999999898E-3</v>
      </c>
      <c r="AA882">
        <v>0.98986169999999996</v>
      </c>
      <c r="AB882">
        <v>29</v>
      </c>
      <c r="AC882">
        <v>17.580699999999901</v>
      </c>
      <c r="AD882">
        <v>-1.1022463646459999</v>
      </c>
      <c r="AE882">
        <v>1.9267000000000101</v>
      </c>
      <c r="AF882">
        <v>-2.7099847361276299</v>
      </c>
      <c r="AG882">
        <v>-1.1022463646459999</v>
      </c>
      <c r="AH882">
        <v>17.4078533510285</v>
      </c>
      <c r="AI882">
        <v>93.580062165932702</v>
      </c>
      <c r="AJ882">
        <v>98.848551576135307</v>
      </c>
      <c r="AK882">
        <v>17.651977866781301</v>
      </c>
    </row>
    <row r="883" spans="1:37" x14ac:dyDescent="0.2">
      <c r="A883" t="str">
        <f>"20200111150548813"</f>
        <v>20200111150548813</v>
      </c>
      <c r="B883" t="str">
        <f>"1578726348806920"</f>
        <v>1578726348806920</v>
      </c>
      <c r="C883" t="s">
        <v>37</v>
      </c>
      <c r="D883">
        <v>7.3988769999999997</v>
      </c>
      <c r="E883">
        <v>0.45248529999999998</v>
      </c>
      <c r="F883" t="s">
        <v>66</v>
      </c>
      <c r="G883">
        <v>-427.15949999999998</v>
      </c>
      <c r="H883" s="1">
        <v>2.6100220000000002E-6</v>
      </c>
      <c r="I883">
        <v>215.584</v>
      </c>
      <c r="J883">
        <v>-444.1343</v>
      </c>
      <c r="K883">
        <v>1.102541</v>
      </c>
      <c r="L883">
        <v>213.96940000000001</v>
      </c>
      <c r="M883">
        <v>0.99899559999999998</v>
      </c>
      <c r="N883">
        <v>0</v>
      </c>
      <c r="O883">
        <v>-4.4610190000000001E-2</v>
      </c>
      <c r="P883">
        <v>0.99229769999999995</v>
      </c>
      <c r="Q883">
        <v>0.1028603</v>
      </c>
      <c r="R883">
        <v>6.9029229999999997E-2</v>
      </c>
      <c r="S883">
        <v>3.0231319999999999</v>
      </c>
      <c r="T883">
        <v>-0.19286449999999999</v>
      </c>
      <c r="U883">
        <v>0.28019709999999998</v>
      </c>
      <c r="V883">
        <v>-0.113319</v>
      </c>
      <c r="W883">
        <v>0.10695259999999999</v>
      </c>
      <c r="X883">
        <v>0.98778539999999904</v>
      </c>
      <c r="Y883">
        <v>-0.13625229999999999</v>
      </c>
      <c r="Z883">
        <v>7.1703169999999998E-3</v>
      </c>
      <c r="AA883">
        <v>0.99064819999999998</v>
      </c>
      <c r="AB883">
        <v>29</v>
      </c>
      <c r="AC883">
        <v>16.974799999999998</v>
      </c>
      <c r="AD883">
        <v>-1.1025383899779999</v>
      </c>
      <c r="AE883">
        <v>1.61459999999999</v>
      </c>
      <c r="AF883">
        <v>-2.3603799125573599</v>
      </c>
      <c r="AG883">
        <v>-1.1025383899779999</v>
      </c>
      <c r="AH883">
        <v>16.815568833506902</v>
      </c>
      <c r="AI883">
        <v>93.714998634518807</v>
      </c>
      <c r="AJ883">
        <v>97.990329463912801</v>
      </c>
      <c r="AK883">
        <v>17.016178755155</v>
      </c>
    </row>
    <row r="884" spans="1:37" x14ac:dyDescent="0.2">
      <c r="A884" t="str">
        <f>"20200111150548834"</f>
        <v>20200111150548834</v>
      </c>
      <c r="B884" t="str">
        <f>"1578726348826439"</f>
        <v>1578726348826439</v>
      </c>
      <c r="C884" t="s">
        <v>37</v>
      </c>
      <c r="D884">
        <v>5.0962069999999997</v>
      </c>
      <c r="E884">
        <v>0.45353779999999999</v>
      </c>
      <c r="F884" t="s">
        <v>72</v>
      </c>
      <c r="G884">
        <v>-345.21820000000002</v>
      </c>
      <c r="H884">
        <v>4.2556389999999897</v>
      </c>
      <c r="I884">
        <v>233.4247</v>
      </c>
      <c r="J884">
        <v>-443.8571</v>
      </c>
      <c r="K884">
        <v>1.102827</v>
      </c>
      <c r="L884">
        <v>213.95779999999999</v>
      </c>
      <c r="M884">
        <v>0.99903940000000002</v>
      </c>
      <c r="N884">
        <v>0</v>
      </c>
      <c r="O884">
        <v>-4.3612629999999999E-2</v>
      </c>
      <c r="P884">
        <v>0.99184919999999999</v>
      </c>
      <c r="Q884">
        <v>0.10616199999999899</v>
      </c>
      <c r="R884">
        <v>7.0461709999999997E-2</v>
      </c>
      <c r="S884">
        <v>2.9727779999999999</v>
      </c>
      <c r="T884">
        <v>9.4763159999999999E-2</v>
      </c>
      <c r="U884">
        <v>0.58470149999999999</v>
      </c>
      <c r="V884">
        <v>-0.11382009999999999</v>
      </c>
      <c r="W884">
        <v>0.1101925</v>
      </c>
      <c r="X884">
        <v>0.98737160000000002</v>
      </c>
      <c r="Y884">
        <v>-0.23546049999999999</v>
      </c>
      <c r="Z884">
        <v>-5.0942130000000002E-3</v>
      </c>
      <c r="AA884">
        <v>0.97187049999999997</v>
      </c>
      <c r="AB884">
        <v>29</v>
      </c>
      <c r="AC884">
        <v>98.638899999999893</v>
      </c>
      <c r="AD884">
        <v>3.1528119999999902</v>
      </c>
      <c r="AE884">
        <v>19.466899999999999</v>
      </c>
      <c r="AF884">
        <v>-23.726986472635701</v>
      </c>
      <c r="AG884">
        <v>3.1528119999999902</v>
      </c>
      <c r="AH884">
        <v>97.600060145003198</v>
      </c>
      <c r="AI884">
        <v>88.202124416368207</v>
      </c>
      <c r="AJ884">
        <v>103.663786401705</v>
      </c>
      <c r="AK884">
        <v>100.49219796028</v>
      </c>
    </row>
    <row r="885" spans="1:37" x14ac:dyDescent="0.2">
      <c r="A885" t="str">
        <f>"20200111150548856"</f>
        <v>20200111150548856</v>
      </c>
      <c r="B885" t="str">
        <f>"1578726348846935"</f>
        <v>1578726348846935</v>
      </c>
      <c r="C885" t="s">
        <v>37</v>
      </c>
      <c r="D885">
        <v>5.0760230000000002</v>
      </c>
      <c r="E885">
        <v>0.523976</v>
      </c>
      <c r="F885" t="s">
        <v>72</v>
      </c>
      <c r="G885">
        <v>-345.21820000000002</v>
      </c>
      <c r="H885">
        <v>1.219106</v>
      </c>
      <c r="I885">
        <v>233.16550000000001</v>
      </c>
      <c r="J885">
        <v>-443.55889999999999</v>
      </c>
      <c r="K885">
        <v>1.1031309999999901</v>
      </c>
      <c r="L885">
        <v>213.946</v>
      </c>
      <c r="M885">
        <v>0.99910129999999997</v>
      </c>
      <c r="N885">
        <v>0</v>
      </c>
      <c r="O885">
        <v>-4.21693E-2</v>
      </c>
      <c r="P885">
        <v>0.99153729999999995</v>
      </c>
      <c r="Q885">
        <v>0.1086203</v>
      </c>
      <c r="R885">
        <v>7.1102070000000003E-2</v>
      </c>
      <c r="S885">
        <v>2.9830019999999999</v>
      </c>
      <c r="T885">
        <v>3.5179849999999999E-3</v>
      </c>
      <c r="U885">
        <v>0.58087159999999904</v>
      </c>
      <c r="V885">
        <v>-0.1131016</v>
      </c>
      <c r="W885">
        <v>0.1125922</v>
      </c>
      <c r="X885">
        <v>0.98718340000000004</v>
      </c>
      <c r="Y885">
        <v>-0.23235909999999901</v>
      </c>
      <c r="Z885">
        <v>-1.8504989999999999E-4</v>
      </c>
      <c r="AA885">
        <v>0.97263009999999905</v>
      </c>
      <c r="AB885">
        <v>29</v>
      </c>
      <c r="AC885">
        <v>98.340699999999899</v>
      </c>
      <c r="AD885">
        <v>0.11597499999999999</v>
      </c>
      <c r="AE885">
        <v>19.2195</v>
      </c>
      <c r="AF885">
        <v>-23.349368780376501</v>
      </c>
      <c r="AG885">
        <v>0.11597499999999999</v>
      </c>
      <c r="AH885">
        <v>97.442611489793094</v>
      </c>
      <c r="AI885">
        <v>89.933684593499905</v>
      </c>
      <c r="AJ885">
        <v>103.475239549682</v>
      </c>
      <c r="AK885">
        <v>100.20114274095501</v>
      </c>
    </row>
    <row r="886" spans="1:37" x14ac:dyDescent="0.2">
      <c r="A886" t="str">
        <f>"20200111150548879"</f>
        <v>20200111150548879</v>
      </c>
      <c r="B886" t="str">
        <f>"1578726348876215"</f>
        <v>1578726348876215</v>
      </c>
      <c r="C886" t="s">
        <v>37</v>
      </c>
      <c r="D886">
        <v>9.2855249999999998</v>
      </c>
      <c r="E886">
        <v>0.52742579999999994</v>
      </c>
      <c r="F886" t="s">
        <v>38</v>
      </c>
      <c r="G886">
        <v>-442.65230000000003</v>
      </c>
      <c r="H886">
        <v>0.98556350000000004</v>
      </c>
      <c r="I886">
        <v>213.95269999999999</v>
      </c>
      <c r="J886">
        <v>-443.267</v>
      </c>
      <c r="K886">
        <v>1.103418</v>
      </c>
      <c r="L886">
        <v>213.93530000000001</v>
      </c>
      <c r="M886">
        <v>0.99917420000000001</v>
      </c>
      <c r="N886">
        <v>0</v>
      </c>
      <c r="O886">
        <v>-4.0408180000000002E-2</v>
      </c>
      <c r="P886">
        <v>0.99129690000000004</v>
      </c>
      <c r="Q886">
        <v>0.110561799999999</v>
      </c>
      <c r="R886">
        <v>7.1462440000000002E-2</v>
      </c>
      <c r="S886">
        <v>3.0675349999999999</v>
      </c>
      <c r="T886">
        <v>-0.3983778</v>
      </c>
      <c r="U886">
        <v>2.4093630000000001E-2</v>
      </c>
      <c r="V886">
        <v>-0.11179210000000001</v>
      </c>
      <c r="W886">
        <v>0.114481</v>
      </c>
      <c r="X886">
        <v>0.98711530000000003</v>
      </c>
      <c r="Y886">
        <v>-4.7516790000000003E-2</v>
      </c>
      <c r="Z886">
        <v>8.2974620000000002E-3</v>
      </c>
      <c r="AA886">
        <v>0.99883599999999995</v>
      </c>
      <c r="AB886">
        <v>30</v>
      </c>
      <c r="AC886">
        <v>0.61469999999997005</v>
      </c>
      <c r="AD886">
        <v>-0.117854499999999</v>
      </c>
      <c r="AE886">
        <v>1.7399999999980698E-2</v>
      </c>
      <c r="AF886">
        <v>-4.0728956665533202E-2</v>
      </c>
      <c r="AG886">
        <v>-0.117854499999999</v>
      </c>
      <c r="AH886">
        <v>0.59175964105010004</v>
      </c>
      <c r="AI886">
        <v>101.23770813356199</v>
      </c>
      <c r="AJ886">
        <v>93.937279160552393</v>
      </c>
      <c r="AK886">
        <v>0.60475449883159704</v>
      </c>
    </row>
    <row r="887" spans="1:37" x14ac:dyDescent="0.2">
      <c r="A887" t="str">
        <f>"20200111150548904"</f>
        <v>20200111150548904</v>
      </c>
      <c r="B887" t="str">
        <f>"1578726348896711"</f>
        <v>1578726348896711</v>
      </c>
      <c r="C887" t="s">
        <v>37</v>
      </c>
      <c r="D887">
        <v>6.3715669999999998</v>
      </c>
      <c r="E887">
        <v>0.52983649999999904</v>
      </c>
      <c r="F887" t="s">
        <v>66</v>
      </c>
      <c r="G887">
        <v>-427.56689999999998</v>
      </c>
      <c r="H887" s="1">
        <v>2.682563E-6</v>
      </c>
      <c r="I887">
        <v>213.92769999999999</v>
      </c>
      <c r="J887">
        <v>-442.92399999999998</v>
      </c>
      <c r="K887">
        <v>1.103745</v>
      </c>
      <c r="L887">
        <v>213.9237</v>
      </c>
      <c r="M887">
        <v>0.9992721</v>
      </c>
      <c r="N887">
        <v>0</v>
      </c>
      <c r="O887">
        <v>-3.7901459999999998E-2</v>
      </c>
      <c r="P887">
        <v>0.99107520000000005</v>
      </c>
      <c r="Q887">
        <v>0.1117046</v>
      </c>
      <c r="R887">
        <v>7.2747389999999995E-2</v>
      </c>
      <c r="S887">
        <v>3.0503230000000001</v>
      </c>
      <c r="T887">
        <v>-0.21437880000000001</v>
      </c>
      <c r="U887">
        <v>-1.480103E-3</v>
      </c>
      <c r="V887">
        <v>-0.110684199999999</v>
      </c>
      <c r="W887">
        <v>0.11556619999999999</v>
      </c>
      <c r="X887">
        <v>0.98711369999999898</v>
      </c>
      <c r="Y887">
        <v>-3.7231640000000003E-2</v>
      </c>
      <c r="Z887">
        <v>3.96672E-3</v>
      </c>
      <c r="AA887">
        <v>0.99929880000000004</v>
      </c>
      <c r="AB887">
        <v>30</v>
      </c>
      <c r="AC887">
        <v>15.357100000000001</v>
      </c>
      <c r="AD887">
        <v>-1.103742317437</v>
      </c>
      <c r="AE887">
        <v>3.9999999999906699E-3</v>
      </c>
      <c r="AF887">
        <v>-0.58304733128186803</v>
      </c>
      <c r="AG887">
        <v>-1.103742317437</v>
      </c>
      <c r="AH887">
        <v>15.267051044204701</v>
      </c>
      <c r="AI887">
        <v>94.132043299705202</v>
      </c>
      <c r="AJ887">
        <v>92.187057921219306</v>
      </c>
      <c r="AK887">
        <v>15.317997221574601</v>
      </c>
    </row>
    <row r="888" spans="1:37" x14ac:dyDescent="0.2">
      <c r="A888" t="str">
        <f>"20200111150548925"</f>
        <v>20200111150548925</v>
      </c>
      <c r="B888" t="str">
        <f>"1578726348916231"</f>
        <v>1578726348916231</v>
      </c>
      <c r="C888" t="s">
        <v>37</v>
      </c>
      <c r="D888">
        <v>4.6828149999999997</v>
      </c>
      <c r="E888">
        <v>0.53114220000000001</v>
      </c>
      <c r="F888" t="s">
        <v>66</v>
      </c>
      <c r="G888">
        <v>-416.39280000000002</v>
      </c>
      <c r="H888" s="1">
        <v>3.4134039999999999E-6</v>
      </c>
      <c r="I888">
        <v>213.77359999999999</v>
      </c>
      <c r="J888">
        <v>-442.65199999999999</v>
      </c>
      <c r="K888">
        <v>1.104007</v>
      </c>
      <c r="L888">
        <v>213.91550000000001</v>
      </c>
      <c r="M888">
        <v>0.99935669999999899</v>
      </c>
      <c r="N888">
        <v>0</v>
      </c>
      <c r="O888">
        <v>-3.5599350000000002E-2</v>
      </c>
      <c r="P888">
        <v>0.99079609999999996</v>
      </c>
      <c r="Q888">
        <v>0.112872499999999</v>
      </c>
      <c r="R888">
        <v>7.4717110000000003E-2</v>
      </c>
      <c r="S888">
        <v>3.0425719999999998</v>
      </c>
      <c r="T888">
        <v>-0.1265763</v>
      </c>
      <c r="U888">
        <v>-1.721191E-2</v>
      </c>
      <c r="V888">
        <v>-0.11044320000000001</v>
      </c>
      <c r="W888">
        <v>0.11668869999999899</v>
      </c>
      <c r="X888">
        <v>0.98700859999999901</v>
      </c>
      <c r="Y888">
        <v>-2.9889140000000002E-2</v>
      </c>
      <c r="Z888">
        <v>2.1015309999999998E-3</v>
      </c>
      <c r="AA888">
        <v>0.99955099999999997</v>
      </c>
      <c r="AB888">
        <v>30</v>
      </c>
      <c r="AC888">
        <v>26.2591999999999</v>
      </c>
      <c r="AD888">
        <v>-1.1040035865960001</v>
      </c>
      <c r="AE888">
        <v>-0.14190000000002001</v>
      </c>
      <c r="AF888">
        <v>-0.79161002915836998</v>
      </c>
      <c r="AG888">
        <v>-1.1040035865960001</v>
      </c>
      <c r="AH888">
        <v>26.2012952671645</v>
      </c>
      <c r="AI888">
        <v>92.411657609390005</v>
      </c>
      <c r="AJ888">
        <v>91.730529748399505</v>
      </c>
      <c r="AK888">
        <v>26.23648879013</v>
      </c>
    </row>
    <row r="889" spans="1:37" x14ac:dyDescent="0.2">
      <c r="A889" t="str">
        <f>"20200111150548945"</f>
        <v>20200111150548945</v>
      </c>
      <c r="B889" t="str">
        <f>"1578726348936728"</f>
        <v>1578726348936728</v>
      </c>
      <c r="C889" t="s">
        <v>37</v>
      </c>
      <c r="D889">
        <v>4.6474120000000001</v>
      </c>
      <c r="E889">
        <v>0.54491880000000004</v>
      </c>
      <c r="F889" t="s">
        <v>66</v>
      </c>
      <c r="G889">
        <v>-407.54809999999998</v>
      </c>
      <c r="H889" s="1">
        <v>5.2523349999999996E-6</v>
      </c>
      <c r="I889">
        <v>213.66120000000001</v>
      </c>
      <c r="J889">
        <v>-442.36849999999998</v>
      </c>
      <c r="K889">
        <v>1.1042639999999999</v>
      </c>
      <c r="L889">
        <v>213.90780000000001</v>
      </c>
      <c r="M889">
        <v>0.99944789999999994</v>
      </c>
      <c r="N889">
        <v>0</v>
      </c>
      <c r="O889">
        <v>-3.2936809999999997E-2</v>
      </c>
      <c r="P889">
        <v>0.99044080000000001</v>
      </c>
      <c r="Q889">
        <v>0.1143245</v>
      </c>
      <c r="R889">
        <v>7.7182710000000002E-2</v>
      </c>
      <c r="S889">
        <v>3.040375</v>
      </c>
      <c r="T889">
        <v>-9.561849E-2</v>
      </c>
      <c r="U889">
        <v>-2.2018429999999999E-2</v>
      </c>
      <c r="V889">
        <v>-0.1103423</v>
      </c>
      <c r="W889">
        <v>0.11809649999999999</v>
      </c>
      <c r="X889">
        <v>0.98685249999999902</v>
      </c>
      <c r="Y889">
        <v>-2.566939E-2</v>
      </c>
      <c r="Z889">
        <v>1.4389579999999999E-3</v>
      </c>
      <c r="AA889">
        <v>0.99966939999999904</v>
      </c>
      <c r="AB889">
        <v>30</v>
      </c>
      <c r="AC889">
        <v>34.820399999999999</v>
      </c>
      <c r="AD889">
        <v>-1.1042587476649901</v>
      </c>
      <c r="AE889">
        <v>-0.24660000000000001</v>
      </c>
      <c r="AF889">
        <v>-0.89951302176390602</v>
      </c>
      <c r="AG889">
        <v>-1.1042587476649901</v>
      </c>
      <c r="AH889">
        <v>34.774658060591598</v>
      </c>
      <c r="AI889">
        <v>91.818191212885196</v>
      </c>
      <c r="AJ889">
        <v>91.481734473913406</v>
      </c>
      <c r="AK889">
        <v>34.803812352803902</v>
      </c>
    </row>
    <row r="890" spans="1:37" x14ac:dyDescent="0.2">
      <c r="A890" t="str">
        <f>"20200111150549571"</f>
        <v>20200111150549571</v>
      </c>
      <c r="B890" t="str">
        <f>"1578726349566289"</f>
        <v>1578726349566289</v>
      </c>
      <c r="C890" t="s">
        <v>37</v>
      </c>
      <c r="D890">
        <v>5.0123300000000004</v>
      </c>
      <c r="E890">
        <v>0.55779209999999901</v>
      </c>
      <c r="F890" t="s">
        <v>61</v>
      </c>
      <c r="G890">
        <v>-169.72190000000001</v>
      </c>
      <c r="H890">
        <v>34.93665</v>
      </c>
      <c r="I890">
        <v>202.47620000000001</v>
      </c>
      <c r="J890">
        <v>-433.40410000000003</v>
      </c>
      <c r="K890">
        <v>1.103602</v>
      </c>
      <c r="L890">
        <v>214.0694</v>
      </c>
      <c r="M890">
        <v>0.99899979999999999</v>
      </c>
      <c r="N890">
        <v>0</v>
      </c>
      <c r="O890">
        <v>4.4453880000000001E-2</v>
      </c>
      <c r="P890">
        <v>0.98302409999999996</v>
      </c>
      <c r="Q890">
        <v>0.1146047</v>
      </c>
      <c r="R890">
        <v>0.14328189999999999</v>
      </c>
      <c r="S890">
        <v>2.9958499999999999</v>
      </c>
      <c r="T890">
        <v>0.37175180000000002</v>
      </c>
      <c r="U890">
        <v>-0.12561040000000001</v>
      </c>
      <c r="V890">
        <v>-9.9841890000000003E-2</v>
      </c>
      <c r="W890">
        <v>0.1190619</v>
      </c>
      <c r="X890">
        <v>0.98785419999999902</v>
      </c>
      <c r="Y890">
        <v>8.5271780000000005E-2</v>
      </c>
      <c r="Z890">
        <v>1.076089E-2</v>
      </c>
      <c r="AA890">
        <v>0.99629959999999995</v>
      </c>
      <c r="AB890">
        <v>34</v>
      </c>
      <c r="AC890">
        <v>263.68220000000002</v>
      </c>
      <c r="AD890">
        <v>33.833047999999998</v>
      </c>
      <c r="AE890">
        <v>-11.5931999999999</v>
      </c>
      <c r="AF890">
        <v>22.9268457416348</v>
      </c>
      <c r="AG890">
        <v>33.833047999999998</v>
      </c>
      <c r="AH890">
        <v>258.656006705469</v>
      </c>
      <c r="AI890">
        <v>82.576612510047994</v>
      </c>
      <c r="AJ890">
        <v>84.934633844803599</v>
      </c>
      <c r="AK890">
        <v>261.86493693782501</v>
      </c>
    </row>
    <row r="891" spans="1:37" x14ac:dyDescent="0.2">
      <c r="A891" t="str">
        <f>"20200111150549593"</f>
        <v>20200111150549593</v>
      </c>
      <c r="B891" t="str">
        <f>"1578726349586786"</f>
        <v>1578726349586786</v>
      </c>
      <c r="C891" t="s">
        <v>37</v>
      </c>
      <c r="D891">
        <v>4.6705990000000002</v>
      </c>
      <c r="E891">
        <v>0.5591621</v>
      </c>
      <c r="F891" t="s">
        <v>73</v>
      </c>
      <c r="G891">
        <v>-107.39749999999999</v>
      </c>
      <c r="H891">
        <v>37.146940000000001</v>
      </c>
      <c r="I891">
        <v>211.25299999999999</v>
      </c>
      <c r="J891">
        <v>-433.070999999999</v>
      </c>
      <c r="K891">
        <v>1.1034930000000001</v>
      </c>
      <c r="L891">
        <v>214.08529999999999</v>
      </c>
      <c r="M891">
        <v>0.99894649999999996</v>
      </c>
      <c r="N891">
        <v>0</v>
      </c>
      <c r="O891">
        <v>4.5633840000000002E-2</v>
      </c>
      <c r="P891">
        <v>0.98285599999999995</v>
      </c>
      <c r="Q891">
        <v>0.1156027</v>
      </c>
      <c r="R891">
        <v>0.14363239999999999</v>
      </c>
      <c r="S891">
        <v>3.016724</v>
      </c>
      <c r="T891">
        <v>0.33352979999999999</v>
      </c>
      <c r="U891">
        <v>-2.606201E-2</v>
      </c>
      <c r="V891">
        <v>-9.9000679999999994E-2</v>
      </c>
      <c r="W891">
        <v>0.120108199999999</v>
      </c>
      <c r="X891">
        <v>0.98781219999999903</v>
      </c>
      <c r="Y891">
        <v>5.3657660000000003E-2</v>
      </c>
      <c r="Z891">
        <v>7.9860039999999997E-3</v>
      </c>
      <c r="AA891">
        <v>0.99852750000000001</v>
      </c>
      <c r="AB891">
        <v>34</v>
      </c>
      <c r="AC891">
        <v>325.67349999999999</v>
      </c>
      <c r="AD891">
        <v>36.043447</v>
      </c>
      <c r="AE891">
        <v>-2.8323</v>
      </c>
      <c r="AF891">
        <v>17.477200224907701</v>
      </c>
      <c r="AG891">
        <v>36.043447</v>
      </c>
      <c r="AH891">
        <v>321.27014211565898</v>
      </c>
      <c r="AI891">
        <v>83.608099901910606</v>
      </c>
      <c r="AJ891">
        <v>86.886160232913895</v>
      </c>
      <c r="AK891">
        <v>323.75775946586799</v>
      </c>
    </row>
    <row r="892" spans="1:37" x14ac:dyDescent="0.2">
      <c r="A892" t="str">
        <f>"20200111150549838"</f>
        <v>20200111150549838</v>
      </c>
      <c r="B892" t="str">
        <f>"1578726349836641"</f>
        <v>1578726349836641</v>
      </c>
      <c r="C892" t="s">
        <v>37</v>
      </c>
      <c r="D892">
        <v>5.0841589999999997</v>
      </c>
      <c r="E892">
        <v>0.63402769999999897</v>
      </c>
      <c r="F892" t="s">
        <v>73</v>
      </c>
      <c r="G892">
        <v>-107.39749999999999</v>
      </c>
      <c r="H892">
        <v>33.19323</v>
      </c>
      <c r="I892">
        <v>210.2988</v>
      </c>
      <c r="J892">
        <v>-429.23630000000003</v>
      </c>
      <c r="K892">
        <v>1.1028610000000001</v>
      </c>
      <c r="L892">
        <v>214.28749999999999</v>
      </c>
      <c r="M892">
        <v>0.99848119999999996</v>
      </c>
      <c r="N892">
        <v>0</v>
      </c>
      <c r="O892">
        <v>5.4859310000000001E-2</v>
      </c>
      <c r="P892">
        <v>0.98438389999999998</v>
      </c>
      <c r="Q892">
        <v>0.1060113</v>
      </c>
      <c r="R892">
        <v>0.14053499999999999</v>
      </c>
      <c r="S892">
        <v>3.0224299999999999</v>
      </c>
      <c r="T892">
        <v>0.29781089999999999</v>
      </c>
      <c r="U892">
        <v>-3.5140989999999997E-2</v>
      </c>
      <c r="V892">
        <v>-8.6465589999999995E-2</v>
      </c>
      <c r="W892">
        <v>0.1109337</v>
      </c>
      <c r="X892">
        <v>0.99005929999999998</v>
      </c>
      <c r="Y892">
        <v>6.5880220000000003E-2</v>
      </c>
      <c r="Z892">
        <v>8.6284669999999904E-3</v>
      </c>
      <c r="AA892">
        <v>0.99779019999999996</v>
      </c>
      <c r="AB892">
        <v>35</v>
      </c>
      <c r="AC892">
        <v>321.83879999999999</v>
      </c>
      <c r="AD892">
        <v>32.090369000000003</v>
      </c>
      <c r="AE892">
        <v>-3.9886999999999899</v>
      </c>
      <c r="AF892">
        <v>21.425793092264701</v>
      </c>
      <c r="AG892">
        <v>32.090369000000003</v>
      </c>
      <c r="AH892">
        <v>317.97449973765202</v>
      </c>
      <c r="AI892">
        <v>84.250104014425006</v>
      </c>
      <c r="AJ892">
        <v>86.1451165399057</v>
      </c>
      <c r="AK892">
        <v>320.30710088225999</v>
      </c>
    </row>
    <row r="893" spans="1:37" x14ac:dyDescent="0.2">
      <c r="A893" t="str">
        <f>"20200111150549862"</f>
        <v>20200111150549862</v>
      </c>
      <c r="B893" t="str">
        <f>"1578726349856161"</f>
        <v>1578726349856161</v>
      </c>
      <c r="C893" t="s">
        <v>37</v>
      </c>
      <c r="D893">
        <v>4.9596589999999896</v>
      </c>
      <c r="E893">
        <v>0.6321715</v>
      </c>
      <c r="F893" t="s">
        <v>66</v>
      </c>
      <c r="G893">
        <v>-418.20280000000002</v>
      </c>
      <c r="H893" s="1">
        <v>3.8797679999999996E-6</v>
      </c>
      <c r="I893">
        <v>212.11150000000001</v>
      </c>
      <c r="J893">
        <v>-428.88220000000001</v>
      </c>
      <c r="K893">
        <v>1.102773</v>
      </c>
      <c r="L893">
        <v>214.3073</v>
      </c>
      <c r="M893">
        <v>0.99846420000000002</v>
      </c>
      <c r="N893">
        <v>0</v>
      </c>
      <c r="O893">
        <v>5.5165310000000002E-2</v>
      </c>
      <c r="P893">
        <v>0.98417359999999898</v>
      </c>
      <c r="Q893">
        <v>0.11097899999999999</v>
      </c>
      <c r="R893">
        <v>0.13815189999999999</v>
      </c>
      <c r="S893">
        <v>3.1709900000000002</v>
      </c>
      <c r="T893">
        <v>-0.31695839999999997</v>
      </c>
      <c r="U893">
        <v>-0.62538149999999904</v>
      </c>
      <c r="V893">
        <v>-8.3767610000000006E-2</v>
      </c>
      <c r="W893">
        <v>0.1159475</v>
      </c>
      <c r="X893">
        <v>0.98971669999999901</v>
      </c>
      <c r="Y893">
        <v>0.24587349999999999</v>
      </c>
      <c r="Z893">
        <v>-1.759523E-2</v>
      </c>
      <c r="AA893">
        <v>0.96914219999999895</v>
      </c>
      <c r="AB893">
        <v>36</v>
      </c>
      <c r="AC893">
        <v>10.6793999999999</v>
      </c>
      <c r="AD893">
        <v>-1.102769120232</v>
      </c>
      <c r="AE893">
        <v>-2.19579999999999</v>
      </c>
      <c r="AF893">
        <v>2.7534276245263598</v>
      </c>
      <c r="AG893">
        <v>-1.102769120232</v>
      </c>
      <c r="AH893">
        <v>10.435246990269301</v>
      </c>
      <c r="AI893">
        <v>95.834247085295999</v>
      </c>
      <c r="AJ893">
        <v>75.218906868658706</v>
      </c>
      <c r="AK893">
        <v>10.8485871505909</v>
      </c>
    </row>
    <row r="894" spans="1:37" x14ac:dyDescent="0.2">
      <c r="A894" t="str">
        <f>"20200111150549883"</f>
        <v>20200111150549883</v>
      </c>
      <c r="B894" t="str">
        <f>"1578726349876657"</f>
        <v>1578726349876657</v>
      </c>
      <c r="C894" t="s">
        <v>37</v>
      </c>
      <c r="D894">
        <v>5.4696210000000001</v>
      </c>
      <c r="E894">
        <v>0.63165769999999899</v>
      </c>
      <c r="F894" t="s">
        <v>66</v>
      </c>
      <c r="G894">
        <v>-412.33870000000002</v>
      </c>
      <c r="H894" s="1">
        <v>2.9315269999999999E-6</v>
      </c>
      <c r="I894">
        <v>211.0598</v>
      </c>
      <c r="J894">
        <v>-428.53199999999998</v>
      </c>
      <c r="K894">
        <v>1.102695</v>
      </c>
      <c r="L894">
        <v>214.32679999999999</v>
      </c>
      <c r="M894">
        <v>0.99845499999999998</v>
      </c>
      <c r="N894">
        <v>0</v>
      </c>
      <c r="O894">
        <v>5.5330509999999999E-2</v>
      </c>
      <c r="P894">
        <v>0.98413280000000003</v>
      </c>
      <c r="Q894">
        <v>0.1148035</v>
      </c>
      <c r="R894">
        <v>0.13528809999999999</v>
      </c>
      <c r="S894">
        <v>3.1590579999999999</v>
      </c>
      <c r="T894">
        <v>-0.210579299999999</v>
      </c>
      <c r="U894">
        <v>-0.62011719999999904</v>
      </c>
      <c r="V894">
        <v>-8.0717999999999998E-2</v>
      </c>
      <c r="W894">
        <v>0.11981700000000001</v>
      </c>
      <c r="X894">
        <v>0.98950919999999898</v>
      </c>
      <c r="Y894">
        <v>0.24597649999999999</v>
      </c>
      <c r="Z894">
        <v>-1.1765060000000001E-2</v>
      </c>
      <c r="AA894">
        <v>0.96920439999999997</v>
      </c>
      <c r="AB894">
        <v>36</v>
      </c>
      <c r="AC894">
        <v>16.193299999999901</v>
      </c>
      <c r="AD894">
        <v>-1.1026920684729999</v>
      </c>
      <c r="AE894">
        <v>-3.2669999999999901</v>
      </c>
      <c r="AF894">
        <v>4.1395460314807204</v>
      </c>
      <c r="AG894">
        <v>-1.1026920684729999</v>
      </c>
      <c r="AH894">
        <v>15.916805904184701</v>
      </c>
      <c r="AI894">
        <v>93.835829932361705</v>
      </c>
      <c r="AJ894">
        <v>75.421816996262805</v>
      </c>
      <c r="AK894">
        <v>16.4832181729209</v>
      </c>
    </row>
    <row r="895" spans="1:37" x14ac:dyDescent="0.2">
      <c r="A895" t="str">
        <f>"20200111150549905"</f>
        <v>20200111150549905</v>
      </c>
      <c r="B895" t="str">
        <f>"1578726349897153"</f>
        <v>1578726349897153</v>
      </c>
      <c r="C895" t="s">
        <v>37</v>
      </c>
      <c r="D895">
        <v>5.1166179999999999</v>
      </c>
      <c r="E895">
        <v>0.63432299999999997</v>
      </c>
      <c r="F895" t="s">
        <v>74</v>
      </c>
      <c r="G895">
        <v>-260.50259999999997</v>
      </c>
      <c r="H895">
        <v>23.48706</v>
      </c>
      <c r="I895">
        <v>179.7542</v>
      </c>
      <c r="J895">
        <v>-428.16449999999998</v>
      </c>
      <c r="K895">
        <v>1.1026049999999901</v>
      </c>
      <c r="L895">
        <v>214.34710000000001</v>
      </c>
      <c r="M895">
        <v>0.99845289999999998</v>
      </c>
      <c r="N895">
        <v>0</v>
      </c>
      <c r="O895">
        <v>5.5366909999999998E-2</v>
      </c>
      <c r="P895">
        <v>0.98409799999999903</v>
      </c>
      <c r="Q895">
        <v>0.11863599999999901</v>
      </c>
      <c r="R895">
        <v>0.1322007</v>
      </c>
      <c r="S895">
        <v>3.0876769999999998</v>
      </c>
      <c r="T895">
        <v>0.41133140000000001</v>
      </c>
      <c r="U895">
        <v>-0.63529969999999902</v>
      </c>
      <c r="V895">
        <v>-7.7570570000000005E-2</v>
      </c>
      <c r="W895">
        <v>0.123693699999999</v>
      </c>
      <c r="X895">
        <v>0.98928389999999999</v>
      </c>
      <c r="Y895">
        <v>0.25283430000000001</v>
      </c>
      <c r="Z895">
        <v>2.387106E-2</v>
      </c>
      <c r="AA895">
        <v>0.96721509999999999</v>
      </c>
      <c r="AB895">
        <v>36</v>
      </c>
      <c r="AC895">
        <v>167.6619</v>
      </c>
      <c r="AD895">
        <v>22.384454999999999</v>
      </c>
      <c r="AE895">
        <v>-34.5929</v>
      </c>
      <c r="AF895">
        <v>43.086235370025399</v>
      </c>
      <c r="AG895">
        <v>22.384454999999999</v>
      </c>
      <c r="AH895">
        <v>162.70757983360301</v>
      </c>
      <c r="AI895">
        <v>82.424635957076006</v>
      </c>
      <c r="AJ895">
        <v>75.168063381862197</v>
      </c>
      <c r="AK895">
        <v>169.79765616555599</v>
      </c>
    </row>
    <row r="896" spans="1:37" x14ac:dyDescent="0.2">
      <c r="A896" t="str">
        <f>"20200111150549928"</f>
        <v>20200111150549928</v>
      </c>
      <c r="B896" t="str">
        <f>"1578726349926434"</f>
        <v>1578726349926434</v>
      </c>
      <c r="C896" t="s">
        <v>37</v>
      </c>
      <c r="D896">
        <v>5.158976</v>
      </c>
      <c r="E896">
        <v>0.63055749999999999</v>
      </c>
      <c r="F896" t="s">
        <v>66</v>
      </c>
      <c r="G896">
        <v>-400.53699999999998</v>
      </c>
      <c r="H896">
        <v>8.0001760000000005E-2</v>
      </c>
      <c r="I896">
        <v>208.58420000000001</v>
      </c>
      <c r="J896">
        <v>-427.79880000000003</v>
      </c>
      <c r="K896">
        <v>1.10253</v>
      </c>
      <c r="L896">
        <v>214.3673</v>
      </c>
      <c r="M896">
        <v>0.99845699999999904</v>
      </c>
      <c r="N896">
        <v>0</v>
      </c>
      <c r="O896">
        <v>5.5288709999999998E-2</v>
      </c>
      <c r="P896">
        <v>0.98413229999999996</v>
      </c>
      <c r="Q896">
        <v>0.1216141</v>
      </c>
      <c r="R896">
        <v>0.12920380000000001</v>
      </c>
      <c r="S896">
        <v>3.1508790000000002</v>
      </c>
      <c r="T896">
        <v>-0.1166261</v>
      </c>
      <c r="U896">
        <v>-0.65725710000000004</v>
      </c>
      <c r="V896">
        <v>-7.4624850000000006E-2</v>
      </c>
      <c r="W896">
        <v>0.12671669999999999</v>
      </c>
      <c r="X896">
        <v>0.98912789999999995</v>
      </c>
      <c r="Y896">
        <v>0.25780570000000003</v>
      </c>
      <c r="Z896">
        <v>-6.7449579999999997E-3</v>
      </c>
      <c r="AA896">
        <v>0.96617319999999995</v>
      </c>
      <c r="AB896">
        <v>36</v>
      </c>
      <c r="AC896">
        <v>27.261800000000001</v>
      </c>
      <c r="AD896">
        <v>-1.02252824</v>
      </c>
      <c r="AE896">
        <v>-5.7830999999999904</v>
      </c>
      <c r="AF896">
        <v>7.2717543335916703</v>
      </c>
      <c r="AG896">
        <v>-1.02252824</v>
      </c>
      <c r="AH896">
        <v>26.864189192286801</v>
      </c>
      <c r="AI896">
        <v>92.104138143659497</v>
      </c>
      <c r="AJ896">
        <v>74.853808031928494</v>
      </c>
      <c r="AK896">
        <v>27.849751094914399</v>
      </c>
    </row>
    <row r="897" spans="1:37" x14ac:dyDescent="0.2">
      <c r="A897" t="str">
        <f>"20200111150549951"</f>
        <v>20200111150549951</v>
      </c>
      <c r="B897" t="str">
        <f>"1578726349946929"</f>
        <v>1578726349946929</v>
      </c>
      <c r="C897" t="s">
        <v>37</v>
      </c>
      <c r="D897">
        <v>5.1116289999999998</v>
      </c>
      <c r="E897">
        <v>0.63250869999999904</v>
      </c>
      <c r="F897" t="s">
        <v>75</v>
      </c>
      <c r="G897">
        <v>-353.3571</v>
      </c>
      <c r="H897">
        <v>0.206245399999999</v>
      </c>
      <c r="I897">
        <v>199.23070000000001</v>
      </c>
      <c r="J897">
        <v>-427.43020000000001</v>
      </c>
      <c r="K897">
        <v>1.1024659999999999</v>
      </c>
      <c r="L897">
        <v>214.38759999999999</v>
      </c>
      <c r="M897">
        <v>0.99846579999999996</v>
      </c>
      <c r="N897">
        <v>0</v>
      </c>
      <c r="O897">
        <v>5.5126559999999998E-2</v>
      </c>
      <c r="P897">
        <v>0.98426759999999902</v>
      </c>
      <c r="Q897">
        <v>0.12337679999999999</v>
      </c>
      <c r="R897">
        <v>0.12647359999999999</v>
      </c>
      <c r="S897">
        <v>3.1367799999999999</v>
      </c>
      <c r="T897">
        <v>-3.7766580000000001E-2</v>
      </c>
      <c r="U897">
        <v>-0.63781739999999998</v>
      </c>
      <c r="V897">
        <v>-7.2026229999999997E-2</v>
      </c>
      <c r="W897">
        <v>0.1285357</v>
      </c>
      <c r="X897">
        <v>0.98908589999999996</v>
      </c>
      <c r="Y897">
        <v>0.25295499999999999</v>
      </c>
      <c r="Z897">
        <v>-2.164951E-3</v>
      </c>
      <c r="AA897">
        <v>0.96747559999999999</v>
      </c>
      <c r="AB897">
        <v>36</v>
      </c>
      <c r="AC897">
        <v>74.073099999999997</v>
      </c>
      <c r="AD897">
        <v>-0.89622059999999903</v>
      </c>
      <c r="AE897">
        <v>-15.156899999999901</v>
      </c>
      <c r="AF897">
        <v>19.214602184332598</v>
      </c>
      <c r="AG897">
        <v>-0.89622059999999903</v>
      </c>
      <c r="AH897">
        <v>73.114627400371504</v>
      </c>
      <c r="AI897">
        <v>90.679220842923201</v>
      </c>
      <c r="AJ897">
        <v>75.275559359240205</v>
      </c>
      <c r="AK897">
        <v>75.6025984233424</v>
      </c>
    </row>
    <row r="898" spans="1:37" x14ac:dyDescent="0.2">
      <c r="A898" t="str">
        <f>"20200111150549974"</f>
        <v>20200111150549974</v>
      </c>
      <c r="B898" t="str">
        <f>"1578726349966449"</f>
        <v>1578726349966449</v>
      </c>
      <c r="C898" t="s">
        <v>37</v>
      </c>
      <c r="D898">
        <v>5.0850239999999998</v>
      </c>
      <c r="E898">
        <v>0.63302939999999996</v>
      </c>
      <c r="F898" t="s">
        <v>75</v>
      </c>
      <c r="G898">
        <v>-358.74689999999998</v>
      </c>
      <c r="H898">
        <v>0.1983095</v>
      </c>
      <c r="I898">
        <v>199.90719999999999</v>
      </c>
      <c r="J898">
        <v>-427.05930000000001</v>
      </c>
      <c r="K898">
        <v>1.102428</v>
      </c>
      <c r="L898">
        <v>214.40790000000001</v>
      </c>
      <c r="M898">
        <v>0.99847759999999997</v>
      </c>
      <c r="N898">
        <v>0</v>
      </c>
      <c r="O898">
        <v>5.490449E-2</v>
      </c>
      <c r="P898">
        <v>0.98439599999999905</v>
      </c>
      <c r="Q898">
        <v>0.12526389999999901</v>
      </c>
      <c r="R898">
        <v>0.12358669999999999</v>
      </c>
      <c r="S898">
        <v>3.1381839999999999</v>
      </c>
      <c r="T898">
        <v>-4.1310909999999999E-2</v>
      </c>
      <c r="U898">
        <v>-0.66162109999999996</v>
      </c>
      <c r="V898">
        <v>-6.9335209999999994E-2</v>
      </c>
      <c r="W898">
        <v>0.13050780000000001</v>
      </c>
      <c r="X898">
        <v>0.98901989999999995</v>
      </c>
      <c r="Y898">
        <v>0.2596813</v>
      </c>
      <c r="Z898">
        <v>-2.4062020000000001E-3</v>
      </c>
      <c r="AA898">
        <v>0.96569139999999998</v>
      </c>
      <c r="AB898">
        <v>36</v>
      </c>
      <c r="AC898">
        <v>68.312399999999997</v>
      </c>
      <c r="AD898">
        <v>-0.90411849999999905</v>
      </c>
      <c r="AE898">
        <v>-14.5007</v>
      </c>
      <c r="AF898">
        <v>18.226481625399401</v>
      </c>
      <c r="AG898">
        <v>-0.90411849999999905</v>
      </c>
      <c r="AH898">
        <v>67.401893239225302</v>
      </c>
      <c r="AI898">
        <v>90.741867959701395</v>
      </c>
      <c r="AJ898">
        <v>74.868266121198602</v>
      </c>
      <c r="AK898">
        <v>69.828627903854695</v>
      </c>
    </row>
    <row r="899" spans="1:37" x14ac:dyDescent="0.2">
      <c r="A899" t="str">
        <f>"20200111150549996"</f>
        <v>20200111150549996</v>
      </c>
      <c r="B899" t="str">
        <f>"1578726349986945"</f>
        <v>1578726349986945</v>
      </c>
      <c r="C899" t="s">
        <v>37</v>
      </c>
      <c r="D899">
        <v>5.0991929999999996</v>
      </c>
      <c r="E899">
        <v>0.6325307</v>
      </c>
      <c r="F899" t="s">
        <v>46</v>
      </c>
      <c r="G899">
        <v>-351.66180000000003</v>
      </c>
      <c r="H899">
        <v>-0.05</v>
      </c>
      <c r="I899">
        <v>198.215</v>
      </c>
      <c r="J899">
        <v>-426.70030000000003</v>
      </c>
      <c r="K899">
        <v>1.102417</v>
      </c>
      <c r="L899">
        <v>214.42740000000001</v>
      </c>
      <c r="M899">
        <v>0.99849059999999901</v>
      </c>
      <c r="N899">
        <v>0</v>
      </c>
      <c r="O899">
        <v>5.46566E-2</v>
      </c>
      <c r="P899">
        <v>0.98453989999999902</v>
      </c>
      <c r="Q899">
        <v>0.12760650000000001</v>
      </c>
      <c r="R899">
        <v>0.11999079999999999</v>
      </c>
      <c r="S899">
        <v>3.1382750000000001</v>
      </c>
      <c r="T899">
        <v>-4.7967549999999998E-2</v>
      </c>
      <c r="U899">
        <v>-0.67399600000000004</v>
      </c>
      <c r="V899">
        <v>-6.5966419999999998E-2</v>
      </c>
      <c r="W899">
        <v>0.13298460000000001</v>
      </c>
      <c r="X899">
        <v>0.98892039999999903</v>
      </c>
      <c r="Y899">
        <v>0.26306790000000002</v>
      </c>
      <c r="Z899">
        <v>-2.81453E-3</v>
      </c>
      <c r="AA899">
        <v>0.9647732</v>
      </c>
      <c r="AB899">
        <v>36</v>
      </c>
      <c r="AC899">
        <v>75.038499999999999</v>
      </c>
      <c r="AD899">
        <v>-1.152417</v>
      </c>
      <c r="AE899">
        <v>-16.212399999999999</v>
      </c>
      <c r="AF899">
        <v>20.285003274930698</v>
      </c>
      <c r="AG899">
        <v>-1.152417</v>
      </c>
      <c r="AH899">
        <v>74.023521976389404</v>
      </c>
      <c r="AI899">
        <v>90.860213991851595</v>
      </c>
      <c r="AJ899">
        <v>74.675187941447902</v>
      </c>
      <c r="AK899">
        <v>76.761261249375295</v>
      </c>
    </row>
    <row r="900" spans="1:37" x14ac:dyDescent="0.2">
      <c r="A900" t="str">
        <f>"20200111150550018"</f>
        <v>20200111150550018</v>
      </c>
      <c r="B900" t="str">
        <f>"1578726350006465"</f>
        <v>1578726350006465</v>
      </c>
      <c r="C900" t="s">
        <v>37</v>
      </c>
      <c r="D900">
        <v>5.082376</v>
      </c>
      <c r="E900">
        <v>0.63154769999999905</v>
      </c>
      <c r="F900" t="s">
        <v>46</v>
      </c>
      <c r="G900">
        <v>-348.5204</v>
      </c>
      <c r="H900">
        <v>-0.05</v>
      </c>
      <c r="I900">
        <v>197.44370000000001</v>
      </c>
      <c r="J900">
        <v>-426.34519999999998</v>
      </c>
      <c r="K900">
        <v>1.1024209999999901</v>
      </c>
      <c r="L900">
        <v>214.44659999999999</v>
      </c>
      <c r="M900">
        <v>0.9985039</v>
      </c>
      <c r="N900">
        <v>0</v>
      </c>
      <c r="O900">
        <v>5.4393190000000001E-2</v>
      </c>
      <c r="P900">
        <v>0.98454140000000001</v>
      </c>
      <c r="Q900">
        <v>0.13043920000000001</v>
      </c>
      <c r="R900">
        <v>0.1168932</v>
      </c>
      <c r="S900">
        <v>3.136139</v>
      </c>
      <c r="T900">
        <v>-4.6228529999999997E-2</v>
      </c>
      <c r="U900">
        <v>-0.6812897</v>
      </c>
      <c r="V900">
        <v>-6.3120750000000003E-2</v>
      </c>
      <c r="W900">
        <v>0.13599020000000001</v>
      </c>
      <c r="X900">
        <v>0.98869739999999995</v>
      </c>
      <c r="Y900">
        <v>0.26509369999999999</v>
      </c>
      <c r="Z900">
        <v>-2.7245770000000002E-3</v>
      </c>
      <c r="AA900">
        <v>0.96421880000000004</v>
      </c>
      <c r="AB900">
        <v>36</v>
      </c>
      <c r="AC900">
        <v>77.824799999999897</v>
      </c>
      <c r="AD900">
        <v>-1.1524209999999999</v>
      </c>
      <c r="AE900">
        <v>-17.002899999999901</v>
      </c>
      <c r="AF900">
        <v>21.206495318901698</v>
      </c>
      <c r="AG900">
        <v>-1.1524209999999999</v>
      </c>
      <c r="AH900">
        <v>76.768661216790804</v>
      </c>
      <c r="AI900">
        <v>90.828993728863395</v>
      </c>
      <c r="AJ900">
        <v>74.557773335963901</v>
      </c>
      <c r="AK900">
        <v>79.652186805449603</v>
      </c>
    </row>
    <row r="901" spans="1:37" x14ac:dyDescent="0.2">
      <c r="A901" t="str">
        <f>"20200111150550062"</f>
        <v>20200111150550062</v>
      </c>
      <c r="B901" t="str">
        <f>"1578726350056241"</f>
        <v>1578726350056241</v>
      </c>
      <c r="C901" t="s">
        <v>37</v>
      </c>
      <c r="D901">
        <v>5.0852379999999897</v>
      </c>
      <c r="E901">
        <v>0.62913299999999905</v>
      </c>
      <c r="F901" t="s">
        <v>46</v>
      </c>
      <c r="G901">
        <v>-358.88940000000002</v>
      </c>
      <c r="H901">
        <v>-0.05</v>
      </c>
      <c r="I901">
        <v>199.74629999999999</v>
      </c>
      <c r="J901">
        <v>-425.62939999999998</v>
      </c>
      <c r="K901">
        <v>1.1025049999999901</v>
      </c>
      <c r="L901">
        <v>214.48509999999999</v>
      </c>
      <c r="M901">
        <v>0.99853169999999902</v>
      </c>
      <c r="N901">
        <v>0</v>
      </c>
      <c r="O901">
        <v>5.3821639999999997E-2</v>
      </c>
      <c r="P901">
        <v>0.98453899999999905</v>
      </c>
      <c r="Q901">
        <v>0.13607629999999901</v>
      </c>
      <c r="R901">
        <v>0.1103016</v>
      </c>
      <c r="S901">
        <v>3.135345</v>
      </c>
      <c r="T901">
        <v>-5.3564550000000002E-2</v>
      </c>
      <c r="U901">
        <v>-0.68327329999999997</v>
      </c>
      <c r="V901">
        <v>-5.7079339999999999E-2</v>
      </c>
      <c r="W901">
        <v>0.14217369999999999</v>
      </c>
      <c r="X901">
        <v>0.98819460000000003</v>
      </c>
      <c r="Y901">
        <v>0.2651637</v>
      </c>
      <c r="Z901">
        <v>-3.1483840000000002E-3</v>
      </c>
      <c r="AA901">
        <v>0.96419829999999995</v>
      </c>
      <c r="AB901">
        <v>37</v>
      </c>
      <c r="AC901">
        <v>66.739999999999895</v>
      </c>
      <c r="AD901">
        <v>-1.1525049999999999</v>
      </c>
      <c r="AE901">
        <v>-14.7387999999999</v>
      </c>
      <c r="AF901">
        <v>18.304355583385501</v>
      </c>
      <c r="AG901">
        <v>-1.1525049999999999</v>
      </c>
      <c r="AH901">
        <v>65.831261488472293</v>
      </c>
      <c r="AI901">
        <v>90.966321026306005</v>
      </c>
      <c r="AJ901">
        <v>74.461431661463294</v>
      </c>
      <c r="AK901">
        <v>68.338369092784603</v>
      </c>
    </row>
    <row r="902" spans="1:37" x14ac:dyDescent="0.2">
      <c r="A902" t="str">
        <f>"20200111150550084"</f>
        <v>20200111150550084</v>
      </c>
      <c r="B902" t="str">
        <f>"1578726350076738"</f>
        <v>1578726350076738</v>
      </c>
      <c r="C902" t="s">
        <v>37</v>
      </c>
      <c r="D902">
        <v>5.1587350000000001</v>
      </c>
      <c r="E902">
        <v>0.62838769999999999</v>
      </c>
      <c r="F902" t="s">
        <v>75</v>
      </c>
      <c r="G902">
        <v>-358.79730000000001</v>
      </c>
      <c r="H902">
        <v>0.13896800000000001</v>
      </c>
      <c r="I902">
        <v>199.90719999999999</v>
      </c>
      <c r="J902">
        <v>-425.27019999999999</v>
      </c>
      <c r="K902">
        <v>1.102565</v>
      </c>
      <c r="L902">
        <v>214.5042</v>
      </c>
      <c r="M902">
        <v>0.99854599999999905</v>
      </c>
      <c r="N902">
        <v>0</v>
      </c>
      <c r="O902">
        <v>5.3511299999999998E-2</v>
      </c>
      <c r="P902">
        <v>0.98451900000000003</v>
      </c>
      <c r="Q902">
        <v>0.1389341</v>
      </c>
      <c r="R902">
        <v>0.1068635</v>
      </c>
      <c r="S902">
        <v>3.129791</v>
      </c>
      <c r="T902">
        <v>-4.5122500000000003E-2</v>
      </c>
      <c r="U902">
        <v>-0.68269349999999995</v>
      </c>
      <c r="V902">
        <v>-5.394065E-2</v>
      </c>
      <c r="W902">
        <v>0.14540710000000001</v>
      </c>
      <c r="X902">
        <v>0.98790040000000001</v>
      </c>
      <c r="Y902">
        <v>0.26506239999999998</v>
      </c>
      <c r="Z902">
        <v>-2.6517379999999998E-3</v>
      </c>
      <c r="AA902">
        <v>0.96422759999999996</v>
      </c>
      <c r="AB902">
        <v>37</v>
      </c>
      <c r="AC902">
        <v>66.472899999999896</v>
      </c>
      <c r="AD902">
        <v>-0.96359700000000004</v>
      </c>
      <c r="AE902">
        <v>-14.597</v>
      </c>
      <c r="AF902">
        <v>18.1295774950887</v>
      </c>
      <c r="AG902">
        <v>-0.96359700000000004</v>
      </c>
      <c r="AH902">
        <v>65.583388012311005</v>
      </c>
      <c r="AI902">
        <v>90.811343948574603</v>
      </c>
      <c r="AJ902">
        <v>74.547310773376395</v>
      </c>
      <c r="AK902">
        <v>68.049914639932993</v>
      </c>
    </row>
    <row r="903" spans="1:37" x14ac:dyDescent="0.2">
      <c r="A903" t="str">
        <f>"20200111150550106"</f>
        <v>20200111150550106</v>
      </c>
      <c r="B903" t="str">
        <f>"1578726350096257"</f>
        <v>1578726350096257</v>
      </c>
      <c r="C903" t="s">
        <v>37</v>
      </c>
      <c r="D903">
        <v>5.0447119999999996</v>
      </c>
      <c r="E903">
        <v>0.62782469999999901</v>
      </c>
      <c r="F903" t="s">
        <v>75</v>
      </c>
      <c r="G903">
        <v>-358.85860000000002</v>
      </c>
      <c r="H903">
        <v>0.29021839999999999</v>
      </c>
      <c r="I903">
        <v>199.90719999999999</v>
      </c>
      <c r="J903">
        <v>-424.90030000000002</v>
      </c>
      <c r="K903">
        <v>1.1026149999999999</v>
      </c>
      <c r="L903">
        <v>214.52369999999999</v>
      </c>
      <c r="M903">
        <v>0.99856100000000003</v>
      </c>
      <c r="N903">
        <v>0</v>
      </c>
      <c r="O903">
        <v>5.3173480000000002E-2</v>
      </c>
      <c r="P903">
        <v>0.98455479999999995</v>
      </c>
      <c r="Q903">
        <v>0.1408604</v>
      </c>
      <c r="R903">
        <v>0.1039721</v>
      </c>
      <c r="S903">
        <v>3.1271360000000001</v>
      </c>
      <c r="T903">
        <v>-3.8250569999999998E-2</v>
      </c>
      <c r="U903">
        <v>-0.68733219999999995</v>
      </c>
      <c r="V903">
        <v>-5.1370449999999998E-2</v>
      </c>
      <c r="W903">
        <v>0.1477783</v>
      </c>
      <c r="X903">
        <v>0.98768549999999999</v>
      </c>
      <c r="Y903">
        <v>0.26628029999999903</v>
      </c>
      <c r="Z903">
        <v>-2.2527129999999999E-3</v>
      </c>
      <c r="AA903">
        <v>0.963893</v>
      </c>
      <c r="AB903">
        <v>37</v>
      </c>
      <c r="AC903">
        <v>66.041699999999906</v>
      </c>
      <c r="AD903">
        <v>-0.81239659999999903</v>
      </c>
      <c r="AE903">
        <v>-14.6165</v>
      </c>
      <c r="AF903">
        <v>18.104961345766</v>
      </c>
      <c r="AG903">
        <v>-0.81239659999999903</v>
      </c>
      <c r="AH903">
        <v>65.161636680656798</v>
      </c>
      <c r="AI903">
        <v>90.688224141430794</v>
      </c>
      <c r="AJ903">
        <v>74.472210235967793</v>
      </c>
      <c r="AK903">
        <v>67.634965132461502</v>
      </c>
    </row>
    <row r="904" spans="1:37" x14ac:dyDescent="0.2">
      <c r="A904" t="str">
        <f>"20200111150550131"</f>
        <v>20200111150550131</v>
      </c>
      <c r="B904" t="str">
        <f>"1578726350126513"</f>
        <v>1578726350126513</v>
      </c>
      <c r="C904" t="s">
        <v>37</v>
      </c>
      <c r="D904">
        <v>5.1231989999999996</v>
      </c>
      <c r="E904">
        <v>0.62686739999999996</v>
      </c>
      <c r="F904" t="s">
        <v>75</v>
      </c>
      <c r="G904">
        <v>-353.3571</v>
      </c>
      <c r="H904">
        <v>0.32193850000000002</v>
      </c>
      <c r="I904">
        <v>198.68599999999901</v>
      </c>
      <c r="J904">
        <v>-424.49630000000002</v>
      </c>
      <c r="K904">
        <v>1.1026819999999999</v>
      </c>
      <c r="L904">
        <v>214.54480000000001</v>
      </c>
      <c r="M904">
        <v>0.99857770000000001</v>
      </c>
      <c r="N904">
        <v>0</v>
      </c>
      <c r="O904">
        <v>5.2780569999999999E-2</v>
      </c>
      <c r="P904">
        <v>0.98480009999999996</v>
      </c>
      <c r="Q904">
        <v>0.14160799999999901</v>
      </c>
      <c r="R904">
        <v>0.1005786</v>
      </c>
      <c r="S904">
        <v>3.125</v>
      </c>
      <c r="T904">
        <v>-3.4099339999999999E-2</v>
      </c>
      <c r="U904">
        <v>-0.69178769999999901</v>
      </c>
      <c r="V904">
        <v>-4.8341679999999998E-2</v>
      </c>
      <c r="W904">
        <v>0.14909249999999999</v>
      </c>
      <c r="X904">
        <v>0.98764089999999904</v>
      </c>
      <c r="Y904">
        <v>0.26735429999999999</v>
      </c>
      <c r="Z904">
        <v>-2.0108370000000001E-3</v>
      </c>
      <c r="AA904">
        <v>0.96359619999999901</v>
      </c>
      <c r="AB904">
        <v>37</v>
      </c>
      <c r="AC904">
        <v>71.139200000000002</v>
      </c>
      <c r="AD904">
        <v>-0.78074349999999904</v>
      </c>
      <c r="AE904">
        <v>-15.8588</v>
      </c>
      <c r="AF904">
        <v>19.589320065886302</v>
      </c>
      <c r="AG904">
        <v>-0.78074349999999904</v>
      </c>
      <c r="AH904">
        <v>70.194921058516002</v>
      </c>
      <c r="AI904">
        <v>90.613795143877994</v>
      </c>
      <c r="AJ904">
        <v>74.407158944032801</v>
      </c>
      <c r="AK904">
        <v>72.881259343316998</v>
      </c>
    </row>
    <row r="905" spans="1:37" x14ac:dyDescent="0.2">
      <c r="A905" t="str">
        <f>"20200111150550151"</f>
        <v>20200111150550151</v>
      </c>
      <c r="B905" t="str">
        <f>"1578726350147009"</f>
        <v>1578726350147009</v>
      </c>
      <c r="C905" t="s">
        <v>37</v>
      </c>
      <c r="D905">
        <v>5.13652</v>
      </c>
      <c r="E905">
        <v>0.62605489999999997</v>
      </c>
      <c r="F905" t="s">
        <v>75</v>
      </c>
      <c r="G905">
        <v>-352.63510000000002</v>
      </c>
      <c r="H905">
        <v>0.44558619999999999</v>
      </c>
      <c r="I905">
        <v>198.55099999999999</v>
      </c>
      <c r="J905">
        <v>-424.15100000000001</v>
      </c>
      <c r="K905">
        <v>1.102738</v>
      </c>
      <c r="L905">
        <v>214.56270000000001</v>
      </c>
      <c r="M905">
        <v>0.99859179999999903</v>
      </c>
      <c r="N905">
        <v>0</v>
      </c>
      <c r="O905">
        <v>5.2434880000000003E-2</v>
      </c>
      <c r="P905">
        <v>0.98519330000000005</v>
      </c>
      <c r="Q905">
        <v>0.141459</v>
      </c>
      <c r="R905">
        <v>9.68691E-2</v>
      </c>
      <c r="S905">
        <v>3.1213380000000002</v>
      </c>
      <c r="T905">
        <v>-2.854085E-2</v>
      </c>
      <c r="U905">
        <v>-0.69470209999999999</v>
      </c>
      <c r="V905">
        <v>-4.4945690000000003E-2</v>
      </c>
      <c r="W905">
        <v>0.14946589999999901</v>
      </c>
      <c r="X905">
        <v>0.98774479999999998</v>
      </c>
      <c r="Y905">
        <v>0.26812229999999998</v>
      </c>
      <c r="Z905">
        <v>-1.6851729999999899E-3</v>
      </c>
      <c r="AA905">
        <v>0.9633834</v>
      </c>
      <c r="AB905">
        <v>37</v>
      </c>
      <c r="AC905">
        <v>71.515899999999903</v>
      </c>
      <c r="AD905">
        <v>-0.65715179999999995</v>
      </c>
      <c r="AE905">
        <v>-16.011700000000001</v>
      </c>
      <c r="AF905">
        <v>19.738134463476001</v>
      </c>
      <c r="AG905">
        <v>-0.65715179999999995</v>
      </c>
      <c r="AH905">
        <v>70.572239193486993</v>
      </c>
      <c r="AI905">
        <v>90.513792947771194</v>
      </c>
      <c r="AJ905">
        <v>74.3743872563699</v>
      </c>
      <c r="AK905">
        <v>73.2834684316269</v>
      </c>
    </row>
    <row r="906" spans="1:37" x14ac:dyDescent="0.2">
      <c r="A906" t="str">
        <f>"20200111150554080"</f>
        <v>20200111150554080</v>
      </c>
      <c r="B906" t="str">
        <f>"1578726354076877"</f>
        <v>1578726354076877</v>
      </c>
      <c r="C906" t="s">
        <v>37</v>
      </c>
      <c r="D906">
        <v>5.2832429999999997</v>
      </c>
      <c r="E906">
        <v>0.47278329999999902</v>
      </c>
      <c r="F906" t="s">
        <v>75</v>
      </c>
      <c r="G906">
        <v>-352.59550000000002</v>
      </c>
      <c r="H906">
        <v>0.50185539999999995</v>
      </c>
      <c r="I906">
        <v>198.49250000000001</v>
      </c>
      <c r="J906">
        <v>-358.63400000000001</v>
      </c>
      <c r="K906">
        <v>1.10337</v>
      </c>
      <c r="L906">
        <v>214.20830000000001</v>
      </c>
      <c r="M906">
        <v>0.9998454</v>
      </c>
      <c r="N906">
        <v>0</v>
      </c>
      <c r="O906">
        <v>1.325604E-2</v>
      </c>
      <c r="P906">
        <v>0.99043009999999998</v>
      </c>
      <c r="Q906">
        <v>9.8953559999999996E-2</v>
      </c>
      <c r="R906">
        <v>9.6213499999999993E-2</v>
      </c>
      <c r="S906">
        <v>3.1176759999999999</v>
      </c>
      <c r="T906">
        <v>-2.6179910000000001E-2</v>
      </c>
      <c r="U906">
        <v>-0.70018009999999997</v>
      </c>
      <c r="V906">
        <v>-8.3172609999999994E-2</v>
      </c>
      <c r="W906">
        <v>0.11033800000000001</v>
      </c>
      <c r="X906">
        <v>0.99040790000000001</v>
      </c>
      <c r="Y906">
        <v>0.23203309999999999</v>
      </c>
      <c r="Z906">
        <v>-1.0722080000000001E-3</v>
      </c>
      <c r="AA906">
        <v>0.97270730000000005</v>
      </c>
      <c r="AB906">
        <v>39</v>
      </c>
      <c r="AC906">
        <v>6.0384999999999902</v>
      </c>
      <c r="AD906">
        <v>-0.60151459999999901</v>
      </c>
      <c r="AE906">
        <v>-15.7158</v>
      </c>
      <c r="AF906">
        <v>15.7743351631772</v>
      </c>
      <c r="AG906">
        <v>-0.60151459999999901</v>
      </c>
      <c r="AH906">
        <v>5.8221942290872502</v>
      </c>
      <c r="AI906">
        <v>92.048799907748204</v>
      </c>
      <c r="AJ906">
        <v>20.258742736993302</v>
      </c>
      <c r="AK906">
        <v>16.8252612251781</v>
      </c>
    </row>
    <row r="907" spans="1:37" x14ac:dyDescent="0.2">
      <c r="A907" t="str">
        <f>"20200111150554103"</f>
        <v>20200111150554103</v>
      </c>
      <c r="B907" t="str">
        <f>"1578726354096397"</f>
        <v>1578726354096397</v>
      </c>
      <c r="C907" t="s">
        <v>37</v>
      </c>
      <c r="D907">
        <v>5.3013699999999897</v>
      </c>
      <c r="E907">
        <v>0.47062100000000001</v>
      </c>
      <c r="F907" t="s">
        <v>66</v>
      </c>
      <c r="G907">
        <v>-318.28269999999998</v>
      </c>
      <c r="H907">
        <v>7.9999749999999994E-2</v>
      </c>
      <c r="I907">
        <v>220.9983</v>
      </c>
      <c r="J907">
        <v>-358.25740000000002</v>
      </c>
      <c r="K907">
        <v>1.1033660000000001</v>
      </c>
      <c r="L907">
        <v>214.21360000000001</v>
      </c>
      <c r="M907">
        <v>0.99984039999999996</v>
      </c>
      <c r="N907">
        <v>0</v>
      </c>
      <c r="O907">
        <v>1.3614360000000001E-2</v>
      </c>
      <c r="P907">
        <v>0.99047129999999906</v>
      </c>
      <c r="Q907">
        <v>9.8510399999999998E-2</v>
      </c>
      <c r="R907">
        <v>9.6240539999999999E-2</v>
      </c>
      <c r="S907">
        <v>2.9877009999999999</v>
      </c>
      <c r="T907">
        <v>-7.5772640000000002E-2</v>
      </c>
      <c r="U907">
        <v>0.50274659999999904</v>
      </c>
      <c r="V907">
        <v>-8.2843239999999999E-2</v>
      </c>
      <c r="W907">
        <v>0.109897699999999</v>
      </c>
      <c r="X907">
        <v>0.99048449999999999</v>
      </c>
      <c r="Y907">
        <v>-0.152453799999999</v>
      </c>
      <c r="Z907">
        <v>1.576699E-3</v>
      </c>
      <c r="AA907">
        <v>0.98830929999999995</v>
      </c>
      <c r="AB907">
        <v>39</v>
      </c>
      <c r="AC907">
        <v>39.974699999999999</v>
      </c>
      <c r="AD907">
        <v>-1.02336625</v>
      </c>
      <c r="AE907">
        <v>6.7846999999999804</v>
      </c>
      <c r="AF907">
        <v>-6.2358323406954899</v>
      </c>
      <c r="AG907">
        <v>-1.02336625</v>
      </c>
      <c r="AH907">
        <v>40.037864977690802</v>
      </c>
      <c r="AI907">
        <v>91.446724754211999</v>
      </c>
      <c r="AJ907">
        <v>98.8526008772903</v>
      </c>
      <c r="AK907">
        <v>40.533486346904603</v>
      </c>
    </row>
    <row r="908" spans="1:37" x14ac:dyDescent="0.2">
      <c r="A908" t="str">
        <f>"20200111150554127"</f>
        <v>20200111150554127</v>
      </c>
      <c r="B908" t="str">
        <f>"1578726354116894"</f>
        <v>1578726354116894</v>
      </c>
      <c r="C908" t="s">
        <v>37</v>
      </c>
      <c r="D908">
        <v>5.2879069999999997</v>
      </c>
      <c r="E908">
        <v>0.46989619999999999</v>
      </c>
      <c r="F908" t="s">
        <v>63</v>
      </c>
      <c r="G908">
        <v>-327.35550000000001</v>
      </c>
      <c r="H908" s="1">
        <v>2.3774290000000001E-6</v>
      </c>
      <c r="I908">
        <v>219.58680000000001</v>
      </c>
      <c r="J908">
        <v>-357.83229999999998</v>
      </c>
      <c r="K908">
        <v>1.1033599999999999</v>
      </c>
      <c r="L908">
        <v>214.21979999999999</v>
      </c>
      <c r="M908">
        <v>0.99983480000000002</v>
      </c>
      <c r="N908">
        <v>0</v>
      </c>
      <c r="O908">
        <v>1.4018279999999999E-2</v>
      </c>
      <c r="P908">
        <v>0.99051679999999998</v>
      </c>
      <c r="Q908">
        <v>9.8104659999999996E-2</v>
      </c>
      <c r="R908">
        <v>9.6187140000000004E-2</v>
      </c>
      <c r="S908">
        <v>2.9890140000000001</v>
      </c>
      <c r="T908">
        <v>-0.1067239</v>
      </c>
      <c r="U908">
        <v>0.51972959999999901</v>
      </c>
      <c r="V908">
        <v>-8.2388320000000001E-2</v>
      </c>
      <c r="W908">
        <v>0.1094953</v>
      </c>
      <c r="X908">
        <v>0.99056699999999998</v>
      </c>
      <c r="Y908">
        <v>-0.15739210000000001</v>
      </c>
      <c r="Z908">
        <v>2.2915650000000002E-3</v>
      </c>
      <c r="AA908">
        <v>0.98753349999999995</v>
      </c>
      <c r="AB908">
        <v>39</v>
      </c>
      <c r="AC908">
        <v>30.476799999999901</v>
      </c>
      <c r="AD908">
        <v>-1.103357622571</v>
      </c>
      <c r="AE908">
        <v>5.3670000000000098</v>
      </c>
      <c r="AF908">
        <v>-4.9329406581894997</v>
      </c>
      <c r="AG908">
        <v>-1.103357622571</v>
      </c>
      <c r="AH908">
        <v>30.510259956346601</v>
      </c>
      <c r="AI908">
        <v>92.044584828873397</v>
      </c>
      <c r="AJ908">
        <v>99.184183035459895</v>
      </c>
      <c r="AK908">
        <v>30.9261582512984</v>
      </c>
    </row>
    <row r="909" spans="1:37" x14ac:dyDescent="0.2">
      <c r="A909" t="str">
        <f>"20200111150554149"</f>
        <v>20200111150554149</v>
      </c>
      <c r="B909" t="str">
        <f>"1578726354147150"</f>
        <v>1578726354147150</v>
      </c>
      <c r="C909" t="s">
        <v>37</v>
      </c>
      <c r="D909">
        <v>5.2383699999999997</v>
      </c>
      <c r="E909">
        <v>0.46994219999999998</v>
      </c>
      <c r="F909" t="s">
        <v>63</v>
      </c>
      <c r="G909">
        <v>-332.72969999999998</v>
      </c>
      <c r="H909" s="1">
        <v>-2.5952230000000002E-7</v>
      </c>
      <c r="I909">
        <v>218.62780000000001</v>
      </c>
      <c r="J909">
        <v>-357.46420000000001</v>
      </c>
      <c r="K909">
        <v>1.1033569999999999</v>
      </c>
      <c r="L909">
        <v>214.2253</v>
      </c>
      <c r="M909">
        <v>0.99982990000000005</v>
      </c>
      <c r="N909">
        <v>0</v>
      </c>
      <c r="O909">
        <v>1.436779E-2</v>
      </c>
      <c r="P909">
        <v>0.99061499999999902</v>
      </c>
      <c r="Q909">
        <v>9.7828109999999996E-2</v>
      </c>
      <c r="R909">
        <v>9.5453850000000007E-2</v>
      </c>
      <c r="S909">
        <v>2.99075299999999</v>
      </c>
      <c r="T909">
        <v>-0.13145560000000001</v>
      </c>
      <c r="U909">
        <v>0.525177</v>
      </c>
      <c r="V909">
        <v>-8.1306699999999996E-2</v>
      </c>
      <c r="W909">
        <v>0.10922279999999999</v>
      </c>
      <c r="X909">
        <v>0.99068639999999997</v>
      </c>
      <c r="Y909">
        <v>-0.15864879999999901</v>
      </c>
      <c r="Z909">
        <v>2.8322619999999999E-3</v>
      </c>
      <c r="AA909">
        <v>0.98733099999999996</v>
      </c>
      <c r="AB909">
        <v>39</v>
      </c>
      <c r="AC909">
        <v>24.734500000000001</v>
      </c>
      <c r="AD909">
        <v>-1.1033572595223</v>
      </c>
      <c r="AE909">
        <v>4.4024999999999999</v>
      </c>
      <c r="AF909">
        <v>-4.0388516138993902</v>
      </c>
      <c r="AG909">
        <v>-1.1033572595223</v>
      </c>
      <c r="AH909">
        <v>24.7474727159825</v>
      </c>
      <c r="AI909">
        <v>92.519531674604096</v>
      </c>
      <c r="AJ909">
        <v>99.269101603488295</v>
      </c>
      <c r="AK909">
        <v>25.099145910359901</v>
      </c>
    </row>
    <row r="910" spans="1:37" x14ac:dyDescent="0.2">
      <c r="A910" t="str">
        <f>"20200111150554171"</f>
        <v>20200111150554171</v>
      </c>
      <c r="B910" t="str">
        <f>"1578726354166669"</f>
        <v>1578726354166669</v>
      </c>
      <c r="C910" t="s">
        <v>37</v>
      </c>
      <c r="D910">
        <v>5.2605870000000001</v>
      </c>
      <c r="E910">
        <v>0.47044819999999998</v>
      </c>
      <c r="F910" t="s">
        <v>63</v>
      </c>
      <c r="G910">
        <v>-326.8134</v>
      </c>
      <c r="H910" s="1">
        <v>2.0889509999999999E-6</v>
      </c>
      <c r="I910">
        <v>219.58590000000001</v>
      </c>
      <c r="J910">
        <v>-357.0899</v>
      </c>
      <c r="K910">
        <v>1.103351</v>
      </c>
      <c r="L910">
        <v>214.23099999999999</v>
      </c>
      <c r="M910">
        <v>0.99982479999999996</v>
      </c>
      <c r="N910">
        <v>0</v>
      </c>
      <c r="O910">
        <v>1.4723429999999999E-2</v>
      </c>
      <c r="P910">
        <v>0.99072700000000002</v>
      </c>
      <c r="Q910">
        <v>9.7257380000000004E-2</v>
      </c>
      <c r="R910">
        <v>9.4875429999999997E-2</v>
      </c>
      <c r="S910">
        <v>2.9887079999999999</v>
      </c>
      <c r="T910">
        <v>-0.1075861</v>
      </c>
      <c r="U910">
        <v>0.52270509999999903</v>
      </c>
      <c r="V910">
        <v>-8.0373979999999998E-2</v>
      </c>
      <c r="W910">
        <v>0.1086563</v>
      </c>
      <c r="X910">
        <v>0.99082479999999995</v>
      </c>
      <c r="Y910">
        <v>-0.15766559999999999</v>
      </c>
      <c r="Z910">
        <v>2.2898189999999998E-3</v>
      </c>
      <c r="AA910">
        <v>0.98748989999999903</v>
      </c>
      <c r="AB910">
        <v>39</v>
      </c>
      <c r="AC910">
        <v>30.276499999999999</v>
      </c>
      <c r="AD910">
        <v>-1.103348911049</v>
      </c>
      <c r="AE910">
        <v>5.3549000000000104</v>
      </c>
      <c r="AF910">
        <v>-4.9022028764398096</v>
      </c>
      <c r="AG910">
        <v>-1.103348911049</v>
      </c>
      <c r="AH910">
        <v>30.3130293869676</v>
      </c>
      <c r="AI910">
        <v>92.057847907887904</v>
      </c>
      <c r="AJ910">
        <v>99.1863026459135</v>
      </c>
      <c r="AK910">
        <v>30.726677699947501</v>
      </c>
    </row>
    <row r="911" spans="1:37" x14ac:dyDescent="0.2">
      <c r="A911" t="str">
        <f>"20200111150554215"</f>
        <v>20200111150554215</v>
      </c>
      <c r="B911" t="str">
        <f>"1578726354206686"</f>
        <v>1578726354206686</v>
      </c>
      <c r="C911" t="s">
        <v>37</v>
      </c>
      <c r="D911">
        <v>5.3119779999999999</v>
      </c>
      <c r="E911">
        <v>0.47028629999999999</v>
      </c>
      <c r="F911" t="s">
        <v>63</v>
      </c>
      <c r="G911">
        <v>-325.957999999999</v>
      </c>
      <c r="H911">
        <v>1.7855309999999999E-2</v>
      </c>
      <c r="I911">
        <v>219.6163</v>
      </c>
      <c r="J911">
        <v>-356.32690000000002</v>
      </c>
      <c r="K911">
        <v>1.103353</v>
      </c>
      <c r="L911">
        <v>214.24299999999999</v>
      </c>
      <c r="M911">
        <v>0.99981359999999997</v>
      </c>
      <c r="N911">
        <v>0</v>
      </c>
      <c r="O911">
        <v>1.5448659999999999E-2</v>
      </c>
      <c r="P911">
        <v>0.99078739999999998</v>
      </c>
      <c r="Q911">
        <v>9.6572640000000001E-2</v>
      </c>
      <c r="R911">
        <v>9.4942029999999997E-2</v>
      </c>
      <c r="S911">
        <v>2.9887700000000001</v>
      </c>
      <c r="T911">
        <v>-0.1042114</v>
      </c>
      <c r="U911">
        <v>0.51701350000000001</v>
      </c>
      <c r="V911">
        <v>-7.9719860000000003E-2</v>
      </c>
      <c r="W911">
        <v>0.10797709999999899</v>
      </c>
      <c r="X911">
        <v>0.9909519</v>
      </c>
      <c r="Y911">
        <v>-0.1551276</v>
      </c>
      <c r="Z911">
        <v>2.149364E-3</v>
      </c>
      <c r="AA911">
        <v>0.98789210000000005</v>
      </c>
      <c r="AB911">
        <v>39</v>
      </c>
      <c r="AC911">
        <v>30.3689</v>
      </c>
      <c r="AD911">
        <v>-1.08549769</v>
      </c>
      <c r="AE911">
        <v>5.3733000000000004</v>
      </c>
      <c r="AF911">
        <v>-4.8974013498243698</v>
      </c>
      <c r="AG911">
        <v>-1.08549769</v>
      </c>
      <c r="AH911">
        <v>30.410617579909999</v>
      </c>
      <c r="AI911">
        <v>92.018304801328497</v>
      </c>
      <c r="AJ911">
        <v>99.148506362264499</v>
      </c>
      <c r="AK911">
        <v>30.821559123571099</v>
      </c>
    </row>
    <row r="912" spans="1:37" x14ac:dyDescent="0.2">
      <c r="A912" t="str">
        <f>"20200111150554238"</f>
        <v>20200111150554238</v>
      </c>
      <c r="B912" t="str">
        <f>"1578726354227184"</f>
        <v>1578726354227184</v>
      </c>
      <c r="C912" t="s">
        <v>37</v>
      </c>
      <c r="D912">
        <v>5.2850330000000003</v>
      </c>
      <c r="E912">
        <v>0.4704294</v>
      </c>
      <c r="F912" t="s">
        <v>63</v>
      </c>
      <c r="G912">
        <v>-325.26979999999998</v>
      </c>
      <c r="H912">
        <v>6.3711859999999995E-2</v>
      </c>
      <c r="I912">
        <v>219.63</v>
      </c>
      <c r="J912">
        <v>-355.92059999999998</v>
      </c>
      <c r="K912">
        <v>1.1033569999999999</v>
      </c>
      <c r="L912">
        <v>214.24959999999999</v>
      </c>
      <c r="M912">
        <v>0.99980780000000002</v>
      </c>
      <c r="N912">
        <v>0</v>
      </c>
      <c r="O912">
        <v>1.5834339999999999E-2</v>
      </c>
      <c r="P912">
        <v>0.99091759999999995</v>
      </c>
      <c r="Q912">
        <v>9.6668069999999995E-2</v>
      </c>
      <c r="R912">
        <v>9.3476210000000004E-2</v>
      </c>
      <c r="S912">
        <v>2.98797599999999</v>
      </c>
      <c r="T912">
        <v>-0.1000229</v>
      </c>
      <c r="U912">
        <v>0.51827999999999996</v>
      </c>
      <c r="V912">
        <v>-7.7868950000000006E-2</v>
      </c>
      <c r="W912">
        <v>0.1080776</v>
      </c>
      <c r="X912">
        <v>0.99108819999999997</v>
      </c>
      <c r="Y912">
        <v>-0.1552037</v>
      </c>
      <c r="Z912">
        <v>2.0519520000000001E-3</v>
      </c>
      <c r="AA912">
        <v>0.98788029999999905</v>
      </c>
      <c r="AB912">
        <v>39</v>
      </c>
      <c r="AC912">
        <v>30.6508</v>
      </c>
      <c r="AD912">
        <v>-1.03964514</v>
      </c>
      <c r="AE912">
        <v>5.3803999999999998</v>
      </c>
      <c r="AF912">
        <v>-4.8889011986385</v>
      </c>
      <c r="AG912">
        <v>-1.03964514</v>
      </c>
      <c r="AH912">
        <v>30.6978953600272</v>
      </c>
      <c r="AI912">
        <v>91.915571751649196</v>
      </c>
      <c r="AJ912">
        <v>99.048848562129294</v>
      </c>
      <c r="AK912">
        <v>31.102138133613099</v>
      </c>
    </row>
    <row r="913" spans="1:37" x14ac:dyDescent="0.2">
      <c r="A913" t="str">
        <f>"20200111150554260"</f>
        <v>20200111150554260</v>
      </c>
      <c r="B913" t="str">
        <f>"1578726354256461"</f>
        <v>1578726354256461</v>
      </c>
      <c r="C913" t="s">
        <v>37</v>
      </c>
      <c r="D913">
        <v>5.2847479999999996</v>
      </c>
      <c r="E913">
        <v>0.47058800000000001</v>
      </c>
      <c r="F913" t="s">
        <v>63</v>
      </c>
      <c r="G913">
        <v>-324.68689999999998</v>
      </c>
      <c r="H913">
        <v>5.435421E-2</v>
      </c>
      <c r="I913">
        <v>219.6207</v>
      </c>
      <c r="J913">
        <v>-355.53890000000001</v>
      </c>
      <c r="K913">
        <v>1.103359</v>
      </c>
      <c r="L913">
        <v>214.25599999999901</v>
      </c>
      <c r="M913">
        <v>0.99980179999999996</v>
      </c>
      <c r="N913">
        <v>0</v>
      </c>
      <c r="O913">
        <v>1.6196840000000001E-2</v>
      </c>
      <c r="P913">
        <v>0.9909599</v>
      </c>
      <c r="Q913">
        <v>9.7053070000000005E-2</v>
      </c>
      <c r="R913">
        <v>9.2624310000000001E-2</v>
      </c>
      <c r="S913">
        <v>2.9887999999999999</v>
      </c>
      <c r="T913">
        <v>-0.1003807</v>
      </c>
      <c r="U913">
        <v>0.51396179999999902</v>
      </c>
      <c r="V913">
        <v>-7.6657230000000007E-2</v>
      </c>
      <c r="W913">
        <v>0.1084658</v>
      </c>
      <c r="X913">
        <v>0.99114020000000003</v>
      </c>
      <c r="Y913">
        <v>-0.1534141</v>
      </c>
      <c r="Z913">
        <v>2.0170779999999998E-3</v>
      </c>
      <c r="AA913">
        <v>0.98816000000000004</v>
      </c>
      <c r="AB913">
        <v>39</v>
      </c>
      <c r="AC913">
        <v>30.852</v>
      </c>
      <c r="AD913">
        <v>-1.0490047899999999</v>
      </c>
      <c r="AE913">
        <v>5.3647000000000196</v>
      </c>
      <c r="AF913">
        <v>-4.8588054642356902</v>
      </c>
      <c r="AG913">
        <v>-1.0490047899999999</v>
      </c>
      <c r="AH913">
        <v>30.900174698557599</v>
      </c>
      <c r="AI913">
        <v>91.920758479712802</v>
      </c>
      <c r="AJ913">
        <v>98.936133942595902</v>
      </c>
      <c r="AK913">
        <v>31.297431172383899</v>
      </c>
    </row>
    <row r="914" spans="1:37" x14ac:dyDescent="0.2">
      <c r="A914" t="str">
        <f>"20200111150554281"</f>
        <v>20200111150554281</v>
      </c>
      <c r="B914" t="str">
        <f>"1578726354276958"</f>
        <v>1578726354276958</v>
      </c>
      <c r="C914" t="s">
        <v>37</v>
      </c>
      <c r="D914">
        <v>5.2831910000000004</v>
      </c>
      <c r="E914">
        <v>0.47026419999999902</v>
      </c>
      <c r="F914" t="s">
        <v>63</v>
      </c>
      <c r="G914">
        <v>-324.0761</v>
      </c>
      <c r="H914">
        <v>5.3550689999999998E-2</v>
      </c>
      <c r="I914">
        <v>219.6199</v>
      </c>
      <c r="J914">
        <v>-355.18049999999999</v>
      </c>
      <c r="K914">
        <v>1.1033599999999999</v>
      </c>
      <c r="L914">
        <v>214.2621</v>
      </c>
      <c r="M914">
        <v>0.99979629999999997</v>
      </c>
      <c r="N914">
        <v>0</v>
      </c>
      <c r="O914">
        <v>1.6537110000000001E-2</v>
      </c>
      <c r="P914">
        <v>0.99103069999999904</v>
      </c>
      <c r="Q914">
        <v>9.6949830000000001E-2</v>
      </c>
      <c r="R914">
        <v>9.1972280000000003E-2</v>
      </c>
      <c r="S914">
        <v>2.9895019999999999</v>
      </c>
      <c r="T914">
        <v>-9.97498E-2</v>
      </c>
      <c r="U914">
        <v>0.50965879999999997</v>
      </c>
      <c r="V914">
        <v>-7.566647E-2</v>
      </c>
      <c r="W914">
        <v>0.1083662</v>
      </c>
      <c r="X914">
        <v>0.99122719999999898</v>
      </c>
      <c r="Y914">
        <v>-0.15165909999999999</v>
      </c>
      <c r="Z914">
        <v>1.9638619999999998E-3</v>
      </c>
      <c r="AA914">
        <v>0.9884309</v>
      </c>
      <c r="AB914">
        <v>39</v>
      </c>
      <c r="AC914">
        <v>31.104399999999998</v>
      </c>
      <c r="AD914">
        <v>-1.0498093100000001</v>
      </c>
      <c r="AE914">
        <v>5.3577999999999903</v>
      </c>
      <c r="AF914">
        <v>-4.8373043340095396</v>
      </c>
      <c r="AG914">
        <v>-1.0498093100000001</v>
      </c>
      <c r="AH914">
        <v>31.154287990982599</v>
      </c>
      <c r="AI914">
        <v>91.907136562535896</v>
      </c>
      <c r="AJ914">
        <v>98.825799845000105</v>
      </c>
      <c r="AK914">
        <v>31.545067332822001</v>
      </c>
    </row>
    <row r="915" spans="1:37" x14ac:dyDescent="0.2">
      <c r="A915" t="str">
        <f>"20200111150556292"</f>
        <v>20200111150556292</v>
      </c>
      <c r="B915" t="str">
        <f>"1578726356286916"</f>
        <v>1578726356286916</v>
      </c>
      <c r="C915" t="s">
        <v>37</v>
      </c>
      <c r="D915">
        <v>5.0389869999999997</v>
      </c>
      <c r="E915">
        <v>0.51729459999999905</v>
      </c>
      <c r="F915" t="s">
        <v>63</v>
      </c>
      <c r="G915">
        <v>-323.78989999999999</v>
      </c>
      <c r="H915">
        <v>3.0634379999999999E-3</v>
      </c>
      <c r="I915">
        <v>219.6163</v>
      </c>
      <c r="J915">
        <v>-319.86649999999997</v>
      </c>
      <c r="K915">
        <v>1.101952</v>
      </c>
      <c r="L915">
        <v>215.26009999999999</v>
      </c>
      <c r="M915">
        <v>0.99979819999999997</v>
      </c>
      <c r="N915">
        <v>0</v>
      </c>
      <c r="O915">
        <v>1.625681E-2</v>
      </c>
      <c r="P915">
        <v>0.99214219999999897</v>
      </c>
      <c r="Q915">
        <v>9.7330150000000004E-2</v>
      </c>
      <c r="R915">
        <v>7.8617759999999995E-2</v>
      </c>
      <c r="S915">
        <v>2.9900820000000001</v>
      </c>
      <c r="T915">
        <v>-0.1048077</v>
      </c>
      <c r="U915">
        <v>0.51000979999999996</v>
      </c>
      <c r="V915">
        <v>-6.2210979999999999E-2</v>
      </c>
      <c r="W915">
        <v>0.1092019</v>
      </c>
      <c r="X915">
        <v>0.99207089999999998</v>
      </c>
      <c r="Y915">
        <v>-0.15200920000000001</v>
      </c>
      <c r="Z915">
        <v>2.0788E-3</v>
      </c>
      <c r="AA915">
        <v>0.9883769</v>
      </c>
      <c r="AB915">
        <v>40</v>
      </c>
      <c r="AC915">
        <v>-3.9234000000000102</v>
      </c>
      <c r="AD915">
        <v>-1.098888562</v>
      </c>
      <c r="AE915">
        <v>4.3562000000000003</v>
      </c>
      <c r="AF915">
        <v>-4.2694072583975</v>
      </c>
      <c r="AG915">
        <v>-1.098888562</v>
      </c>
      <c r="AH915">
        <v>-3.7213122356327002</v>
      </c>
      <c r="AI915">
        <v>100.980526171383</v>
      </c>
      <c r="AJ915">
        <v>-138.923854564621</v>
      </c>
      <c r="AK915">
        <v>5.7691905120927798</v>
      </c>
    </row>
    <row r="916" spans="1:37" x14ac:dyDescent="0.2">
      <c r="A916" t="str">
        <f>"20200111150556316"</f>
        <v>20200111150556316</v>
      </c>
      <c r="B916" t="str">
        <f>"1578726356307413"</f>
        <v>1578726356307413</v>
      </c>
      <c r="C916" t="s">
        <v>37</v>
      </c>
      <c r="D916">
        <v>6.7474740000000004</v>
      </c>
      <c r="E916">
        <v>0.4757055</v>
      </c>
      <c r="F916" t="s">
        <v>38</v>
      </c>
      <c r="G916">
        <v>-319.15660000000003</v>
      </c>
      <c r="H916">
        <v>0.99200299999999997</v>
      </c>
      <c r="I916">
        <v>215.2824</v>
      </c>
      <c r="J916">
        <v>-319.44720000000001</v>
      </c>
      <c r="K916">
        <v>1.1019490000000001</v>
      </c>
      <c r="L916">
        <v>215.26609999999999</v>
      </c>
      <c r="M916">
        <v>0.99981339999999996</v>
      </c>
      <c r="N916">
        <v>0</v>
      </c>
      <c r="O916">
        <v>1.529345E-2</v>
      </c>
      <c r="P916">
        <v>0.99221870000000001</v>
      </c>
      <c r="Q916">
        <v>9.731418E-2</v>
      </c>
      <c r="R916">
        <v>7.7666959999999993E-2</v>
      </c>
      <c r="S916">
        <v>3.0626829999999998</v>
      </c>
      <c r="T916">
        <v>-0.47434079999999901</v>
      </c>
      <c r="U916">
        <v>9.6206669999999994E-2</v>
      </c>
      <c r="V916">
        <v>-6.2217309999999998E-2</v>
      </c>
      <c r="W916">
        <v>0.10917439999999901</v>
      </c>
      <c r="X916">
        <v>0.99207350000000005</v>
      </c>
      <c r="Y916">
        <v>-1.6096840000000001E-2</v>
      </c>
      <c r="Z916">
        <v>-1.115128E-3</v>
      </c>
      <c r="AA916">
        <v>0.99986980000000003</v>
      </c>
      <c r="AB916">
        <v>40</v>
      </c>
      <c r="AC916">
        <v>0.29059999999998298</v>
      </c>
      <c r="AD916">
        <v>-0.109946</v>
      </c>
      <c r="AE916">
        <v>1.6300000000001001E-2</v>
      </c>
      <c r="AF916">
        <v>-1.03733065327134E-2</v>
      </c>
      <c r="AG916">
        <v>-0.109946</v>
      </c>
      <c r="AH916">
        <v>0.25449989339847201</v>
      </c>
      <c r="AI916">
        <v>113.34742477693599</v>
      </c>
      <c r="AJ916">
        <v>92.334059420828595</v>
      </c>
      <c r="AK916">
        <v>0.27742733128560998</v>
      </c>
    </row>
    <row r="917" spans="1:37" x14ac:dyDescent="0.2">
      <c r="A917" t="str">
        <f>"20200111150556984"</f>
        <v>20200111150556984</v>
      </c>
      <c r="B917" t="str">
        <f>"1578726356976949"</f>
        <v>1578726356976949</v>
      </c>
      <c r="C917" t="s">
        <v>37</v>
      </c>
      <c r="D917">
        <v>4.6406749999999999</v>
      </c>
      <c r="E917">
        <v>0.49138339999999903</v>
      </c>
      <c r="F917" t="s">
        <v>66</v>
      </c>
      <c r="G917">
        <v>-305.00940000000003</v>
      </c>
      <c r="H917" s="1">
        <v>1.7646739999999999E-6</v>
      </c>
      <c r="I917">
        <v>217.3047</v>
      </c>
      <c r="J917">
        <v>-307.45010000000002</v>
      </c>
      <c r="K917">
        <v>1.102525</v>
      </c>
      <c r="L917">
        <v>215.27969999999999</v>
      </c>
      <c r="M917">
        <v>0.99990080000000003</v>
      </c>
      <c r="N917">
        <v>0</v>
      </c>
      <c r="O917">
        <v>-7.7586209999999899E-3</v>
      </c>
      <c r="P917">
        <v>0.99327980000000005</v>
      </c>
      <c r="Q917">
        <v>9.2487189999999997E-2</v>
      </c>
      <c r="R917">
        <v>6.9582279999999996E-2</v>
      </c>
      <c r="S917">
        <v>3.0127869999999999</v>
      </c>
      <c r="T917">
        <v>-0.2299467</v>
      </c>
      <c r="U917">
        <v>0.42541499999999999</v>
      </c>
      <c r="V917">
        <v>-7.7182959999999995E-2</v>
      </c>
      <c r="W917">
        <v>0.1042285</v>
      </c>
      <c r="X917">
        <v>0.99155400000000005</v>
      </c>
      <c r="Y917">
        <v>-0.1470533</v>
      </c>
      <c r="Z917">
        <v>6.1646490000000003E-3</v>
      </c>
      <c r="AA917">
        <v>0.98910929999999997</v>
      </c>
      <c r="AB917">
        <v>40</v>
      </c>
      <c r="AC917">
        <v>2.4406999999999899</v>
      </c>
      <c r="AD917">
        <v>-1.1025232353259999</v>
      </c>
      <c r="AE917">
        <v>2.0249999999999999</v>
      </c>
      <c r="AF917">
        <v>-1.82349130184015</v>
      </c>
      <c r="AG917">
        <v>-1.1025232353259999</v>
      </c>
      <c r="AH917">
        <v>2.1634425220101998</v>
      </c>
      <c r="AI917">
        <v>111.289090314041</v>
      </c>
      <c r="AJ917">
        <v>130.12638722436199</v>
      </c>
      <c r="AK917">
        <v>3.0366365535510198</v>
      </c>
    </row>
    <row r="918" spans="1:37" x14ac:dyDescent="0.2">
      <c r="A918" t="str">
        <f>"20200111150557096"</f>
        <v>20200111150557096</v>
      </c>
      <c r="B918" t="str">
        <f>"1578726357087237"</f>
        <v>1578726357087237</v>
      </c>
      <c r="C918" t="s">
        <v>37</v>
      </c>
      <c r="D918">
        <v>8.6222469999999998</v>
      </c>
      <c r="E918">
        <v>0.4474088</v>
      </c>
      <c r="F918" t="s">
        <v>66</v>
      </c>
      <c r="G918">
        <v>-296.50279999999998</v>
      </c>
      <c r="H918" s="1">
        <v>2.047904E-6</v>
      </c>
      <c r="I918">
        <v>216.2747</v>
      </c>
      <c r="J918">
        <v>-305.4391</v>
      </c>
      <c r="K918">
        <v>1.102938</v>
      </c>
      <c r="L918">
        <v>215.26400000000001</v>
      </c>
      <c r="M918">
        <v>0.99990029999999996</v>
      </c>
      <c r="N918">
        <v>0</v>
      </c>
      <c r="O918">
        <v>-7.5404759999999999E-3</v>
      </c>
      <c r="P918">
        <v>0.9933573</v>
      </c>
      <c r="Q918">
        <v>9.1734930000000006E-2</v>
      </c>
      <c r="R918">
        <v>6.9468740000000001E-2</v>
      </c>
      <c r="S918">
        <v>3.0294490000000001</v>
      </c>
      <c r="T918">
        <v>-0.30510320000000002</v>
      </c>
      <c r="U918">
        <v>0.275360099999999</v>
      </c>
      <c r="V918">
        <v>-7.6956090000000005E-2</v>
      </c>
      <c r="W918">
        <v>0.1035749</v>
      </c>
      <c r="X918">
        <v>0.99163999999999997</v>
      </c>
      <c r="Y918">
        <v>-9.7501619999999997E-2</v>
      </c>
      <c r="Z918">
        <v>5.6434969999999999E-3</v>
      </c>
      <c r="AA918">
        <v>0.99521930000000003</v>
      </c>
      <c r="AB918">
        <v>40</v>
      </c>
      <c r="AC918">
        <v>8.9363000000000099</v>
      </c>
      <c r="AD918">
        <v>-1.102935952096</v>
      </c>
      <c r="AE918">
        <v>1.0106999999999799</v>
      </c>
      <c r="AF918">
        <v>-1.06208562253266</v>
      </c>
      <c r="AG918">
        <v>-1.102935952096</v>
      </c>
      <c r="AH918">
        <v>8.7961252630228906</v>
      </c>
      <c r="AI918">
        <v>97.095942848807795</v>
      </c>
      <c r="AJ918">
        <v>96.884832915224905</v>
      </c>
      <c r="AK918">
        <v>8.92839925332677</v>
      </c>
    </row>
    <row r="919" spans="1:37" x14ac:dyDescent="0.2">
      <c r="A919" t="str">
        <f>"20200111150557119"</f>
        <v>20200111150557119</v>
      </c>
      <c r="B919" t="str">
        <f>"1578726357106756"</f>
        <v>1578726357106756</v>
      </c>
      <c r="C919" t="s">
        <v>37</v>
      </c>
      <c r="D919">
        <v>9.2209009999999996</v>
      </c>
      <c r="E919">
        <v>0.4915484</v>
      </c>
      <c r="F919" t="s">
        <v>66</v>
      </c>
      <c r="G919">
        <v>-300.85649999999998</v>
      </c>
      <c r="H919" s="1">
        <v>2.50132499999999E-6</v>
      </c>
      <c r="I919">
        <v>216.20580000000001</v>
      </c>
      <c r="J919">
        <v>-305.02460000000002</v>
      </c>
      <c r="K919">
        <v>1.1030040000000001</v>
      </c>
      <c r="L919">
        <v>215.261</v>
      </c>
      <c r="M919">
        <v>0.99990190000000001</v>
      </c>
      <c r="N919">
        <v>0</v>
      </c>
      <c r="O919">
        <v>-7.3204119999999897E-3</v>
      </c>
      <c r="P919">
        <v>0.99319089999999999</v>
      </c>
      <c r="Q919">
        <v>9.0585159999999998E-2</v>
      </c>
      <c r="R919">
        <v>7.3255000000000001E-2</v>
      </c>
      <c r="S919">
        <v>3.0439449999999999</v>
      </c>
      <c r="T919">
        <v>-0.73261999999999905</v>
      </c>
      <c r="U919">
        <v>0.625625599999999</v>
      </c>
      <c r="V919">
        <v>-8.0539890000000003E-2</v>
      </c>
      <c r="W919">
        <v>0.102434199999999</v>
      </c>
      <c r="X919">
        <v>0.99147389999999902</v>
      </c>
      <c r="Y919">
        <v>-0.20272799999999999</v>
      </c>
      <c r="Z919">
        <v>2.553453E-2</v>
      </c>
      <c r="AA919">
        <v>0.9789021</v>
      </c>
      <c r="AB919">
        <v>40</v>
      </c>
      <c r="AC919">
        <v>4.1681000000000301</v>
      </c>
      <c r="AD919">
        <v>-1.1030014986750001</v>
      </c>
      <c r="AE919">
        <v>0.94480000000001496</v>
      </c>
      <c r="AF919">
        <v>-0.91438518665622404</v>
      </c>
      <c r="AG919">
        <v>-1.1030014986750001</v>
      </c>
      <c r="AH919">
        <v>3.9012250396166701</v>
      </c>
      <c r="AI919">
        <v>105.390739736965</v>
      </c>
      <c r="AJ919">
        <v>103.191105883921</v>
      </c>
      <c r="AK919">
        <v>4.1559919857222702</v>
      </c>
    </row>
    <row r="920" spans="1:37" x14ac:dyDescent="0.2">
      <c r="A920" t="str">
        <f>"20200111150557140"</f>
        <v>20200111150557140</v>
      </c>
      <c r="B920" t="str">
        <f>"1578726357137012"</f>
        <v>1578726357137012</v>
      </c>
      <c r="C920" t="s">
        <v>37</v>
      </c>
      <c r="D920">
        <v>4.9733390000000002</v>
      </c>
      <c r="E920">
        <v>0.50676960000000004</v>
      </c>
      <c r="F920" t="s">
        <v>66</v>
      </c>
      <c r="G920">
        <v>-291.84370000000001</v>
      </c>
      <c r="H920" s="1">
        <v>1.2214460000000001E-6</v>
      </c>
      <c r="I920">
        <v>216.5145</v>
      </c>
      <c r="J920">
        <v>-304.65429999999998</v>
      </c>
      <c r="K920">
        <v>1.103056</v>
      </c>
      <c r="L920">
        <v>215.2585</v>
      </c>
      <c r="M920">
        <v>0.99990330000000005</v>
      </c>
      <c r="N920">
        <v>0</v>
      </c>
      <c r="O920">
        <v>-7.0986740000000001E-3</v>
      </c>
      <c r="P920">
        <v>0.99278180000000005</v>
      </c>
      <c r="Q920">
        <v>9.1051220000000002E-2</v>
      </c>
      <c r="R920">
        <v>7.8067570000000003E-2</v>
      </c>
      <c r="S920">
        <v>3.0224299999999999</v>
      </c>
      <c r="T920">
        <v>-0.25292229999999999</v>
      </c>
      <c r="U920">
        <v>0.28742979999999901</v>
      </c>
      <c r="V920">
        <v>-8.5142029999999994E-2</v>
      </c>
      <c r="W920">
        <v>0.1029038</v>
      </c>
      <c r="X920">
        <v>0.991040699999999</v>
      </c>
      <c r="Y920">
        <v>-0.101360899999999</v>
      </c>
      <c r="Z920">
        <v>4.815906E-3</v>
      </c>
      <c r="AA920">
        <v>0.99483809999999995</v>
      </c>
      <c r="AB920">
        <v>40</v>
      </c>
      <c r="AC920">
        <v>12.8105999999999</v>
      </c>
      <c r="AD920">
        <v>-1.1030547785539999</v>
      </c>
      <c r="AE920">
        <v>1.256</v>
      </c>
      <c r="AF920">
        <v>-1.3370942334438201</v>
      </c>
      <c r="AG920">
        <v>-1.1030547785539999</v>
      </c>
      <c r="AH920">
        <v>12.708039684347501</v>
      </c>
      <c r="AI920">
        <v>94.933727462226003</v>
      </c>
      <c r="AJ920">
        <v>96.006356482495406</v>
      </c>
      <c r="AK920">
        <v>12.8257094717037</v>
      </c>
    </row>
    <row r="921" spans="1:37" x14ac:dyDescent="0.2">
      <c r="A921" t="str">
        <f>"20200111150557161"</f>
        <v>20200111150557161</v>
      </c>
      <c r="B921" t="str">
        <f>"1578726357156532"</f>
        <v>1578726357156532</v>
      </c>
      <c r="C921" t="s">
        <v>37</v>
      </c>
      <c r="D921">
        <v>5.0038169999999997</v>
      </c>
      <c r="E921">
        <v>0.50782050000000001</v>
      </c>
      <c r="F921" t="s">
        <v>66</v>
      </c>
      <c r="G921">
        <v>-280.89679999999998</v>
      </c>
      <c r="H921" s="1">
        <v>6.446666E-6</v>
      </c>
      <c r="I921">
        <v>216.68450000000001</v>
      </c>
      <c r="J921">
        <v>-304.26069999999999</v>
      </c>
      <c r="K921">
        <v>1.103102</v>
      </c>
      <c r="L921">
        <v>215.25599999999901</v>
      </c>
      <c r="M921">
        <v>0.99990480000000004</v>
      </c>
      <c r="N921">
        <v>0</v>
      </c>
      <c r="O921">
        <v>-6.842491E-3</v>
      </c>
      <c r="P921">
        <v>0.99232580000000004</v>
      </c>
      <c r="Q921">
        <v>9.1925740000000006E-2</v>
      </c>
      <c r="R921">
        <v>8.2700190000000007E-2</v>
      </c>
      <c r="S921">
        <v>3.0204469999999999</v>
      </c>
      <c r="T921">
        <v>-0.140238</v>
      </c>
      <c r="U921">
        <v>0.1812897</v>
      </c>
      <c r="V921">
        <v>-8.9527850000000006E-2</v>
      </c>
      <c r="W921">
        <v>0.10377980000000001</v>
      </c>
      <c r="X921">
        <v>0.99056270000000002</v>
      </c>
      <c r="Y921">
        <v>-6.666337E-2</v>
      </c>
      <c r="Z921">
        <v>1.8626300000000001E-3</v>
      </c>
      <c r="AA921">
        <v>0.99777380000000004</v>
      </c>
      <c r="AB921">
        <v>40</v>
      </c>
      <c r="AC921">
        <v>23.363900000000001</v>
      </c>
      <c r="AD921">
        <v>-1.1030955533339999</v>
      </c>
      <c r="AE921">
        <v>1.4285000000000401</v>
      </c>
      <c r="AF921">
        <v>-1.58482567997754</v>
      </c>
      <c r="AG921">
        <v>-1.1030955533339999</v>
      </c>
      <c r="AH921">
        <v>23.3018283945934</v>
      </c>
      <c r="AI921">
        <v>92.704089091937306</v>
      </c>
      <c r="AJ921">
        <v>93.890861966289705</v>
      </c>
      <c r="AK921">
        <v>23.381695806052701</v>
      </c>
    </row>
    <row r="922" spans="1:37" x14ac:dyDescent="0.2">
      <c r="A922" t="str">
        <f>"20200111150557184"</f>
        <v>20200111150557184</v>
      </c>
      <c r="B922" t="str">
        <f>"1578726357177028"</f>
        <v>1578726357177028</v>
      </c>
      <c r="C922" t="s">
        <v>37</v>
      </c>
      <c r="D922">
        <v>5.8849339999999897</v>
      </c>
      <c r="E922">
        <v>0.5066022</v>
      </c>
      <c r="F922" t="s">
        <v>66</v>
      </c>
      <c r="G922">
        <v>-283.6936</v>
      </c>
      <c r="H922" s="1">
        <v>5.2247899999999997E-6</v>
      </c>
      <c r="I922">
        <v>216.53030000000001</v>
      </c>
      <c r="J922">
        <v>-303.8295</v>
      </c>
      <c r="K922">
        <v>1.103137</v>
      </c>
      <c r="L922">
        <v>215.2533</v>
      </c>
      <c r="M922">
        <v>0.99990650000000003</v>
      </c>
      <c r="N922">
        <v>0</v>
      </c>
      <c r="O922">
        <v>-6.5454140000000003E-3</v>
      </c>
      <c r="P922">
        <v>0.99191770000000001</v>
      </c>
      <c r="Q922">
        <v>9.2796649999999994E-2</v>
      </c>
      <c r="R922">
        <v>8.6533940000000004E-2</v>
      </c>
      <c r="S922">
        <v>3.0226139999999999</v>
      </c>
      <c r="T922">
        <v>-0.1621147</v>
      </c>
      <c r="U922">
        <v>0.1872711</v>
      </c>
      <c r="V922">
        <v>-9.3073009999999998E-2</v>
      </c>
      <c r="W922">
        <v>0.10465480000000001</v>
      </c>
      <c r="X922">
        <v>0.99014380000000002</v>
      </c>
      <c r="Y922">
        <v>-6.8263019999999994E-2</v>
      </c>
      <c r="Z922">
        <v>2.1780559999999998E-3</v>
      </c>
      <c r="AA922">
        <v>0.99766499999999902</v>
      </c>
      <c r="AB922">
        <v>40</v>
      </c>
      <c r="AC922">
        <v>20.1358999999999</v>
      </c>
      <c r="AD922">
        <v>-1.1031317752100001</v>
      </c>
      <c r="AE922">
        <v>1.2770000000000099</v>
      </c>
      <c r="AF922">
        <v>-1.4045812284700001</v>
      </c>
      <c r="AG922">
        <v>-1.1031317752100001</v>
      </c>
      <c r="AH922">
        <v>20.067122854447899</v>
      </c>
      <c r="AI922">
        <v>93.138837993795093</v>
      </c>
      <c r="AJ922">
        <v>94.003839455235493</v>
      </c>
      <c r="AK922">
        <v>20.1464430556948</v>
      </c>
    </row>
    <row r="923" spans="1:37" x14ac:dyDescent="0.2">
      <c r="A923" t="str">
        <f>"20200111150557207"</f>
        <v>20200111150557207</v>
      </c>
      <c r="B923" t="str">
        <f>"1578726357196548"</f>
        <v>1578726357196548</v>
      </c>
      <c r="C923" t="s">
        <v>37</v>
      </c>
      <c r="D923">
        <v>5.157038</v>
      </c>
      <c r="E923">
        <v>0.50748879999999996</v>
      </c>
      <c r="F923" t="s">
        <v>66</v>
      </c>
      <c r="G923">
        <v>-287.37939999999998</v>
      </c>
      <c r="H923" s="1">
        <v>3.60734E-6</v>
      </c>
      <c r="I923">
        <v>216.38720000000001</v>
      </c>
      <c r="J923">
        <v>-303.42939999999999</v>
      </c>
      <c r="K923">
        <v>1.1031569999999999</v>
      </c>
      <c r="L923">
        <v>215.2509</v>
      </c>
      <c r="M923">
        <v>0.99990809999999997</v>
      </c>
      <c r="N923">
        <v>0</v>
      </c>
      <c r="O923">
        <v>-6.2608619999999999E-3</v>
      </c>
      <c r="P923">
        <v>0.99168840000000003</v>
      </c>
      <c r="Q923">
        <v>9.3309959999999997E-2</v>
      </c>
      <c r="R923">
        <v>8.8587319999999997E-2</v>
      </c>
      <c r="S923">
        <v>3.02526899999999</v>
      </c>
      <c r="T923">
        <v>-0.20287269999999999</v>
      </c>
      <c r="U923">
        <v>0.208541899999999</v>
      </c>
      <c r="V923">
        <v>-9.4849009999999997E-2</v>
      </c>
      <c r="W923">
        <v>0.10517310000000001</v>
      </c>
      <c r="X923">
        <v>0.98992029999999998</v>
      </c>
      <c r="Y923">
        <v>-7.4833979999999994E-2</v>
      </c>
      <c r="Z923">
        <v>2.922319E-3</v>
      </c>
      <c r="AA923">
        <v>0.99719169999999901</v>
      </c>
      <c r="AB923">
        <v>40</v>
      </c>
      <c r="AC923">
        <v>16.05</v>
      </c>
      <c r="AD923">
        <v>-1.1031533926599999</v>
      </c>
      <c r="AE923">
        <v>1.1363000000000001</v>
      </c>
      <c r="AF923">
        <v>-1.2309854953710699</v>
      </c>
      <c r="AG923">
        <v>-1.1031533926599999</v>
      </c>
      <c r="AH923">
        <v>15.9675142614867</v>
      </c>
      <c r="AI923">
        <v>93.940478677462806</v>
      </c>
      <c r="AJ923">
        <v>94.4083906775423</v>
      </c>
      <c r="AK923">
        <v>16.0528434985311</v>
      </c>
    </row>
    <row r="924" spans="1:37" x14ac:dyDescent="0.2">
      <c r="A924" t="str">
        <f>"20200111150557228"</f>
        <v>20200111150557228</v>
      </c>
      <c r="B924" t="str">
        <f>"1578726357226805"</f>
        <v>1578726357226805</v>
      </c>
      <c r="C924" t="s">
        <v>37</v>
      </c>
      <c r="D924">
        <v>5.0819380000000001</v>
      </c>
      <c r="E924">
        <v>0.50849599999999995</v>
      </c>
      <c r="F924" t="s">
        <v>66</v>
      </c>
      <c r="G924">
        <v>-287.07190000000003</v>
      </c>
      <c r="H924" s="1">
        <v>3.7453840000000002E-6</v>
      </c>
      <c r="I924">
        <v>216.37309999999999</v>
      </c>
      <c r="J924">
        <v>-303.04039999999998</v>
      </c>
      <c r="K924">
        <v>1.1031850000000001</v>
      </c>
      <c r="L924">
        <v>215.24870000000001</v>
      </c>
      <c r="M924">
        <v>0.99990970000000001</v>
      </c>
      <c r="N924">
        <v>0</v>
      </c>
      <c r="O924">
        <v>-5.9813829999999998E-3</v>
      </c>
      <c r="P924">
        <v>0.99152309999999999</v>
      </c>
      <c r="Q924">
        <v>9.3806559999999997E-2</v>
      </c>
      <c r="R924">
        <v>8.9901140000000004E-2</v>
      </c>
      <c r="S924">
        <v>3.0258479999999999</v>
      </c>
      <c r="T924">
        <v>-0.20406359999999901</v>
      </c>
      <c r="U924">
        <v>0.2075806</v>
      </c>
      <c r="V924">
        <v>-9.5889379999999996E-2</v>
      </c>
      <c r="W924">
        <v>0.1056748</v>
      </c>
      <c r="X924">
        <v>0.9897667</v>
      </c>
      <c r="Y924">
        <v>-7.4226769999999997E-2</v>
      </c>
      <c r="Z924">
        <v>2.8996719999999998E-3</v>
      </c>
      <c r="AA924">
        <v>0.99723709999999899</v>
      </c>
      <c r="AB924">
        <v>40</v>
      </c>
      <c r="AC924">
        <v>15.968499999999899</v>
      </c>
      <c r="AD924">
        <v>-1.103181254616</v>
      </c>
      <c r="AE924">
        <v>1.1243999999999801</v>
      </c>
      <c r="AF924">
        <v>-1.2141343857186999</v>
      </c>
      <c r="AG924">
        <v>-1.103181254616</v>
      </c>
      <c r="AH924">
        <v>15.886042859494101</v>
      </c>
      <c r="AI924">
        <v>93.960923414951296</v>
      </c>
      <c r="AJ924">
        <v>94.370490635053599</v>
      </c>
      <c r="AK924">
        <v>15.970519369162799</v>
      </c>
    </row>
    <row r="925" spans="1:37" x14ac:dyDescent="0.2">
      <c r="A925" t="str">
        <f>"20200111150557251"</f>
        <v>20200111150557251</v>
      </c>
      <c r="B925" t="str">
        <f>"1578726357247300"</f>
        <v>1578726357247300</v>
      </c>
      <c r="C925" t="s">
        <v>37</v>
      </c>
      <c r="D925">
        <v>5.0241930000000004</v>
      </c>
      <c r="E925">
        <v>0.50984379999999996</v>
      </c>
      <c r="F925" t="s">
        <v>66</v>
      </c>
      <c r="G925">
        <v>-288.1934</v>
      </c>
      <c r="H925" s="1">
        <v>3.263462E-6</v>
      </c>
      <c r="I925">
        <v>216.2439</v>
      </c>
      <c r="J925">
        <v>-302.6395</v>
      </c>
      <c r="K925">
        <v>1.103208</v>
      </c>
      <c r="L925">
        <v>215.2466</v>
      </c>
      <c r="M925">
        <v>0.99991129999999995</v>
      </c>
      <c r="N925">
        <v>0</v>
      </c>
      <c r="O925">
        <v>-5.6934759999999899E-3</v>
      </c>
      <c r="P925">
        <v>0.99140550000000005</v>
      </c>
      <c r="Q925">
        <v>9.4338820000000004E-2</v>
      </c>
      <c r="R925">
        <v>9.0639780000000003E-2</v>
      </c>
      <c r="S925">
        <v>3.0285340000000001</v>
      </c>
      <c r="T925">
        <v>-0.22503020000000001</v>
      </c>
      <c r="U925">
        <v>0.20300289999999999</v>
      </c>
      <c r="V925">
        <v>-9.6346769999999998E-2</v>
      </c>
      <c r="W925">
        <v>0.106212899999999</v>
      </c>
      <c r="X925">
        <v>0.98966469999999995</v>
      </c>
      <c r="Y925">
        <v>-7.2345889999999996E-2</v>
      </c>
      <c r="Z925">
        <v>3.103115E-3</v>
      </c>
      <c r="AA925">
        <v>0.99737480000000001</v>
      </c>
      <c r="AB925">
        <v>40</v>
      </c>
      <c r="AC925">
        <v>14.446099999999999</v>
      </c>
      <c r="AD925">
        <v>-1.103204736538</v>
      </c>
      <c r="AE925">
        <v>0.99729999999999497</v>
      </c>
      <c r="AF925">
        <v>-1.07330856884301</v>
      </c>
      <c r="AG925">
        <v>-1.103204736538</v>
      </c>
      <c r="AH925">
        <v>14.356856528538099</v>
      </c>
      <c r="AI925">
        <v>94.381887914701593</v>
      </c>
      <c r="AJ925">
        <v>94.275439227253798</v>
      </c>
      <c r="AK925">
        <v>14.4391267518399</v>
      </c>
    </row>
    <row r="926" spans="1:37" x14ac:dyDescent="0.2">
      <c r="A926" t="str">
        <f>"20200111150557275"</f>
        <v>20200111150557275</v>
      </c>
      <c r="B926" t="str">
        <f>"1578726357266821"</f>
        <v>1578726357266821</v>
      </c>
      <c r="C926" t="s">
        <v>37</v>
      </c>
      <c r="D926">
        <v>5.2387459999999999</v>
      </c>
      <c r="E926">
        <v>0.51216689999999998</v>
      </c>
      <c r="F926" t="s">
        <v>66</v>
      </c>
      <c r="G926">
        <v>-287.66899999999998</v>
      </c>
      <c r="H926" s="1">
        <v>3.50074E-6</v>
      </c>
      <c r="I926">
        <v>216.20410000000001</v>
      </c>
      <c r="J926">
        <v>-302.21510000000001</v>
      </c>
      <c r="K926">
        <v>1.103227</v>
      </c>
      <c r="L926">
        <v>215.24449999999999</v>
      </c>
      <c r="M926">
        <v>0.99991289999999999</v>
      </c>
      <c r="N926">
        <v>0</v>
      </c>
      <c r="O926">
        <v>-5.3901950000000004E-3</v>
      </c>
      <c r="P926">
        <v>0.99143570000000003</v>
      </c>
      <c r="Q926">
        <v>9.4685870000000005E-2</v>
      </c>
      <c r="R926">
        <v>8.9946739999999997E-2</v>
      </c>
      <c r="S926">
        <v>3.029541</v>
      </c>
      <c r="T926">
        <v>-0.22325309999999901</v>
      </c>
      <c r="U926">
        <v>0.19375609999999999</v>
      </c>
      <c r="V926">
        <v>-9.5356850000000007E-2</v>
      </c>
      <c r="W926">
        <v>0.1065648</v>
      </c>
      <c r="X926">
        <v>0.98972269999999896</v>
      </c>
      <c r="Y926">
        <v>-6.9002939999999999E-2</v>
      </c>
      <c r="Z926">
        <v>2.9327799999999998E-3</v>
      </c>
      <c r="AA926">
        <v>0.997612099999999</v>
      </c>
      <c r="AB926">
        <v>40</v>
      </c>
      <c r="AC926">
        <v>14.5460999999999</v>
      </c>
      <c r="AD926">
        <v>-1.1032234992600001</v>
      </c>
      <c r="AE926">
        <v>0.95960000000002299</v>
      </c>
      <c r="AF926">
        <v>-1.0320870189493401</v>
      </c>
      <c r="AG926">
        <v>-1.1032234992600001</v>
      </c>
      <c r="AH926">
        <v>14.457911434578399</v>
      </c>
      <c r="AI926">
        <v>94.352515133897299</v>
      </c>
      <c r="AJ926">
        <v>94.083168515425101</v>
      </c>
      <c r="AK926">
        <v>14.536626457129399</v>
      </c>
    </row>
    <row r="927" spans="1:37" x14ac:dyDescent="0.2">
      <c r="A927" t="str">
        <f>"20200111150557297"</f>
        <v>20200111150557297</v>
      </c>
      <c r="B927" t="str">
        <f>"1578726357287316"</f>
        <v>1578726357287316</v>
      </c>
      <c r="C927" t="s">
        <v>37</v>
      </c>
      <c r="D927">
        <v>4.9842550000000001</v>
      </c>
      <c r="E927">
        <v>0.51352180000000003</v>
      </c>
      <c r="F927" t="s">
        <v>66</v>
      </c>
      <c r="G927">
        <v>-286.9194</v>
      </c>
      <c r="H927" s="1">
        <v>3.8438389999999902E-6</v>
      </c>
      <c r="I927">
        <v>216.11449999999999</v>
      </c>
      <c r="J927">
        <v>-301.81509999999997</v>
      </c>
      <c r="K927">
        <v>1.103232</v>
      </c>
      <c r="L927">
        <v>215.24260000000001</v>
      </c>
      <c r="M927">
        <v>0.99991430000000003</v>
      </c>
      <c r="N927">
        <v>0</v>
      </c>
      <c r="O927">
        <v>-5.1062420000000004E-3</v>
      </c>
      <c r="P927">
        <v>0.99162059999999996</v>
      </c>
      <c r="Q927">
        <v>9.4349920000000004E-2</v>
      </c>
      <c r="R927">
        <v>8.8241589999999995E-2</v>
      </c>
      <c r="S927">
        <v>3.031158</v>
      </c>
      <c r="T927">
        <v>-0.2186275</v>
      </c>
      <c r="U927">
        <v>0.17240910000000001</v>
      </c>
      <c r="V927">
        <v>-9.3373159999999997E-2</v>
      </c>
      <c r="W927">
        <v>0.10623099999999901</v>
      </c>
      <c r="X927">
        <v>0.98994769999999899</v>
      </c>
      <c r="Y927">
        <v>-6.1711759999999997E-2</v>
      </c>
      <c r="Z927">
        <v>2.588421E-3</v>
      </c>
      <c r="AA927">
        <v>0.998090699999999</v>
      </c>
      <c r="AB927">
        <v>40</v>
      </c>
      <c r="AC927">
        <v>14.8956999999999</v>
      </c>
      <c r="AD927">
        <v>-1.103228156161</v>
      </c>
      <c r="AE927">
        <v>0.87189999999998202</v>
      </c>
      <c r="AF927">
        <v>-0.94280121790019999</v>
      </c>
      <c r="AG927">
        <v>-1.103228156161</v>
      </c>
      <c r="AH927">
        <v>14.8100913370212</v>
      </c>
      <c r="AI927">
        <v>94.251614397998694</v>
      </c>
      <c r="AJ927">
        <v>93.642498622343794</v>
      </c>
      <c r="AK927">
        <v>14.8810211985579</v>
      </c>
    </row>
    <row r="928" spans="1:37" x14ac:dyDescent="0.2">
      <c r="A928" t="str">
        <f>"20200111150557319"</f>
        <v>20200111150557319</v>
      </c>
      <c r="B928" t="str">
        <f>"1578726357306836"</f>
        <v>1578726357306836</v>
      </c>
      <c r="C928" t="s">
        <v>37</v>
      </c>
      <c r="D928">
        <v>4.2145099999999998</v>
      </c>
      <c r="E928">
        <v>0.51012990000000002</v>
      </c>
      <c r="F928" t="s">
        <v>66</v>
      </c>
      <c r="G928">
        <v>-286.60500000000002</v>
      </c>
      <c r="H928" s="1">
        <v>3.9932339999999998E-6</v>
      </c>
      <c r="I928">
        <v>216.0308</v>
      </c>
      <c r="J928">
        <v>-301.4239</v>
      </c>
      <c r="K928">
        <v>1.1032409999999999</v>
      </c>
      <c r="L928">
        <v>215.24080000000001</v>
      </c>
      <c r="M928">
        <v>0.99991580000000002</v>
      </c>
      <c r="N928">
        <v>0</v>
      </c>
      <c r="O928">
        <v>-4.8287490000000002E-3</v>
      </c>
      <c r="P928">
        <v>0.99176529999999996</v>
      </c>
      <c r="Q928">
        <v>9.4478060000000003E-2</v>
      </c>
      <c r="R928">
        <v>8.6461490000000002E-2</v>
      </c>
      <c r="S928">
        <v>3.0322879999999999</v>
      </c>
      <c r="T928">
        <v>-0.21994069999999999</v>
      </c>
      <c r="U928">
        <v>0.157135</v>
      </c>
      <c r="V928">
        <v>-9.1320670000000007E-2</v>
      </c>
      <c r="W928">
        <v>0.1063595</v>
      </c>
      <c r="X928">
        <v>0.99012540000000004</v>
      </c>
      <c r="Y928">
        <v>-5.6412740000000003E-2</v>
      </c>
      <c r="Z928">
        <v>2.3914279999999902E-3</v>
      </c>
      <c r="AA928">
        <v>0.99840469999999903</v>
      </c>
      <c r="AB928">
        <v>40</v>
      </c>
      <c r="AC928">
        <v>14.8188999999999</v>
      </c>
      <c r="AD928">
        <v>-1.103237006766</v>
      </c>
      <c r="AE928">
        <v>0.78999999999999204</v>
      </c>
      <c r="AF928">
        <v>-0.85681727645088002</v>
      </c>
      <c r="AG928">
        <v>-1.103237006766</v>
      </c>
      <c r="AH928">
        <v>14.733483308299199</v>
      </c>
      <c r="AI928">
        <v>94.275096060208696</v>
      </c>
      <c r="AJ928">
        <v>93.328254610091804</v>
      </c>
      <c r="AK928">
        <v>14.7995539843015</v>
      </c>
    </row>
    <row r="929" spans="1:37" x14ac:dyDescent="0.2">
      <c r="A929" t="str">
        <f>"20200111150557341"</f>
        <v>20200111150557341</v>
      </c>
      <c r="B929" t="str">
        <f>"1578726357336843"</f>
        <v>1578726357336843</v>
      </c>
      <c r="C929" t="s">
        <v>37</v>
      </c>
      <c r="D929">
        <v>5.0232739999999998</v>
      </c>
      <c r="E929">
        <v>0.52325319999999997</v>
      </c>
      <c r="F929" t="s">
        <v>76</v>
      </c>
      <c r="G929">
        <v>-167.89859999999999</v>
      </c>
      <c r="H929">
        <v>12.5206</v>
      </c>
      <c r="I929">
        <v>223.24099999999899</v>
      </c>
      <c r="J929">
        <v>-301.01330000000002</v>
      </c>
      <c r="K929">
        <v>1.1032489999999999</v>
      </c>
      <c r="L929">
        <v>215.23910000000001</v>
      </c>
      <c r="M929">
        <v>0.99991730000000001</v>
      </c>
      <c r="N929">
        <v>0</v>
      </c>
      <c r="O929">
        <v>-4.5369670000000003E-3</v>
      </c>
      <c r="P929">
        <v>0.99180829999999998</v>
      </c>
      <c r="Q929">
        <v>9.4889539999999994E-2</v>
      </c>
      <c r="R929">
        <v>8.5513169999999999E-2</v>
      </c>
      <c r="S929">
        <v>2.9850159999999999</v>
      </c>
      <c r="T929">
        <v>0.2552413</v>
      </c>
      <c r="U929">
        <v>0.17884829999999999</v>
      </c>
      <c r="V929">
        <v>-9.0085299999999993E-2</v>
      </c>
      <c r="W929">
        <v>0.10676960000000001</v>
      </c>
      <c r="X929">
        <v>0.99019439999999903</v>
      </c>
      <c r="Y929">
        <v>-6.4087119999999997E-2</v>
      </c>
      <c r="Z929">
        <v>-3.119471E-3</v>
      </c>
      <c r="AA929">
        <v>0.99793940000000003</v>
      </c>
      <c r="AB929">
        <v>40</v>
      </c>
      <c r="AC929">
        <v>133.1147</v>
      </c>
      <c r="AD929">
        <v>11.417351</v>
      </c>
      <c r="AE929">
        <v>8.0018999999999707</v>
      </c>
      <c r="AF929">
        <v>-8.5431757082434103</v>
      </c>
      <c r="AG929">
        <v>11.417351</v>
      </c>
      <c r="AH929">
        <v>132.108648161302</v>
      </c>
      <c r="AI929">
        <v>85.070791013446893</v>
      </c>
      <c r="AJ929">
        <v>93.700040017740804</v>
      </c>
      <c r="AK929">
        <v>132.87601993605099</v>
      </c>
    </row>
    <row r="930" spans="1:37" x14ac:dyDescent="0.2">
      <c r="A930" t="str">
        <f>"20200111150557365"</f>
        <v>20200111150557365</v>
      </c>
      <c r="B930" t="str">
        <f>"1578726357357339"</f>
        <v>1578726357357339</v>
      </c>
      <c r="C930" t="s">
        <v>37</v>
      </c>
      <c r="D930">
        <v>6.0638379999999996</v>
      </c>
      <c r="E930">
        <v>0.5198969</v>
      </c>
      <c r="F930" t="s">
        <v>38</v>
      </c>
      <c r="G930">
        <v>-300.08420000000001</v>
      </c>
      <c r="H930">
        <v>1.02889599999999</v>
      </c>
      <c r="I930">
        <v>215.26060000000001</v>
      </c>
      <c r="J930">
        <v>-300.60500000000002</v>
      </c>
      <c r="K930">
        <v>1.1032549999999901</v>
      </c>
      <c r="L930">
        <v>215.23750000000001</v>
      </c>
      <c r="M930">
        <v>0.99991849999999904</v>
      </c>
      <c r="N930">
        <v>0</v>
      </c>
      <c r="O930">
        <v>-4.2459150000000003E-3</v>
      </c>
      <c r="P930">
        <v>0.99182079999999995</v>
      </c>
      <c r="Q930">
        <v>9.5162140000000006E-2</v>
      </c>
      <c r="R930">
        <v>8.5064979999999998E-2</v>
      </c>
      <c r="S930">
        <v>3.041992</v>
      </c>
      <c r="T930">
        <v>-0.24346129999999999</v>
      </c>
      <c r="U930">
        <v>7.0571899999999896E-2</v>
      </c>
      <c r="V930">
        <v>-8.9349399999999995E-2</v>
      </c>
      <c r="W930">
        <v>0.1070403</v>
      </c>
      <c r="X930">
        <v>0.9902318</v>
      </c>
      <c r="Y930">
        <v>-2.7336929999999999E-2</v>
      </c>
      <c r="Z930">
        <v>1.431299E-3</v>
      </c>
      <c r="AA930">
        <v>0.99962530000000005</v>
      </c>
      <c r="AB930">
        <v>40</v>
      </c>
      <c r="AC930">
        <v>0.52080000000000803</v>
      </c>
      <c r="AD930">
        <v>-7.4358999999999995E-2</v>
      </c>
      <c r="AE930">
        <v>2.3099999999999399E-2</v>
      </c>
      <c r="AF930">
        <v>-2.48065198177864E-2</v>
      </c>
      <c r="AG930">
        <v>-7.4358999999999995E-2</v>
      </c>
      <c r="AH930">
        <v>0.51031453639825797</v>
      </c>
      <c r="AI930">
        <v>98.280701167036696</v>
      </c>
      <c r="AJ930">
        <v>92.782971826144603</v>
      </c>
      <c r="AK930">
        <v>0.51629986477418299</v>
      </c>
    </row>
    <row r="931" spans="1:37" x14ac:dyDescent="0.2">
      <c r="A931" t="str">
        <f>"20200111150557387"</f>
        <v>20200111150557387</v>
      </c>
      <c r="B931" t="str">
        <f>"1578726357376860"</f>
        <v>1578726357376860</v>
      </c>
      <c r="C931" t="s">
        <v>37</v>
      </c>
      <c r="D931">
        <v>5.6382269999999997</v>
      </c>
      <c r="E931">
        <v>0.51413299999999995</v>
      </c>
      <c r="F931" t="s">
        <v>66</v>
      </c>
      <c r="G931">
        <v>-287.2867</v>
      </c>
      <c r="H931" s="1">
        <v>3.7355309999999999E-6</v>
      </c>
      <c r="I931">
        <v>215.6566</v>
      </c>
      <c r="J931">
        <v>-300.17669999999998</v>
      </c>
      <c r="K931">
        <v>1.103256</v>
      </c>
      <c r="L931">
        <v>215.23599999999999</v>
      </c>
      <c r="M931">
        <v>0.99991980000000003</v>
      </c>
      <c r="N931">
        <v>0</v>
      </c>
      <c r="O931">
        <v>-3.9406879999999899E-3</v>
      </c>
      <c r="P931">
        <v>0.99179569999999995</v>
      </c>
      <c r="Q931">
        <v>9.4790399999999997E-2</v>
      </c>
      <c r="R931">
        <v>8.5768559999999994E-2</v>
      </c>
      <c r="S931">
        <v>3.0407410000000001</v>
      </c>
      <c r="T931">
        <v>-0.25188739999999998</v>
      </c>
      <c r="U931">
        <v>9.5672610000000005E-2</v>
      </c>
      <c r="V931">
        <v>-8.9751549999999999E-2</v>
      </c>
      <c r="W931">
        <v>0.1066648</v>
      </c>
      <c r="X931">
        <v>0.99023600000000001</v>
      </c>
      <c r="Y931">
        <v>-3.5252690000000003E-2</v>
      </c>
      <c r="Z931">
        <v>1.783094E-3</v>
      </c>
      <c r="AA931">
        <v>0.99937679999999995</v>
      </c>
      <c r="AB931">
        <v>40</v>
      </c>
      <c r="AC931">
        <v>12.889999999999899</v>
      </c>
      <c r="AD931">
        <v>-1.1032522644689999</v>
      </c>
      <c r="AE931">
        <v>0.42060000000000702</v>
      </c>
      <c r="AF931">
        <v>-0.46797135203043</v>
      </c>
      <c r="AG931">
        <v>-1.1032522644689999</v>
      </c>
      <c r="AH931">
        <v>12.7946136593681</v>
      </c>
      <c r="AI931">
        <v>94.925025705606899</v>
      </c>
      <c r="AJ931">
        <v>92.094696814217997</v>
      </c>
      <c r="AK931">
        <v>12.850614827231601</v>
      </c>
    </row>
    <row r="932" spans="1:37" x14ac:dyDescent="0.2">
      <c r="A932" t="str">
        <f>"20200111150557410"</f>
        <v>20200111150557410</v>
      </c>
      <c r="B932" t="str">
        <f>"1578726357407115"</f>
        <v>1578726357407115</v>
      </c>
      <c r="C932" t="s">
        <v>37</v>
      </c>
      <c r="D932">
        <v>5.0107660000000003</v>
      </c>
      <c r="E932">
        <v>0.51114769999999998</v>
      </c>
      <c r="F932" t="s">
        <v>66</v>
      </c>
      <c r="G932">
        <v>-281.59339999999997</v>
      </c>
      <c r="H932" s="1">
        <v>6.2051659999999998E-6</v>
      </c>
      <c r="I932">
        <v>216.119</v>
      </c>
      <c r="J932">
        <v>-299.76729999999998</v>
      </c>
      <c r="K932">
        <v>1.1032580000000001</v>
      </c>
      <c r="L932">
        <v>215.2346</v>
      </c>
      <c r="M932">
        <v>0.99992080000000005</v>
      </c>
      <c r="N932">
        <v>0</v>
      </c>
      <c r="O932">
        <v>-3.6489409999999902E-3</v>
      </c>
      <c r="P932">
        <v>0.99180749999999995</v>
      </c>
      <c r="Q932">
        <v>9.4070269999999998E-2</v>
      </c>
      <c r="R932">
        <v>8.6423020000000003E-2</v>
      </c>
      <c r="S932">
        <v>3.0295719999999999</v>
      </c>
      <c r="T932">
        <v>-0.17985950000000001</v>
      </c>
      <c r="U932">
        <v>0.14395139999999901</v>
      </c>
      <c r="V932">
        <v>-9.0116470000000004E-2</v>
      </c>
      <c r="W932">
        <v>0.105941699999999</v>
      </c>
      <c r="X932">
        <v>0.99028039999999995</v>
      </c>
      <c r="Y932">
        <v>-5.1010649999999998E-2</v>
      </c>
      <c r="Z932">
        <v>1.728355E-3</v>
      </c>
      <c r="AA932">
        <v>0.99869660000000005</v>
      </c>
      <c r="AB932">
        <v>40</v>
      </c>
      <c r="AC932">
        <v>18.1739</v>
      </c>
      <c r="AD932">
        <v>-1.1032517948339999</v>
      </c>
      <c r="AE932">
        <v>0.88440000000002705</v>
      </c>
      <c r="AF932">
        <v>-0.94723198330897296</v>
      </c>
      <c r="AG932">
        <v>-1.1032517948339999</v>
      </c>
      <c r="AH932">
        <v>18.103993648758301</v>
      </c>
      <c r="AI932">
        <v>93.482522776880501</v>
      </c>
      <c r="AJ932">
        <v>92.995082324083498</v>
      </c>
      <c r="AK932">
        <v>18.162296082469599</v>
      </c>
    </row>
    <row r="933" spans="1:37" x14ac:dyDescent="0.2">
      <c r="A933" t="str">
        <f>"20200111150557430"</f>
        <v>20200111150557430</v>
      </c>
      <c r="B933" t="str">
        <f>"1578726357427403"</f>
        <v>1578726357427403</v>
      </c>
      <c r="C933" t="s">
        <v>37</v>
      </c>
      <c r="D933">
        <v>5.1906730000000003</v>
      </c>
      <c r="E933">
        <v>0.51062640000000004</v>
      </c>
      <c r="F933" t="s">
        <v>66</v>
      </c>
      <c r="G933">
        <v>-284.97629999999998</v>
      </c>
      <c r="H933" s="1">
        <v>4.7115690000000001E-6</v>
      </c>
      <c r="I933">
        <v>216.06389999999999</v>
      </c>
      <c r="J933">
        <v>-299.4178</v>
      </c>
      <c r="K933">
        <v>1.1032599999999999</v>
      </c>
      <c r="L933">
        <v>215.2336</v>
      </c>
      <c r="M933">
        <v>0.99992190000000003</v>
      </c>
      <c r="N933">
        <v>0</v>
      </c>
      <c r="O933">
        <v>-3.3997670000000002E-3</v>
      </c>
      <c r="P933">
        <v>0.99170319999999901</v>
      </c>
      <c r="Q933">
        <v>9.4607559999999993E-2</v>
      </c>
      <c r="R933">
        <v>8.7031479999999994E-2</v>
      </c>
      <c r="S933">
        <v>3.0313720000000002</v>
      </c>
      <c r="T933">
        <v>-0.22610839999999999</v>
      </c>
      <c r="U933">
        <v>0.169952399999999</v>
      </c>
      <c r="V933">
        <v>-9.047819E-2</v>
      </c>
      <c r="W933">
        <v>0.1064756</v>
      </c>
      <c r="X933">
        <v>0.99019020000000002</v>
      </c>
      <c r="Y933">
        <v>-5.9197609999999998E-2</v>
      </c>
      <c r="Z933">
        <v>2.4560350000000001E-3</v>
      </c>
      <c r="AA933">
        <v>0.99824329999999994</v>
      </c>
      <c r="AB933">
        <v>40</v>
      </c>
      <c r="AC933">
        <v>14.4415</v>
      </c>
      <c r="AD933">
        <v>-1.1032552884310001</v>
      </c>
      <c r="AE933">
        <v>0.83029999999999404</v>
      </c>
      <c r="AF933">
        <v>-0.87431067863550904</v>
      </c>
      <c r="AG933">
        <v>-1.1032552884310001</v>
      </c>
      <c r="AH933">
        <v>14.3550908669498</v>
      </c>
      <c r="AI933">
        <v>94.3867100632514</v>
      </c>
      <c r="AJ933">
        <v>93.485349386152095</v>
      </c>
      <c r="AK933">
        <v>14.4239462420176</v>
      </c>
    </row>
    <row r="934" spans="1:37" x14ac:dyDescent="0.2">
      <c r="A934" t="str">
        <f>"20200111150557452"</f>
        <v>20200111150557452</v>
      </c>
      <c r="B934" t="str">
        <f>"1578726357446922"</f>
        <v>1578726357446922</v>
      </c>
      <c r="C934" t="s">
        <v>37</v>
      </c>
      <c r="D934">
        <v>5.5761070000000004</v>
      </c>
      <c r="E934">
        <v>0.50357589999999997</v>
      </c>
      <c r="F934" t="s">
        <v>66</v>
      </c>
      <c r="G934">
        <v>-286.04660000000001</v>
      </c>
      <c r="H934" s="1">
        <v>4.2433319999999997E-6</v>
      </c>
      <c r="I934">
        <v>216.0102</v>
      </c>
      <c r="J934">
        <v>-299.00689999999997</v>
      </c>
      <c r="K934">
        <v>1.103267</v>
      </c>
      <c r="L934">
        <v>215.23240000000001</v>
      </c>
      <c r="M934">
        <v>0.9999228</v>
      </c>
      <c r="N934">
        <v>0</v>
      </c>
      <c r="O934">
        <v>-3.1066059999999901E-3</v>
      </c>
      <c r="P934">
        <v>0.99155339999999903</v>
      </c>
      <c r="Q934">
        <v>9.5554199999999895E-2</v>
      </c>
      <c r="R934">
        <v>8.7701290000000001E-2</v>
      </c>
      <c r="S934">
        <v>3.0334779999999899</v>
      </c>
      <c r="T934">
        <v>-0.25029259999999998</v>
      </c>
      <c r="U934">
        <v>0.17619319999999999</v>
      </c>
      <c r="V934">
        <v>-9.0858449999999993E-2</v>
      </c>
      <c r="W934">
        <v>0.10741769999999901</v>
      </c>
      <c r="X934">
        <v>0.99005370000000004</v>
      </c>
      <c r="Y934">
        <v>-6.0869819999999998E-2</v>
      </c>
      <c r="Z934">
        <v>2.7605300000000002E-3</v>
      </c>
      <c r="AA934">
        <v>0.99814190000000003</v>
      </c>
      <c r="AB934">
        <v>40</v>
      </c>
      <c r="AC934">
        <v>12.960299999999901</v>
      </c>
      <c r="AD934">
        <v>-1.103262756668</v>
      </c>
      <c r="AE934">
        <v>0.77779999999998495</v>
      </c>
      <c r="AF934">
        <v>-0.81219724731749299</v>
      </c>
      <c r="AG934">
        <v>-1.103262756668</v>
      </c>
      <c r="AH934">
        <v>12.864929912731199</v>
      </c>
      <c r="AI934">
        <v>94.891852169794703</v>
      </c>
      <c r="AJ934">
        <v>93.612440655622507</v>
      </c>
      <c r="AK934">
        <v>12.9376688293636</v>
      </c>
    </row>
    <row r="935" spans="1:37" x14ac:dyDescent="0.2">
      <c r="A935" t="str">
        <f>"20200111150557475"</f>
        <v>20200111150557475</v>
      </c>
      <c r="B935" t="str">
        <f>"1578726357467417"</f>
        <v>1578726357467417</v>
      </c>
      <c r="C935" t="s">
        <v>37</v>
      </c>
      <c r="D935">
        <v>5.1583559999999897</v>
      </c>
      <c r="E935">
        <v>0.5046718</v>
      </c>
      <c r="F935" t="s">
        <v>76</v>
      </c>
      <c r="G935">
        <v>-157.25</v>
      </c>
      <c r="H935">
        <v>39.061</v>
      </c>
      <c r="I935">
        <v>226.61179999999999</v>
      </c>
      <c r="J935">
        <v>-298.59620000000001</v>
      </c>
      <c r="K935">
        <v>1.103272</v>
      </c>
      <c r="L935">
        <v>215.23140000000001</v>
      </c>
      <c r="M935">
        <v>0.99992359999999902</v>
      </c>
      <c r="N935">
        <v>0</v>
      </c>
      <c r="O935">
        <v>-2.8133359999999901E-3</v>
      </c>
      <c r="P935">
        <v>0.99144959999999904</v>
      </c>
      <c r="Q935">
        <v>9.6574649999999998E-2</v>
      </c>
      <c r="R935">
        <v>8.7757909999999995E-2</v>
      </c>
      <c r="S935">
        <v>2.9291990000000001</v>
      </c>
      <c r="T935">
        <v>0.78434209999999904</v>
      </c>
      <c r="U935">
        <v>0.23513789999999901</v>
      </c>
      <c r="V935">
        <v>-9.0625059999999993E-2</v>
      </c>
      <c r="W935">
        <v>0.1084355</v>
      </c>
      <c r="X935">
        <v>0.98996410000000001</v>
      </c>
      <c r="Y935">
        <v>-7.9924010000000004E-2</v>
      </c>
      <c r="Z935">
        <v>-1.123847E-2</v>
      </c>
      <c r="AA935">
        <v>0.9967376</v>
      </c>
      <c r="AB935">
        <v>40</v>
      </c>
      <c r="AC935">
        <v>141.34620000000001</v>
      </c>
      <c r="AD935">
        <v>37.957728000000003</v>
      </c>
      <c r="AE935">
        <v>11.3803999999999</v>
      </c>
      <c r="AF935">
        <v>-10.9905477913883</v>
      </c>
      <c r="AG935">
        <v>37.957728000000003</v>
      </c>
      <c r="AH935">
        <v>131.86526426018401</v>
      </c>
      <c r="AI935">
        <v>73.994052251855294</v>
      </c>
      <c r="AJ935">
        <v>94.7644079449326</v>
      </c>
      <c r="AK935">
        <v>137.65910494437</v>
      </c>
    </row>
    <row r="936" spans="1:37" x14ac:dyDescent="0.2">
      <c r="A936" t="str">
        <f>"20200111150557498"</f>
        <v>20200111150557498</v>
      </c>
      <c r="B936" t="str">
        <f>"1578726357486937"</f>
        <v>1578726357486937</v>
      </c>
      <c r="C936" t="s">
        <v>37</v>
      </c>
      <c r="D936">
        <v>5.1737060000000001</v>
      </c>
      <c r="E936">
        <v>0.5046718</v>
      </c>
      <c r="F936" t="s">
        <v>76</v>
      </c>
      <c r="G936">
        <v>-157.25</v>
      </c>
      <c r="H936">
        <v>0.59942530000000005</v>
      </c>
      <c r="I936">
        <v>225.85769999999999</v>
      </c>
      <c r="J936">
        <v>-298.19130000000001</v>
      </c>
      <c r="K936">
        <v>1.1032740000000001</v>
      </c>
      <c r="L936">
        <v>215.23050000000001</v>
      </c>
      <c r="M936">
        <v>0.99992449999999999</v>
      </c>
      <c r="N936">
        <v>0</v>
      </c>
      <c r="O936">
        <v>-2.523768E-3</v>
      </c>
      <c r="P936">
        <v>0.99143219999999999</v>
      </c>
      <c r="Q936">
        <v>9.6861660000000002E-2</v>
      </c>
      <c r="R936">
        <v>8.7637030000000005E-2</v>
      </c>
      <c r="S936">
        <v>3.0069270000000001</v>
      </c>
      <c r="T936">
        <v>-1.071739E-2</v>
      </c>
      <c r="U936">
        <v>0.22605900000000001</v>
      </c>
      <c r="V936">
        <v>-9.0217199999999997E-2</v>
      </c>
      <c r="W936">
        <v>0.10872129999999899</v>
      </c>
      <c r="X936">
        <v>0.98997000000000002</v>
      </c>
      <c r="Y936">
        <v>-7.7483930000000006E-2</v>
      </c>
      <c r="Z936">
        <v>1.4687389999999901E-4</v>
      </c>
      <c r="AA936">
        <v>0.99699359999999904</v>
      </c>
      <c r="AB936">
        <v>40</v>
      </c>
      <c r="AC936">
        <v>140.94130000000001</v>
      </c>
      <c r="AD936">
        <v>-0.50384870000000004</v>
      </c>
      <c r="AE936">
        <v>10.627199999999901</v>
      </c>
      <c r="AF936">
        <v>-10.9827554541154</v>
      </c>
      <c r="AG936">
        <v>-0.50384870000000004</v>
      </c>
      <c r="AH936">
        <v>140.91223790295101</v>
      </c>
      <c r="AI936">
        <v>90.2042476685682</v>
      </c>
      <c r="AJ936">
        <v>94.456645977741402</v>
      </c>
      <c r="AK936">
        <v>141.340488083547</v>
      </c>
    </row>
    <row r="937" spans="1:37" x14ac:dyDescent="0.2">
      <c r="A937" t="str">
        <f>"20200111150557519"</f>
        <v>20200111150557519</v>
      </c>
      <c r="B937" t="str">
        <f>"1578726357507433"</f>
        <v>1578726357507433</v>
      </c>
      <c r="C937" t="s">
        <v>37</v>
      </c>
      <c r="D937">
        <v>5.179087</v>
      </c>
      <c r="E937">
        <v>0.49668269999999998</v>
      </c>
      <c r="F937" t="s">
        <v>76</v>
      </c>
      <c r="G937">
        <v>-157.25</v>
      </c>
      <c r="H937">
        <v>0.64089390000000002</v>
      </c>
      <c r="I937">
        <v>225.81209999999999</v>
      </c>
      <c r="J937">
        <v>-297.8073</v>
      </c>
      <c r="K937">
        <v>1.1032729999999999</v>
      </c>
      <c r="L937">
        <v>215.22980000000001</v>
      </c>
      <c r="M937">
        <v>0.99992499999999995</v>
      </c>
      <c r="N937">
        <v>0</v>
      </c>
      <c r="O937">
        <v>-2.2487449999999999E-3</v>
      </c>
      <c r="P937">
        <v>0.99140469999999903</v>
      </c>
      <c r="Q937">
        <v>9.7089010000000003E-2</v>
      </c>
      <c r="R937">
        <v>8.7695819999999994E-2</v>
      </c>
      <c r="S937">
        <v>3.0069270000000001</v>
      </c>
      <c r="T937">
        <v>-9.8634959999999994E-3</v>
      </c>
      <c r="U937">
        <v>0.2257538</v>
      </c>
      <c r="V937">
        <v>-9.0003970000000003E-2</v>
      </c>
      <c r="W937">
        <v>0.1089474</v>
      </c>
      <c r="X937">
        <v>0.98996450000000003</v>
      </c>
      <c r="Y937">
        <v>-7.7109179999999999E-2</v>
      </c>
      <c r="Z937">
        <v>1.3365769999999999E-4</v>
      </c>
      <c r="AA937">
        <v>0.99702259999999998</v>
      </c>
      <c r="AB937">
        <v>40</v>
      </c>
      <c r="AC937">
        <v>140.5573</v>
      </c>
      <c r="AD937">
        <v>-0.46237909999999899</v>
      </c>
      <c r="AE937">
        <v>10.582299999999901</v>
      </c>
      <c r="AF937">
        <v>-10.8982564020132</v>
      </c>
      <c r="AG937">
        <v>-0.46237909999999899</v>
      </c>
      <c r="AH937">
        <v>140.53163374135099</v>
      </c>
      <c r="AI937">
        <v>90.187950357128202</v>
      </c>
      <c r="AJ937">
        <v>94.434423821324003</v>
      </c>
      <c r="AK937">
        <v>140.95433966022199</v>
      </c>
    </row>
    <row r="938" spans="1:37" x14ac:dyDescent="0.2">
      <c r="A938" t="str">
        <f>"20200111150557543"</f>
        <v>20200111150557543</v>
      </c>
      <c r="B938" t="str">
        <f>"1578726357536714"</f>
        <v>1578726357536714</v>
      </c>
      <c r="C938" t="s">
        <v>37</v>
      </c>
      <c r="D938">
        <v>5.1708559999999997</v>
      </c>
      <c r="E938">
        <v>0.48830630000000003</v>
      </c>
      <c r="F938" t="s">
        <v>63</v>
      </c>
      <c r="G938">
        <v>-274.76130000000001</v>
      </c>
      <c r="H938" s="1">
        <v>8.7336840000000001E-7</v>
      </c>
      <c r="I938">
        <v>217.4434</v>
      </c>
      <c r="J938">
        <v>-297.37619999999998</v>
      </c>
      <c r="K938">
        <v>1.1032789999999999</v>
      </c>
      <c r="L938">
        <v>215.22909999999999</v>
      </c>
      <c r="M938">
        <v>0.99992579999999998</v>
      </c>
      <c r="N938">
        <v>0</v>
      </c>
      <c r="O938">
        <v>-1.939028E-3</v>
      </c>
      <c r="P938">
        <v>0.99140049999999902</v>
      </c>
      <c r="Q938">
        <v>9.6951739999999995E-2</v>
      </c>
      <c r="R938">
        <v>8.7894650000000005E-2</v>
      </c>
      <c r="S938">
        <v>3.014526</v>
      </c>
      <c r="T938">
        <v>-0.1443132</v>
      </c>
      <c r="U938">
        <v>0.2895508</v>
      </c>
      <c r="V938">
        <v>-8.9895790000000003E-2</v>
      </c>
      <c r="W938">
        <v>0.1088094</v>
      </c>
      <c r="X938">
        <v>0.98998949999999997</v>
      </c>
      <c r="Y938">
        <v>-9.7429130000000003E-2</v>
      </c>
      <c r="Z938">
        <v>2.4179850000000001E-3</v>
      </c>
      <c r="AA938">
        <v>0.9952396</v>
      </c>
      <c r="AB938">
        <v>40</v>
      </c>
      <c r="AC938">
        <v>22.614899999999899</v>
      </c>
      <c r="AD938">
        <v>-1.1032781266316001</v>
      </c>
      <c r="AE938">
        <v>2.2143000000000002</v>
      </c>
      <c r="AF938">
        <v>-2.2528390453164899</v>
      </c>
      <c r="AG938">
        <v>-1.1032781266316001</v>
      </c>
      <c r="AH938">
        <v>22.557386351734198</v>
      </c>
      <c r="AI938">
        <v>92.786256972938801</v>
      </c>
      <c r="AJ938">
        <v>95.703301004560203</v>
      </c>
      <c r="AK938">
        <v>22.696435522130098</v>
      </c>
    </row>
    <row r="939" spans="1:37" x14ac:dyDescent="0.2">
      <c r="A939" t="str">
        <f>"20200111150557566"</f>
        <v>20200111150557566</v>
      </c>
      <c r="B939" t="str">
        <f>"1578726357557210"</f>
        <v>1578726357557210</v>
      </c>
      <c r="C939" t="s">
        <v>37</v>
      </c>
      <c r="D939">
        <v>5.1822919999999897</v>
      </c>
      <c r="E939">
        <v>0.48651519999999998</v>
      </c>
      <c r="F939" t="s">
        <v>66</v>
      </c>
      <c r="G939">
        <v>-280.89819999999997</v>
      </c>
      <c r="H939" s="1">
        <v>6.3870079999999901E-6</v>
      </c>
      <c r="I939">
        <v>217.1799</v>
      </c>
      <c r="J939">
        <v>-296.93450000000001</v>
      </c>
      <c r="K939">
        <v>1.1032839999999999</v>
      </c>
      <c r="L939">
        <v>215.2285</v>
      </c>
      <c r="M939">
        <v>0.99992639999999999</v>
      </c>
      <c r="N939">
        <v>0</v>
      </c>
      <c r="O939">
        <v>-1.6207249999999999E-3</v>
      </c>
      <c r="P939">
        <v>0.99129279999999997</v>
      </c>
      <c r="Q939">
        <v>9.7693020000000005E-2</v>
      </c>
      <c r="R939">
        <v>8.8289290000000006E-2</v>
      </c>
      <c r="S939">
        <v>3.01412999999999</v>
      </c>
      <c r="T939">
        <v>-0.20180909999999999</v>
      </c>
      <c r="U939">
        <v>0.3568268</v>
      </c>
      <c r="V939">
        <v>-8.997579E-2</v>
      </c>
      <c r="W939">
        <v>0.109548399999999</v>
      </c>
      <c r="X939">
        <v>0.98990080000000003</v>
      </c>
      <c r="Y939">
        <v>-0.118907</v>
      </c>
      <c r="Z939">
        <v>4.0704590000000002E-3</v>
      </c>
      <c r="AA939">
        <v>0.99289699999999903</v>
      </c>
      <c r="AB939">
        <v>40</v>
      </c>
      <c r="AC939">
        <v>16.036300000000001</v>
      </c>
      <c r="AD939">
        <v>-1.1032776129919999</v>
      </c>
      <c r="AE939">
        <v>1.9514</v>
      </c>
      <c r="AF939">
        <v>-1.96820961622256</v>
      </c>
      <c r="AG939">
        <v>-1.1032776129919999</v>
      </c>
      <c r="AH939">
        <v>15.9586814735883</v>
      </c>
      <c r="AI939">
        <v>93.925113347703999</v>
      </c>
      <c r="AJ939">
        <v>97.030875107364096</v>
      </c>
      <c r="AK939">
        <v>16.117400068254501</v>
      </c>
    </row>
    <row r="940" spans="1:37" x14ac:dyDescent="0.2">
      <c r="A940" t="str">
        <f>"20200111150557587"</f>
        <v>20200111150557587</v>
      </c>
      <c r="B940" t="str">
        <f>"1578726357576729"</f>
        <v>1578726357576729</v>
      </c>
      <c r="C940" t="s">
        <v>37</v>
      </c>
      <c r="D940">
        <v>5.2731260000000004</v>
      </c>
      <c r="E940">
        <v>0.48573739999999999</v>
      </c>
      <c r="F940" t="s">
        <v>66</v>
      </c>
      <c r="G940">
        <v>-280.30889999999999</v>
      </c>
      <c r="H940" s="1">
        <v>6.6360539999999999E-6</v>
      </c>
      <c r="I940">
        <v>217.28280000000001</v>
      </c>
      <c r="J940">
        <v>-296.57139999999998</v>
      </c>
      <c r="K940">
        <v>1.1032879999999901</v>
      </c>
      <c r="L940">
        <v>215.22819999999999</v>
      </c>
      <c r="M940">
        <v>0.99992669999999995</v>
      </c>
      <c r="N940">
        <v>0</v>
      </c>
      <c r="O940">
        <v>-1.3582170000000001E-3</v>
      </c>
      <c r="P940">
        <v>0.99130569999999896</v>
      </c>
      <c r="Q940">
        <v>9.7829089999999994E-2</v>
      </c>
      <c r="R940">
        <v>8.7992310000000004E-2</v>
      </c>
      <c r="S940">
        <v>3.01287799999999</v>
      </c>
      <c r="T940">
        <v>-0.19993549999999999</v>
      </c>
      <c r="U940">
        <v>0.37226870000000001</v>
      </c>
      <c r="V940">
        <v>-8.9418860000000003E-2</v>
      </c>
      <c r="W940">
        <v>0.109684899999999</v>
      </c>
      <c r="X940">
        <v>0.98993609999999899</v>
      </c>
      <c r="Y940">
        <v>-0.1237036</v>
      </c>
      <c r="Z940">
        <v>4.17421799999999E-3</v>
      </c>
      <c r="AA940">
        <v>0.99231039999999904</v>
      </c>
      <c r="AB940">
        <v>40</v>
      </c>
      <c r="AC940">
        <v>16.2624999999999</v>
      </c>
      <c r="AD940">
        <v>-1.10328136394599</v>
      </c>
      <c r="AE940">
        <v>2.0546000000000202</v>
      </c>
      <c r="AF940">
        <v>-2.0673222546235399</v>
      </c>
      <c r="AG940">
        <v>-1.10328136394599</v>
      </c>
      <c r="AH940">
        <v>16.186366183085902</v>
      </c>
      <c r="AI940">
        <v>93.867991192224494</v>
      </c>
      <c r="AJ940">
        <v>97.278410029990795</v>
      </c>
      <c r="AK940">
        <v>16.355106275577601</v>
      </c>
    </row>
    <row r="941" spans="1:37" x14ac:dyDescent="0.2">
      <c r="A941" t="str">
        <f>"20200111150557609"</f>
        <v>20200111150557609</v>
      </c>
      <c r="B941" t="str">
        <f>"1578726357606985"</f>
        <v>1578726357606985</v>
      </c>
      <c r="C941" t="s">
        <v>37</v>
      </c>
      <c r="D941">
        <v>5.5678859999999997</v>
      </c>
      <c r="E941">
        <v>0.48519129999999899</v>
      </c>
      <c r="F941" t="s">
        <v>63</v>
      </c>
      <c r="G941">
        <v>-279.1003</v>
      </c>
      <c r="H941" s="1">
        <v>3.1834150000000001E-6</v>
      </c>
      <c r="I941">
        <v>217.41919999999999</v>
      </c>
      <c r="J941">
        <v>-296.15969999999999</v>
      </c>
      <c r="K941">
        <v>1.1032879999999901</v>
      </c>
      <c r="L941">
        <v>215.22790000000001</v>
      </c>
      <c r="M941">
        <v>0.99992700000000001</v>
      </c>
      <c r="N941">
        <v>0</v>
      </c>
      <c r="O941">
        <v>-1.0598319999999999E-3</v>
      </c>
      <c r="P941">
        <v>0.99132940000000003</v>
      </c>
      <c r="Q941">
        <v>9.7491339999999996E-2</v>
      </c>
      <c r="R941">
        <v>8.8100020000000001E-2</v>
      </c>
      <c r="S941">
        <v>3.0115660000000002</v>
      </c>
      <c r="T941">
        <v>-0.1901775</v>
      </c>
      <c r="U941">
        <v>0.37767030000000001</v>
      </c>
      <c r="V941">
        <v>-8.9231019999999994E-2</v>
      </c>
      <c r="W941">
        <v>0.1093469</v>
      </c>
      <c r="X941">
        <v>0.98999040000000005</v>
      </c>
      <c r="Y941">
        <v>-0.12523589999999901</v>
      </c>
      <c r="Z941">
        <v>4.0015700000000003E-3</v>
      </c>
      <c r="AA941">
        <v>0.99211899999999997</v>
      </c>
      <c r="AB941">
        <v>40</v>
      </c>
      <c r="AC941">
        <v>17.059399999999901</v>
      </c>
      <c r="AD941">
        <v>-1.10328481658499</v>
      </c>
      <c r="AE941">
        <v>2.19129999999998</v>
      </c>
      <c r="AF941">
        <v>-2.2003264448459601</v>
      </c>
      <c r="AG941">
        <v>-1.10328481658499</v>
      </c>
      <c r="AH941">
        <v>16.987170352364998</v>
      </c>
      <c r="AI941">
        <v>93.685332910902602</v>
      </c>
      <c r="AJ941">
        <v>97.380356973419794</v>
      </c>
      <c r="AK941">
        <v>17.1645748689172</v>
      </c>
    </row>
    <row r="942" spans="1:37" x14ac:dyDescent="0.2">
      <c r="A942" t="str">
        <f>"20200111150557630"</f>
        <v>20200111150557630</v>
      </c>
      <c r="B942" t="str">
        <f>"1578726357626507"</f>
        <v>1578726357626507</v>
      </c>
      <c r="C942" t="s">
        <v>37</v>
      </c>
      <c r="D942">
        <v>5.2306759999999999</v>
      </c>
      <c r="E942">
        <v>0.4838151</v>
      </c>
      <c r="F942" t="s">
        <v>63</v>
      </c>
      <c r="G942">
        <v>-279.58440000000002</v>
      </c>
      <c r="H942" s="1">
        <v>3.4448189999999999E-6</v>
      </c>
      <c r="I942">
        <v>217.3323</v>
      </c>
      <c r="J942">
        <v>-295.79719999999998</v>
      </c>
      <c r="K942">
        <v>1.103291</v>
      </c>
      <c r="L942">
        <v>215.2278</v>
      </c>
      <c r="M942">
        <v>0.99992729999999996</v>
      </c>
      <c r="N942">
        <v>0</v>
      </c>
      <c r="O942">
        <v>-7.9685599999999997E-4</v>
      </c>
      <c r="P942">
        <v>0.99136309999999905</v>
      </c>
      <c r="Q942">
        <v>9.7561670000000003E-2</v>
      </c>
      <c r="R942">
        <v>8.7642129999999999E-2</v>
      </c>
      <c r="S942">
        <v>3.0119630000000002</v>
      </c>
      <c r="T942">
        <v>-0.2004822</v>
      </c>
      <c r="U942">
        <v>0.38240049999999998</v>
      </c>
      <c r="V942">
        <v>-8.8512759999999996E-2</v>
      </c>
      <c r="W942">
        <v>0.109418</v>
      </c>
      <c r="X942">
        <v>0.99004699999999901</v>
      </c>
      <c r="Y942">
        <v>-0.12646289999999999</v>
      </c>
      <c r="Z942">
        <v>4.2401840000000001E-3</v>
      </c>
      <c r="AA942">
        <v>0.99196229999999996</v>
      </c>
      <c r="AB942">
        <v>40</v>
      </c>
      <c r="AC942">
        <v>16.212799999999898</v>
      </c>
      <c r="AD942">
        <v>-1.103287555181</v>
      </c>
      <c r="AE942">
        <v>2.1044999999999998</v>
      </c>
      <c r="AF942">
        <v>-2.1078202603068599</v>
      </c>
      <c r="AG942">
        <v>-1.103287555181</v>
      </c>
      <c r="AH942">
        <v>16.1376250111601</v>
      </c>
      <c r="AI942">
        <v>93.878237455854304</v>
      </c>
      <c r="AJ942">
        <v>97.441575950987499</v>
      </c>
      <c r="AK942">
        <v>16.3120535396375</v>
      </c>
    </row>
    <row r="943" spans="1:37" x14ac:dyDescent="0.2">
      <c r="A943" t="str">
        <f>"20200111150557652"</f>
        <v>20200111150557652</v>
      </c>
      <c r="B943" t="str">
        <f>"1578726357647003"</f>
        <v>1578726357647003</v>
      </c>
      <c r="C943" t="s">
        <v>37</v>
      </c>
      <c r="D943">
        <v>5.3794180000000003</v>
      </c>
      <c r="E943">
        <v>0.47954940000000001</v>
      </c>
      <c r="F943" t="s">
        <v>76</v>
      </c>
      <c r="G943">
        <v>-157.25</v>
      </c>
      <c r="H943">
        <v>43.18817</v>
      </c>
      <c r="I943">
        <v>233.86269999999999</v>
      </c>
      <c r="J943">
        <v>-295.38780000000003</v>
      </c>
      <c r="K943">
        <v>1.1032919999999999</v>
      </c>
      <c r="L943">
        <v>215.2277</v>
      </c>
      <c r="M943">
        <v>0.99992760000000003</v>
      </c>
      <c r="N943">
        <v>0</v>
      </c>
      <c r="O943">
        <v>-4.9978719999999998E-4</v>
      </c>
      <c r="P943">
        <v>0.9913843</v>
      </c>
      <c r="Q943">
        <v>9.8024070000000005E-2</v>
      </c>
      <c r="R943">
        <v>8.6882870000000001E-2</v>
      </c>
      <c r="S943">
        <v>2.904785</v>
      </c>
      <c r="T943">
        <v>0.88235390000000002</v>
      </c>
      <c r="U943">
        <v>0.39070129999999997</v>
      </c>
      <c r="V943">
        <v>-8.7459209999999996E-2</v>
      </c>
      <c r="W943">
        <v>0.1098821</v>
      </c>
      <c r="X943">
        <v>0.99008929999999995</v>
      </c>
      <c r="Y943">
        <v>-0.1280966</v>
      </c>
      <c r="Z943">
        <v>-1.909404E-2</v>
      </c>
      <c r="AA943">
        <v>0.99157790000000001</v>
      </c>
      <c r="AB943">
        <v>40</v>
      </c>
      <c r="AC943">
        <v>138.1378</v>
      </c>
      <c r="AD943">
        <v>42.084878000000003</v>
      </c>
      <c r="AE943">
        <v>18.634999999999899</v>
      </c>
      <c r="AF943">
        <v>-17.141461314225602</v>
      </c>
      <c r="AG943">
        <v>42.084878000000003</v>
      </c>
      <c r="AH943">
        <v>126.588882698064</v>
      </c>
      <c r="AI943">
        <v>71.765711230889906</v>
      </c>
      <c r="AJ943">
        <v>97.711544301325006</v>
      </c>
      <c r="AK943">
        <v>134.497999520462</v>
      </c>
    </row>
    <row r="944" spans="1:37" x14ac:dyDescent="0.2">
      <c r="A944" t="str">
        <f>"20200111150557676"</f>
        <v>20200111150557676</v>
      </c>
      <c r="B944" t="str">
        <f>"1578726357666521"</f>
        <v>1578726357666521</v>
      </c>
      <c r="C944" t="s">
        <v>37</v>
      </c>
      <c r="D944">
        <v>6.0285010000000003</v>
      </c>
      <c r="E944">
        <v>0.48044409999999999</v>
      </c>
      <c r="F944" t="s">
        <v>63</v>
      </c>
      <c r="G944">
        <v>-277.12580000000003</v>
      </c>
      <c r="H944" s="1">
        <v>2.115939E-6</v>
      </c>
      <c r="I944">
        <v>217.80279999999999</v>
      </c>
      <c r="J944">
        <v>-294.95260000000002</v>
      </c>
      <c r="K944">
        <v>1.103291</v>
      </c>
      <c r="L944">
        <v>215.2278</v>
      </c>
      <c r="M944">
        <v>0.99992760000000003</v>
      </c>
      <c r="N944">
        <v>0</v>
      </c>
      <c r="O944">
        <v>-1.8329349999999999E-4</v>
      </c>
      <c r="P944">
        <v>0.99134029999999995</v>
      </c>
      <c r="Q944">
        <v>9.8507639999999994E-2</v>
      </c>
      <c r="R944">
        <v>8.6838399999999996E-2</v>
      </c>
      <c r="S944">
        <v>3.006866</v>
      </c>
      <c r="T944">
        <v>-0.18165909999999999</v>
      </c>
      <c r="U944">
        <v>0.42399599999999998</v>
      </c>
      <c r="V944">
        <v>-8.7101849999999995E-2</v>
      </c>
      <c r="W944">
        <v>0.110365</v>
      </c>
      <c r="X944">
        <v>0.99006709999999998</v>
      </c>
      <c r="Y944">
        <v>-0.13955960000000001</v>
      </c>
      <c r="Z944">
        <v>4.2022240000000001E-3</v>
      </c>
      <c r="AA944">
        <v>0.9902048</v>
      </c>
      <c r="AB944">
        <v>40</v>
      </c>
      <c r="AC944">
        <v>17.826799999999899</v>
      </c>
      <c r="AD944">
        <v>-1.103288884061</v>
      </c>
      <c r="AE944">
        <v>2.5749999999999802</v>
      </c>
      <c r="AF944">
        <v>-2.56863021207002</v>
      </c>
      <c r="AG944">
        <v>-1.103288884061</v>
      </c>
      <c r="AH944">
        <v>17.759693197698802</v>
      </c>
      <c r="AI944">
        <v>93.518313330421506</v>
      </c>
      <c r="AJ944">
        <v>98.229767923573903</v>
      </c>
      <c r="AK944">
        <v>17.978370615949601</v>
      </c>
    </row>
    <row r="945" spans="1:37" x14ac:dyDescent="0.2">
      <c r="A945" t="str">
        <f>"20200111150557697"</f>
        <v>20200111150557697</v>
      </c>
      <c r="B945" t="str">
        <f>"1578726357687018"</f>
        <v>1578726357687018</v>
      </c>
      <c r="C945" t="s">
        <v>37</v>
      </c>
      <c r="D945">
        <v>5.1200659999999996</v>
      </c>
      <c r="E945">
        <v>0.48027150000000002</v>
      </c>
      <c r="F945" t="s">
        <v>63</v>
      </c>
      <c r="G945">
        <v>-279.28429999999997</v>
      </c>
      <c r="H945" s="1">
        <v>3.2823159999999999E-6</v>
      </c>
      <c r="I945">
        <v>217.3972</v>
      </c>
      <c r="J945">
        <v>-294.56709999999998</v>
      </c>
      <c r="K945">
        <v>1.1032899999999899</v>
      </c>
      <c r="L945">
        <v>215.22799999999901</v>
      </c>
      <c r="M945">
        <v>0.99992760000000003</v>
      </c>
      <c r="N945">
        <v>0</v>
      </c>
      <c r="O945" s="1">
        <v>9.7259680000000005E-5</v>
      </c>
      <c r="P945">
        <v>0.99129299999999998</v>
      </c>
      <c r="Q945">
        <v>9.9317020000000006E-2</v>
      </c>
      <c r="R945">
        <v>8.64534E-2</v>
      </c>
      <c r="S945">
        <v>3.0108029999999899</v>
      </c>
      <c r="T945">
        <v>-0.21200659999999999</v>
      </c>
      <c r="U945">
        <v>0.41688540000000002</v>
      </c>
      <c r="V945">
        <v>-8.6438719999999997E-2</v>
      </c>
      <c r="W945">
        <v>0.11117489999999999</v>
      </c>
      <c r="X945">
        <v>0.99003459999999999</v>
      </c>
      <c r="Y945">
        <v>-0.1367263</v>
      </c>
      <c r="Z945">
        <v>4.7783089999999997E-3</v>
      </c>
      <c r="AA945">
        <v>0.99059730000000001</v>
      </c>
      <c r="AB945">
        <v>40</v>
      </c>
      <c r="AC945">
        <v>15.2828</v>
      </c>
      <c r="AD945">
        <v>-1.10328671768399</v>
      </c>
      <c r="AE945">
        <v>2.1692000000000098</v>
      </c>
      <c r="AF945">
        <v>-2.1566956191769799</v>
      </c>
      <c r="AG945">
        <v>-1.10328671768399</v>
      </c>
      <c r="AH945">
        <v>15.2053317800485</v>
      </c>
      <c r="AI945">
        <v>94.109078500986797</v>
      </c>
      <c r="AJ945">
        <v>98.072876013110601</v>
      </c>
      <c r="AK945">
        <v>15.397100120365099</v>
      </c>
    </row>
    <row r="946" spans="1:37" x14ac:dyDescent="0.2">
      <c r="A946" t="str">
        <f>"20200111150557720"</f>
        <v>20200111150557720</v>
      </c>
      <c r="B946" t="str">
        <f>"1578726357717353"</f>
        <v>1578726357717353</v>
      </c>
      <c r="C946" t="s">
        <v>37</v>
      </c>
      <c r="D946">
        <v>5.2436829999999999</v>
      </c>
      <c r="E946">
        <v>0.47755609999999998</v>
      </c>
      <c r="F946" t="s">
        <v>63</v>
      </c>
      <c r="G946">
        <v>-276.07909999999998</v>
      </c>
      <c r="H946" s="1">
        <v>1.559445E-6</v>
      </c>
      <c r="I946">
        <v>217.79040000000001</v>
      </c>
      <c r="J946">
        <v>-294.16910000000001</v>
      </c>
      <c r="K946">
        <v>1.1032930000000001</v>
      </c>
      <c r="L946">
        <v>215.22819999999999</v>
      </c>
      <c r="M946">
        <v>0.99992760000000003</v>
      </c>
      <c r="N946">
        <v>0</v>
      </c>
      <c r="O946">
        <v>3.8651389999999999E-4</v>
      </c>
      <c r="P946">
        <v>0.99129859999999903</v>
      </c>
      <c r="Q946">
        <v>9.904309E-2</v>
      </c>
      <c r="R946">
        <v>8.6704530000000002E-2</v>
      </c>
      <c r="S946">
        <v>3.007965</v>
      </c>
      <c r="T946">
        <v>-0.179503</v>
      </c>
      <c r="U946">
        <v>0.41690059999999901</v>
      </c>
      <c r="V946">
        <v>-8.6403590000000002E-2</v>
      </c>
      <c r="W946">
        <v>0.1109019</v>
      </c>
      <c r="X946">
        <v>0.99006830000000001</v>
      </c>
      <c r="Y946">
        <v>-0.1366658</v>
      </c>
      <c r="Z946">
        <v>4.0319350000000004E-3</v>
      </c>
      <c r="AA946">
        <v>0.99060899999999996</v>
      </c>
      <c r="AB946">
        <v>40</v>
      </c>
      <c r="AC946">
        <v>18.09</v>
      </c>
      <c r="AD946">
        <v>-1.1032914405550001</v>
      </c>
      <c r="AE946">
        <v>2.56220000000001</v>
      </c>
      <c r="AF946">
        <v>-2.5459235332608698</v>
      </c>
      <c r="AG946">
        <v>-1.1032914405550001</v>
      </c>
      <c r="AH946">
        <v>18.0252597736872</v>
      </c>
      <c r="AI946">
        <v>93.468256096226597</v>
      </c>
      <c r="AJ946">
        <v>98.039391219555696</v>
      </c>
      <c r="AK946">
        <v>18.237570247950199</v>
      </c>
    </row>
    <row r="947" spans="1:37" x14ac:dyDescent="0.2">
      <c r="A947" t="str">
        <f>"20200111150557742"</f>
        <v>20200111150557742</v>
      </c>
      <c r="B947" t="str">
        <f>"1578726357736873"</f>
        <v>1578726357736873</v>
      </c>
      <c r="C947" t="s">
        <v>37</v>
      </c>
      <c r="D947">
        <v>4.9520650000000002</v>
      </c>
      <c r="E947">
        <v>0.47905929999999902</v>
      </c>
      <c r="F947" t="s">
        <v>66</v>
      </c>
      <c r="G947">
        <v>-280.00920000000002</v>
      </c>
      <c r="H947" s="1">
        <v>6.7677819999999997E-6</v>
      </c>
      <c r="I947">
        <v>217.2928</v>
      </c>
      <c r="J947">
        <v>-293.7638</v>
      </c>
      <c r="K947">
        <v>1.1032959999999901</v>
      </c>
      <c r="L947">
        <v>215.2287</v>
      </c>
      <c r="M947">
        <v>0.99992739999999902</v>
      </c>
      <c r="N947">
        <v>0</v>
      </c>
      <c r="O947">
        <v>6.8113250000000005E-4</v>
      </c>
      <c r="P947">
        <v>0.99139159999999904</v>
      </c>
      <c r="Q947">
        <v>9.9007040000000004E-2</v>
      </c>
      <c r="R947">
        <v>8.5674609999999998E-2</v>
      </c>
      <c r="S947">
        <v>3.0113829999999999</v>
      </c>
      <c r="T947">
        <v>-0.2346357</v>
      </c>
      <c r="U947">
        <v>0.43907170000000001</v>
      </c>
      <c r="V947">
        <v>-8.5081009999999999E-2</v>
      </c>
      <c r="W947">
        <v>0.1108688</v>
      </c>
      <c r="X947">
        <v>0.99018649999999997</v>
      </c>
      <c r="Y947">
        <v>-0.14318149999999999</v>
      </c>
      <c r="Z947">
        <v>5.4877659999999998E-3</v>
      </c>
      <c r="AA947">
        <v>0.98968120000000004</v>
      </c>
      <c r="AB947">
        <v>40</v>
      </c>
      <c r="AC947">
        <v>13.7545999999999</v>
      </c>
      <c r="AD947">
        <v>-1.1032892322179999</v>
      </c>
      <c r="AE947">
        <v>2.0640999999999901</v>
      </c>
      <c r="AF947">
        <v>-2.0418819550582201</v>
      </c>
      <c r="AG947">
        <v>-1.1032892322179999</v>
      </c>
      <c r="AH947">
        <v>13.669986849200599</v>
      </c>
      <c r="AI947">
        <v>94.563861567205606</v>
      </c>
      <c r="AJ947">
        <v>98.495443986383705</v>
      </c>
      <c r="AK947">
        <v>13.865607433705801</v>
      </c>
    </row>
    <row r="948" spans="1:37" x14ac:dyDescent="0.2">
      <c r="A948" t="str">
        <f>"20200111150557766"</f>
        <v>20200111150557766</v>
      </c>
      <c r="B948" t="str">
        <f>"1578726357757367"</f>
        <v>1578726357757367</v>
      </c>
      <c r="C948" t="s">
        <v>37</v>
      </c>
      <c r="D948">
        <v>5.2119900000000001</v>
      </c>
      <c r="E948">
        <v>0.4790276</v>
      </c>
      <c r="F948" t="s">
        <v>63</v>
      </c>
      <c r="G948">
        <v>-279.30849999999998</v>
      </c>
      <c r="H948" s="1">
        <v>3.3007769999999998E-6</v>
      </c>
      <c r="I948">
        <v>217.26929999999999</v>
      </c>
      <c r="J948">
        <v>-293.34320000000002</v>
      </c>
      <c r="K948">
        <v>1.103297</v>
      </c>
      <c r="L948">
        <v>215.22919999999999</v>
      </c>
      <c r="M948">
        <v>0.99992719999999902</v>
      </c>
      <c r="N948">
        <v>0</v>
      </c>
      <c r="O948">
        <v>9.8677500000000007E-4</v>
      </c>
      <c r="P948">
        <v>0.99151939999999905</v>
      </c>
      <c r="Q948">
        <v>9.8558279999999998E-2</v>
      </c>
      <c r="R948">
        <v>8.4710129999999995E-2</v>
      </c>
      <c r="S948">
        <v>3.0122990000000001</v>
      </c>
      <c r="T948">
        <v>-0.2299119</v>
      </c>
      <c r="U948">
        <v>0.42524719999999999</v>
      </c>
      <c r="V948">
        <v>-8.3813589999999993E-2</v>
      </c>
      <c r="W948">
        <v>0.1104228</v>
      </c>
      <c r="X948">
        <v>0.99034439999999901</v>
      </c>
      <c r="Y948">
        <v>-0.13841519999999999</v>
      </c>
      <c r="Z948">
        <v>5.17381099999999E-3</v>
      </c>
      <c r="AA948">
        <v>0.99036080000000004</v>
      </c>
      <c r="AB948">
        <v>40</v>
      </c>
      <c r="AC948">
        <v>14.034700000000001</v>
      </c>
      <c r="AD948">
        <v>-1.103293699223</v>
      </c>
      <c r="AE948">
        <v>2.04009999999999</v>
      </c>
      <c r="AF948">
        <v>-2.01405993236938</v>
      </c>
      <c r="AG948">
        <v>-1.103293699223</v>
      </c>
      <c r="AH948">
        <v>13.952268060837101</v>
      </c>
      <c r="AI948">
        <v>94.475135126312907</v>
      </c>
      <c r="AJ948">
        <v>98.214109792988395</v>
      </c>
      <c r="AK948">
        <v>14.1399957015332</v>
      </c>
    </row>
    <row r="949" spans="1:37" x14ac:dyDescent="0.2">
      <c r="A949" t="str">
        <f>"20200111150557786"</f>
        <v>20200111150557786</v>
      </c>
      <c r="B949" t="str">
        <f>"1578726357776888"</f>
        <v>1578726357776888</v>
      </c>
      <c r="C949" t="s">
        <v>37</v>
      </c>
      <c r="D949">
        <v>5.131189</v>
      </c>
      <c r="E949">
        <v>0.48084759999999999</v>
      </c>
      <c r="F949" t="s">
        <v>63</v>
      </c>
      <c r="G949">
        <v>-279.19740000000002</v>
      </c>
      <c r="H949" s="1">
        <v>3.2441750000000002E-6</v>
      </c>
      <c r="I949">
        <v>217.2114</v>
      </c>
      <c r="J949">
        <v>-292.95599999999899</v>
      </c>
      <c r="K949">
        <v>1.1032979999999999</v>
      </c>
      <c r="L949">
        <v>215.22989999999999</v>
      </c>
      <c r="M949">
        <v>0.99992689999999995</v>
      </c>
      <c r="N949">
        <v>0</v>
      </c>
      <c r="O949">
        <v>1.2681579999999999E-3</v>
      </c>
      <c r="P949">
        <v>0.99158559999999996</v>
      </c>
      <c r="Q949">
        <v>9.8643239999999993E-2</v>
      </c>
      <c r="R949">
        <v>8.3831100000000006E-2</v>
      </c>
      <c r="S949">
        <v>3.0129389999999998</v>
      </c>
      <c r="T949">
        <v>-0.23499310000000001</v>
      </c>
      <c r="U949">
        <v>0.4221954</v>
      </c>
      <c r="V949">
        <v>-8.2655770000000003E-2</v>
      </c>
      <c r="W949">
        <v>0.11051</v>
      </c>
      <c r="X949">
        <v>0.99043199999999998</v>
      </c>
      <c r="Y949">
        <v>-0.13711089999999901</v>
      </c>
      <c r="Z949">
        <v>5.2147269999999997E-3</v>
      </c>
      <c r="AA949">
        <v>0.99054200000000003</v>
      </c>
      <c r="AB949">
        <v>40</v>
      </c>
      <c r="AC949">
        <v>13.7585999999999</v>
      </c>
      <c r="AD949">
        <v>-1.1032947558249999</v>
      </c>
      <c r="AE949">
        <v>1.98150000000001</v>
      </c>
      <c r="AF949">
        <v>-1.95175363253701</v>
      </c>
      <c r="AG949">
        <v>-1.1032947558249999</v>
      </c>
      <c r="AH949">
        <v>13.6749540643039</v>
      </c>
      <c r="AI949">
        <v>94.566552354319896</v>
      </c>
      <c r="AJ949">
        <v>98.122665223781397</v>
      </c>
      <c r="AK949">
        <v>13.8575239570846</v>
      </c>
    </row>
    <row r="950" spans="1:37" x14ac:dyDescent="0.2">
      <c r="A950" t="str">
        <f>"20200111150557810"</f>
        <v>20200111150557810</v>
      </c>
      <c r="B950" t="str">
        <f>"1578726357807144"</f>
        <v>1578726357807144</v>
      </c>
      <c r="C950" t="s">
        <v>37</v>
      </c>
      <c r="D950">
        <v>5.6393279999999999</v>
      </c>
      <c r="E950">
        <v>0.54031249999999997</v>
      </c>
      <c r="F950" t="s">
        <v>63</v>
      </c>
      <c r="G950">
        <v>-278.46269999999998</v>
      </c>
      <c r="H950" s="1">
        <v>2.854824E-6</v>
      </c>
      <c r="I950">
        <v>217.17439999999999</v>
      </c>
      <c r="J950">
        <v>-292.55220000000003</v>
      </c>
      <c r="K950">
        <v>1.1032979999999999</v>
      </c>
      <c r="L950">
        <v>215.23060000000001</v>
      </c>
      <c r="M950">
        <v>0.99992639999999999</v>
      </c>
      <c r="N950">
        <v>0</v>
      </c>
      <c r="O950">
        <v>1.561759E-3</v>
      </c>
      <c r="P950">
        <v>0.99168769999999995</v>
      </c>
      <c r="Q950">
        <v>9.8793980000000003E-2</v>
      </c>
      <c r="R950">
        <v>8.243499E-2</v>
      </c>
      <c r="S950">
        <v>3.0140989999999999</v>
      </c>
      <c r="T950">
        <v>-0.22944639999999999</v>
      </c>
      <c r="U950">
        <v>0.40438839999999998</v>
      </c>
      <c r="V950">
        <v>-8.0968239999999997E-2</v>
      </c>
      <c r="W950">
        <v>0.1106645</v>
      </c>
      <c r="X950">
        <v>0.99055419999999905</v>
      </c>
      <c r="Y950">
        <v>-0.1310579</v>
      </c>
      <c r="Z950">
        <v>4.84083E-3</v>
      </c>
      <c r="AA950">
        <v>0.99136290000000005</v>
      </c>
      <c r="AB950">
        <v>40</v>
      </c>
      <c r="AC950">
        <v>14.089499999999999</v>
      </c>
      <c r="AD950">
        <v>-1.10329514517599</v>
      </c>
      <c r="AE950">
        <v>1.94379999999998</v>
      </c>
      <c r="AF950">
        <v>-1.9102967447072201</v>
      </c>
      <c r="AG950">
        <v>-1.10329514517599</v>
      </c>
      <c r="AH950">
        <v>14.0082266426651</v>
      </c>
      <c r="AI950">
        <v>94.462217729368902</v>
      </c>
      <c r="AJ950">
        <v>97.765503401972595</v>
      </c>
      <c r="AK950">
        <v>14.180864131021099</v>
      </c>
    </row>
    <row r="951" spans="1:37" x14ac:dyDescent="0.2">
      <c r="A951" t="str">
        <f>"20200111150557830"</f>
        <v>20200111150557830</v>
      </c>
      <c r="B951" t="str">
        <f>"1578726357826664"</f>
        <v>1578726357826664</v>
      </c>
      <c r="C951" t="s">
        <v>37</v>
      </c>
      <c r="D951">
        <v>5.2039759999999999</v>
      </c>
      <c r="E951">
        <v>0.53576239999999997</v>
      </c>
      <c r="F951" t="s">
        <v>38</v>
      </c>
      <c r="G951">
        <v>-291.78840000000002</v>
      </c>
      <c r="H951">
        <v>1.011334</v>
      </c>
      <c r="I951">
        <v>215.21270000000001</v>
      </c>
      <c r="J951">
        <v>-292.16250000000002</v>
      </c>
      <c r="K951">
        <v>1.103297</v>
      </c>
      <c r="L951">
        <v>215.23150000000001</v>
      </c>
      <c r="M951">
        <v>0.99992599999999998</v>
      </c>
      <c r="N951">
        <v>0</v>
      </c>
      <c r="O951">
        <v>1.8449289999999999E-3</v>
      </c>
      <c r="P951">
        <v>0.99178809999999995</v>
      </c>
      <c r="Q951">
        <v>9.8910419999999999E-2</v>
      </c>
      <c r="R951">
        <v>8.1074750000000001E-2</v>
      </c>
      <c r="S951">
        <v>3.0679020000000001</v>
      </c>
      <c r="T951">
        <v>-0.36933179999999999</v>
      </c>
      <c r="U951">
        <v>-7.2006230000000004E-2</v>
      </c>
      <c r="V951">
        <v>-7.9326640000000004E-2</v>
      </c>
      <c r="W951">
        <v>0.11078389999999901</v>
      </c>
      <c r="X951">
        <v>0.99067359999999904</v>
      </c>
      <c r="Y951">
        <v>2.5114339999999999E-2</v>
      </c>
      <c r="Z951">
        <v>-1.7273529999999901E-3</v>
      </c>
      <c r="AA951">
        <v>0.99968310000000005</v>
      </c>
      <c r="AB951">
        <v>41</v>
      </c>
      <c r="AC951">
        <v>0.37409999999999799</v>
      </c>
      <c r="AD951">
        <v>-9.1963000000000003E-2</v>
      </c>
      <c r="AE951">
        <v>-1.87999999999988E-2</v>
      </c>
      <c r="AF951">
        <v>1.83821738417798E-2</v>
      </c>
      <c r="AG951">
        <v>-9.1963000000000003E-2</v>
      </c>
      <c r="AH951">
        <v>0.35279883441288401</v>
      </c>
      <c r="AI951">
        <v>104.591058513376</v>
      </c>
      <c r="AJ951">
        <v>87.017367043370896</v>
      </c>
      <c r="AK951">
        <v>0.36505083926384702</v>
      </c>
    </row>
    <row r="952" spans="1:37" x14ac:dyDescent="0.2">
      <c r="A952" t="str">
        <f>"20200111150557854"</f>
        <v>20200111150557854</v>
      </c>
      <c r="B952" t="str">
        <f>"1578726357847161"</f>
        <v>1578726357847161</v>
      </c>
      <c r="C952" t="s">
        <v>37</v>
      </c>
      <c r="D952">
        <v>6.4920770000000001</v>
      </c>
      <c r="E952">
        <v>0.53367609999999999</v>
      </c>
      <c r="F952" t="s">
        <v>38</v>
      </c>
      <c r="G952">
        <v>-291.42160000000001</v>
      </c>
      <c r="H952">
        <v>1.020689</v>
      </c>
      <c r="I952">
        <v>215.2217</v>
      </c>
      <c r="J952">
        <v>-291.74239999999998</v>
      </c>
      <c r="K952">
        <v>1.1032979999999999</v>
      </c>
      <c r="L952">
        <v>215.23249999999999</v>
      </c>
      <c r="M952">
        <v>0.99992539999999996</v>
      </c>
      <c r="N952">
        <v>0</v>
      </c>
      <c r="O952">
        <v>2.150271E-3</v>
      </c>
      <c r="P952">
        <v>0.99186369999999902</v>
      </c>
      <c r="Q952">
        <v>9.8764539999999998E-2</v>
      </c>
      <c r="R952">
        <v>8.0326739999999994E-2</v>
      </c>
      <c r="S952">
        <v>3.0621339999999999</v>
      </c>
      <c r="T952">
        <v>-0.34149479999999999</v>
      </c>
      <c r="U952">
        <v>-3.9733890000000001E-2</v>
      </c>
      <c r="V952">
        <v>-7.8275839999999999E-2</v>
      </c>
      <c r="W952">
        <v>0.1106403</v>
      </c>
      <c r="X952">
        <v>0.99077329999999997</v>
      </c>
      <c r="Y952">
        <v>1.501859E-2</v>
      </c>
      <c r="Z952">
        <v>-1.0738969999999899E-3</v>
      </c>
      <c r="AA952">
        <v>0.99988659999999996</v>
      </c>
      <c r="AB952">
        <v>41</v>
      </c>
      <c r="AC952">
        <v>0.320799999999962</v>
      </c>
      <c r="AD952">
        <v>-8.2608999999999905E-2</v>
      </c>
      <c r="AE952">
        <v>-1.0799999999989001E-2</v>
      </c>
      <c r="AF952">
        <v>1.0776068231582499E-2</v>
      </c>
      <c r="AG952">
        <v>-8.2608999999999905E-2</v>
      </c>
      <c r="AH952">
        <v>0.30084900072480297</v>
      </c>
      <c r="AI952">
        <v>105.344833490501</v>
      </c>
      <c r="AJ952">
        <v>87.948607502172493</v>
      </c>
      <c r="AK952">
        <v>0.31217061323040002</v>
      </c>
    </row>
    <row r="953" spans="1:37" x14ac:dyDescent="0.2">
      <c r="A953" t="str">
        <f>"20200111150557877"</f>
        <v>20200111150557877</v>
      </c>
      <c r="B953" t="str">
        <f>"1578726357866680"</f>
        <v>1578726357866680</v>
      </c>
      <c r="C953" t="s">
        <v>37</v>
      </c>
      <c r="D953">
        <v>5.1268180000000001</v>
      </c>
      <c r="E953">
        <v>0.53088290000000005</v>
      </c>
      <c r="F953" t="s">
        <v>38</v>
      </c>
      <c r="G953">
        <v>-290.71339999999998</v>
      </c>
      <c r="H953">
        <v>0.98732379999999997</v>
      </c>
      <c r="I953">
        <v>215.22380000000001</v>
      </c>
      <c r="J953">
        <v>-291.31540000000001</v>
      </c>
      <c r="K953">
        <v>1.1032959999999901</v>
      </c>
      <c r="L953">
        <v>215.2337</v>
      </c>
      <c r="M953">
        <v>0.99992449999999999</v>
      </c>
      <c r="N953">
        <v>0</v>
      </c>
      <c r="O953">
        <v>2.460561E-3</v>
      </c>
      <c r="P953">
        <v>0.99178489999999997</v>
      </c>
      <c r="Q953">
        <v>9.9300360000000004E-2</v>
      </c>
      <c r="R953">
        <v>8.0635360000000003E-2</v>
      </c>
      <c r="S953">
        <v>3.061035</v>
      </c>
      <c r="T953">
        <v>-0.34501720000000002</v>
      </c>
      <c r="U953">
        <v>-2.5619510000000002E-2</v>
      </c>
      <c r="V953">
        <v>-7.8277269999999996E-2</v>
      </c>
      <c r="W953">
        <v>0.11117629999999901</v>
      </c>
      <c r="X953">
        <v>0.99071309999999901</v>
      </c>
      <c r="Y953">
        <v>1.074627E-2</v>
      </c>
      <c r="Z953">
        <v>-8.8017469999999997E-4</v>
      </c>
      <c r="AA953">
        <v>0.99994189999999905</v>
      </c>
      <c r="AB953">
        <v>41</v>
      </c>
      <c r="AC953">
        <v>0.60200000000003195</v>
      </c>
      <c r="AD953">
        <v>-0.115972199999999</v>
      </c>
      <c r="AE953">
        <v>-9.8999999999875802E-3</v>
      </c>
      <c r="AF953">
        <v>1.0974171352976901E-2</v>
      </c>
      <c r="AG953">
        <v>-0.115972199999999</v>
      </c>
      <c r="AH953">
        <v>0.58043838840611095</v>
      </c>
      <c r="AI953">
        <v>101.297004516461</v>
      </c>
      <c r="AJ953">
        <v>88.916855243090197</v>
      </c>
      <c r="AK953">
        <v>0.592012420769369</v>
      </c>
    </row>
    <row r="954" spans="1:37" x14ac:dyDescent="0.2">
      <c r="A954" t="str">
        <f>"20200111150557898"</f>
        <v>20200111150557898</v>
      </c>
      <c r="B954" t="str">
        <f>"1578726357887177"</f>
        <v>1578726357887177</v>
      </c>
      <c r="C954" t="s">
        <v>37</v>
      </c>
      <c r="D954">
        <v>5.122833</v>
      </c>
      <c r="E954">
        <v>0.52967390000000003</v>
      </c>
      <c r="F954" t="s">
        <v>38</v>
      </c>
      <c r="G954">
        <v>-290.34660000000002</v>
      </c>
      <c r="H954">
        <v>0.99622009999999905</v>
      </c>
      <c r="I954">
        <v>215.2329</v>
      </c>
      <c r="J954">
        <v>-290.94150000000002</v>
      </c>
      <c r="K954">
        <v>1.1032899999999899</v>
      </c>
      <c r="L954">
        <v>215.23490000000001</v>
      </c>
      <c r="M954">
        <v>0.99992389999999998</v>
      </c>
      <c r="N954">
        <v>0</v>
      </c>
      <c r="O954">
        <v>2.7312690000000001E-3</v>
      </c>
      <c r="P954">
        <v>0.99178440000000001</v>
      </c>
      <c r="Q954">
        <v>9.8548739999999996E-2</v>
      </c>
      <c r="R954">
        <v>8.1560679999999997E-2</v>
      </c>
      <c r="S954">
        <v>3.058929</v>
      </c>
      <c r="T954">
        <v>-0.33812929999999902</v>
      </c>
      <c r="U954">
        <v>-2.746582E-3</v>
      </c>
      <c r="V954">
        <v>-7.893348E-2</v>
      </c>
      <c r="W954">
        <v>0.1104252</v>
      </c>
      <c r="X954">
        <v>0.99074509999999905</v>
      </c>
      <c r="Y954">
        <v>3.5908440000000002E-3</v>
      </c>
      <c r="Z954">
        <v>-4.9887559999999996E-4</v>
      </c>
      <c r="AA954">
        <v>0.99999340000000003</v>
      </c>
      <c r="AB954">
        <v>41</v>
      </c>
      <c r="AC954">
        <v>0.59489999999999499</v>
      </c>
      <c r="AD954">
        <v>-0.107069899999999</v>
      </c>
      <c r="AE954">
        <v>-2.0000000000095402E-3</v>
      </c>
      <c r="AF954">
        <v>3.5112059845041899E-3</v>
      </c>
      <c r="AG954">
        <v>-0.107069899999999</v>
      </c>
      <c r="AH954">
        <v>0.57622699323110904</v>
      </c>
      <c r="AI954">
        <v>100.52600608623599</v>
      </c>
      <c r="AJ954">
        <v>89.650875789532705</v>
      </c>
      <c r="AK954">
        <v>0.58610053726441902</v>
      </c>
    </row>
    <row r="955" spans="1:37" x14ac:dyDescent="0.2">
      <c r="A955" t="str">
        <f>"20200111150557920"</f>
        <v>20200111150557920</v>
      </c>
      <c r="B955" t="str">
        <f>"1578726357916964"</f>
        <v>1578726357916964</v>
      </c>
      <c r="C955" t="s">
        <v>37</v>
      </c>
      <c r="D955">
        <v>5.0811299999999999</v>
      </c>
      <c r="E955">
        <v>0.52841640000000001</v>
      </c>
      <c r="F955" t="s">
        <v>38</v>
      </c>
      <c r="G955">
        <v>-289.9821</v>
      </c>
      <c r="H955">
        <v>1.0005979999999901</v>
      </c>
      <c r="I955">
        <v>215.23750000000001</v>
      </c>
      <c r="J955">
        <v>-290.52730000000003</v>
      </c>
      <c r="K955">
        <v>1.1032839999999999</v>
      </c>
      <c r="L955">
        <v>215.2363</v>
      </c>
      <c r="M955">
        <v>0.99992289999999995</v>
      </c>
      <c r="N955">
        <v>0</v>
      </c>
      <c r="O955">
        <v>3.0250089999999999E-3</v>
      </c>
      <c r="P955">
        <v>0.99169169999999995</v>
      </c>
      <c r="Q955">
        <v>9.7905049999999993E-2</v>
      </c>
      <c r="R955">
        <v>8.3439769999999996E-2</v>
      </c>
      <c r="S955">
        <v>3.05661</v>
      </c>
      <c r="T955">
        <v>-0.32728479999999999</v>
      </c>
      <c r="U955">
        <v>8.8348390000000006E-3</v>
      </c>
      <c r="V955">
        <v>-8.0520359999999999E-2</v>
      </c>
      <c r="W955">
        <v>0.10978060000000001</v>
      </c>
      <c r="X955">
        <v>0.99068899999999904</v>
      </c>
      <c r="Y955">
        <v>1.168761E-4</v>
      </c>
      <c r="Z955">
        <v>-3.2923940000000002E-4</v>
      </c>
      <c r="AA955">
        <v>0.99999989999999905</v>
      </c>
      <c r="AB955">
        <v>41</v>
      </c>
      <c r="AC955">
        <v>0.545200000000022</v>
      </c>
      <c r="AD955">
        <v>-0.102686</v>
      </c>
      <c r="AE955">
        <v>1.20000000001141E-3</v>
      </c>
      <c r="AF955">
        <v>4.3396557422374399E-4</v>
      </c>
      <c r="AG955">
        <v>-0.102686</v>
      </c>
      <c r="AH955">
        <v>0.52652331140604602</v>
      </c>
      <c r="AI955">
        <v>101.035668205509</v>
      </c>
      <c r="AJ955">
        <v>89.952776278489296</v>
      </c>
      <c r="AK955">
        <v>0.53644328719456302</v>
      </c>
    </row>
    <row r="956" spans="1:37" x14ac:dyDescent="0.2">
      <c r="A956" t="str">
        <f>"20200111150557944"</f>
        <v>20200111150557944</v>
      </c>
      <c r="B956" t="str">
        <f>"1578726357937460"</f>
        <v>1578726357937460</v>
      </c>
      <c r="C956" t="s">
        <v>37</v>
      </c>
      <c r="D956">
        <v>5.0059019999999999</v>
      </c>
      <c r="E956">
        <v>0.52791889999999997</v>
      </c>
      <c r="F956" t="s">
        <v>38</v>
      </c>
      <c r="G956">
        <v>-289.61630000000002</v>
      </c>
      <c r="H956">
        <v>1.0075080000000001</v>
      </c>
      <c r="I956">
        <v>215.24340000000001</v>
      </c>
      <c r="J956">
        <v>-290.1164</v>
      </c>
      <c r="K956">
        <v>1.1032789999999999</v>
      </c>
      <c r="L956">
        <v>215.2379</v>
      </c>
      <c r="M956">
        <v>0.99992219999999998</v>
      </c>
      <c r="N956">
        <v>0</v>
      </c>
      <c r="O956">
        <v>3.302765E-3</v>
      </c>
      <c r="P956">
        <v>0.99141369999999895</v>
      </c>
      <c r="Q956">
        <v>9.8630300000000004E-2</v>
      </c>
      <c r="R956">
        <v>8.5855799999999996E-2</v>
      </c>
      <c r="S956">
        <v>3.05484</v>
      </c>
      <c r="T956">
        <v>-0.32117979999999902</v>
      </c>
      <c r="U956">
        <v>2.39563E-2</v>
      </c>
      <c r="V956">
        <v>-8.2660079999999997E-2</v>
      </c>
      <c r="W956">
        <v>0.110503399999999</v>
      </c>
      <c r="X956">
        <v>0.99043239999999999</v>
      </c>
      <c r="Y956">
        <v>-4.5321179999999999E-3</v>
      </c>
      <c r="Z956">
        <v>-1.0871949999999999E-4</v>
      </c>
      <c r="AA956">
        <v>0.99998969999999898</v>
      </c>
      <c r="AB956">
        <v>41</v>
      </c>
      <c r="AC956">
        <v>0.50009999999997401</v>
      </c>
      <c r="AD956">
        <v>-9.5770999999999995E-2</v>
      </c>
      <c r="AE956">
        <v>5.5000000000120499E-3</v>
      </c>
      <c r="AF956">
        <v>-3.7120207694140298E-3</v>
      </c>
      <c r="AG956">
        <v>-9.5770999999999995E-2</v>
      </c>
      <c r="AH956">
        <v>0.48242527438076599</v>
      </c>
      <c r="AI956">
        <v>101.22804160331</v>
      </c>
      <c r="AJ956">
        <v>90.440853615413701</v>
      </c>
      <c r="AK956">
        <v>0.49185364581402702</v>
      </c>
    </row>
    <row r="957" spans="1:37" x14ac:dyDescent="0.2">
      <c r="A957" t="str">
        <f>"20200111150557968"</f>
        <v>20200111150557968</v>
      </c>
      <c r="B957" t="str">
        <f>"1578726357956981"</f>
        <v>1578726357956981</v>
      </c>
      <c r="C957" t="s">
        <v>37</v>
      </c>
      <c r="D957">
        <v>5.0558860000000001</v>
      </c>
      <c r="E957">
        <v>0.52714839999999996</v>
      </c>
      <c r="F957" t="s">
        <v>38</v>
      </c>
      <c r="G957">
        <v>-289.25029999999998</v>
      </c>
      <c r="H957">
        <v>1.0147379999999999</v>
      </c>
      <c r="I957">
        <v>215.2475</v>
      </c>
      <c r="J957">
        <v>-289.67959999999999</v>
      </c>
      <c r="K957">
        <v>1.103275</v>
      </c>
      <c r="L957">
        <v>215.2396</v>
      </c>
      <c r="M957">
        <v>0.99992119999999995</v>
      </c>
      <c r="N957">
        <v>0</v>
      </c>
      <c r="O957">
        <v>3.576727E-3</v>
      </c>
      <c r="P957">
        <v>0.99112269999999902</v>
      </c>
      <c r="Q957">
        <v>9.9855070000000004E-2</v>
      </c>
      <c r="R957">
        <v>8.7776679999999996E-2</v>
      </c>
      <c r="S957">
        <v>3.0540159999999998</v>
      </c>
      <c r="T957">
        <v>-0.31243409999999999</v>
      </c>
      <c r="U957">
        <v>3.5202030000000002E-2</v>
      </c>
      <c r="V957">
        <v>-8.4306489999999998E-2</v>
      </c>
      <c r="W957">
        <v>0.1117279</v>
      </c>
      <c r="X957">
        <v>0.99015620000000004</v>
      </c>
      <c r="Y957">
        <v>-7.9261869999999995E-3</v>
      </c>
      <c r="Z957" s="1">
        <v>3.9398089999999997E-5</v>
      </c>
      <c r="AA957">
        <v>0.99996859999999999</v>
      </c>
      <c r="AB957">
        <v>41</v>
      </c>
      <c r="AC957">
        <v>0.42930000000001201</v>
      </c>
      <c r="AD957">
        <v>-8.8537000000000005E-2</v>
      </c>
      <c r="AE957">
        <v>7.9000000000064505E-3</v>
      </c>
      <c r="AF957">
        <v>-6.1047815205710499E-3</v>
      </c>
      <c r="AG957">
        <v>-8.8537000000000005E-2</v>
      </c>
      <c r="AH957">
        <v>0.41181561464983202</v>
      </c>
      <c r="AI957">
        <v>102.132140258075</v>
      </c>
      <c r="AJ957">
        <v>90.849294163019493</v>
      </c>
      <c r="AK957">
        <v>0.42126971075052699</v>
      </c>
    </row>
    <row r="958" spans="1:37" x14ac:dyDescent="0.2">
      <c r="A958" t="str">
        <f>"20200111150557989"</f>
        <v>20200111150557989</v>
      </c>
      <c r="B958" t="str">
        <f>"1578726357977476"</f>
        <v>1578726357977476</v>
      </c>
      <c r="C958" t="s">
        <v>37</v>
      </c>
      <c r="D958">
        <v>5.0346640000000003</v>
      </c>
      <c r="E958">
        <v>0.52703059999999902</v>
      </c>
      <c r="F958" t="s">
        <v>38</v>
      </c>
      <c r="G958">
        <v>-288.88420000000002</v>
      </c>
      <c r="H958">
        <v>1.021862</v>
      </c>
      <c r="I958">
        <v>215.25190000000001</v>
      </c>
      <c r="J958">
        <v>-289.29169999999999</v>
      </c>
      <c r="K958">
        <v>1.103262</v>
      </c>
      <c r="L958">
        <v>215.24119999999999</v>
      </c>
      <c r="M958">
        <v>0.99992039999999904</v>
      </c>
      <c r="N958">
        <v>0</v>
      </c>
      <c r="O958">
        <v>3.795026E-3</v>
      </c>
      <c r="P958">
        <v>0.99093529999999996</v>
      </c>
      <c r="Q958">
        <v>0.100977</v>
      </c>
      <c r="R958">
        <v>8.8606850000000001E-2</v>
      </c>
      <c r="S958">
        <v>3.0541990000000001</v>
      </c>
      <c r="T958">
        <v>-0.31260470000000001</v>
      </c>
      <c r="U958">
        <v>4.7027590000000001E-2</v>
      </c>
      <c r="V958">
        <v>-8.4916980000000003E-2</v>
      </c>
      <c r="W958">
        <v>0.112851299999999</v>
      </c>
      <c r="X958">
        <v>0.98997659999999998</v>
      </c>
      <c r="Y958">
        <v>-1.1560340000000001E-2</v>
      </c>
      <c r="Z958">
        <v>2.026183E-4</v>
      </c>
      <c r="AA958">
        <v>0.99993319999999997</v>
      </c>
      <c r="AB958">
        <v>41</v>
      </c>
      <c r="AC958">
        <v>0.40749999999997</v>
      </c>
      <c r="AD958">
        <v>-8.1400000000000097E-2</v>
      </c>
      <c r="AE958">
        <v>1.0700000000014099E-2</v>
      </c>
      <c r="AF958">
        <v>-8.8023493942674304E-3</v>
      </c>
      <c r="AG958">
        <v>-8.1400000000000097E-2</v>
      </c>
      <c r="AH958">
        <v>0.39191047632488601</v>
      </c>
      <c r="AI958">
        <v>101.730657450934</v>
      </c>
      <c r="AJ958">
        <v>91.286652745523895</v>
      </c>
      <c r="AK958">
        <v>0.40037140608197602</v>
      </c>
    </row>
    <row r="959" spans="1:37" x14ac:dyDescent="0.2">
      <c r="A959" t="str">
        <f>"20200111150558012"</f>
        <v>20200111150558012</v>
      </c>
      <c r="B959" t="str">
        <f>"1578726358006756"</f>
        <v>1578726358006756</v>
      </c>
      <c r="C959" t="s">
        <v>37</v>
      </c>
      <c r="D959">
        <v>5.0064510000000002</v>
      </c>
      <c r="E959">
        <v>0.52727500000000005</v>
      </c>
      <c r="F959" t="s">
        <v>38</v>
      </c>
      <c r="G959">
        <v>-288.51940000000002</v>
      </c>
      <c r="H959">
        <v>1.0265340000000001</v>
      </c>
      <c r="I959">
        <v>215.25380000000001</v>
      </c>
      <c r="J959">
        <v>-288.88069999999999</v>
      </c>
      <c r="K959">
        <v>1.1032439999999999</v>
      </c>
      <c r="L959">
        <v>215.24289999999999</v>
      </c>
      <c r="M959">
        <v>0.99991969999999997</v>
      </c>
      <c r="N959">
        <v>0</v>
      </c>
      <c r="O959">
        <v>3.9972690000000003E-3</v>
      </c>
      <c r="P959">
        <v>0.99088009999999904</v>
      </c>
      <c r="Q959">
        <v>0.1015368</v>
      </c>
      <c r="R959">
        <v>8.8582859999999999E-2</v>
      </c>
      <c r="S959">
        <v>3.053833</v>
      </c>
      <c r="T959">
        <v>-0.3035486</v>
      </c>
      <c r="U959">
        <v>5.0949099999999997E-2</v>
      </c>
      <c r="V959">
        <v>-8.4685839999999998E-2</v>
      </c>
      <c r="W959">
        <v>0.11341660000000001</v>
      </c>
      <c r="X959">
        <v>0.98993180000000003</v>
      </c>
      <c r="Y959">
        <v>-1.2641619999999999E-2</v>
      </c>
      <c r="Z959">
        <v>2.303498E-4</v>
      </c>
      <c r="AA959">
        <v>0.99992009999999898</v>
      </c>
      <c r="AB959">
        <v>41</v>
      </c>
      <c r="AC959">
        <v>0.36129999999997098</v>
      </c>
      <c r="AD959">
        <v>-7.671E-2</v>
      </c>
      <c r="AE959">
        <v>1.09000000000207E-2</v>
      </c>
      <c r="AF959">
        <v>-9.0480929394032E-3</v>
      </c>
      <c r="AG959">
        <v>-7.671E-2</v>
      </c>
      <c r="AH959">
        <v>0.345768198924926</v>
      </c>
      <c r="AI959">
        <v>102.504546304965</v>
      </c>
      <c r="AJ959">
        <v>91.498978958190506</v>
      </c>
      <c r="AK959">
        <v>0.35429075555767398</v>
      </c>
    </row>
    <row r="960" spans="1:37" x14ac:dyDescent="0.2">
      <c r="A960" t="str">
        <f>"20200111150558034"</f>
        <v>20200111150558034</v>
      </c>
      <c r="B960" t="str">
        <f>"1578726358026785"</f>
        <v>1578726358026785</v>
      </c>
      <c r="C960" t="s">
        <v>37</v>
      </c>
      <c r="D960">
        <v>5.0197370000000001</v>
      </c>
      <c r="E960">
        <v>0.52714749999999999</v>
      </c>
      <c r="F960" t="s">
        <v>38</v>
      </c>
      <c r="G960">
        <v>-288.15190000000001</v>
      </c>
      <c r="H960">
        <v>1.0326610000000001</v>
      </c>
      <c r="I960">
        <v>215.25450000000001</v>
      </c>
      <c r="J960">
        <v>-288.47469999999998</v>
      </c>
      <c r="K960">
        <v>1.103216</v>
      </c>
      <c r="L960">
        <v>215.24469999999999</v>
      </c>
      <c r="M960">
        <v>0.99991890000000005</v>
      </c>
      <c r="N960">
        <v>0</v>
      </c>
      <c r="O960">
        <v>4.1634150000000002E-3</v>
      </c>
      <c r="P960">
        <v>0.99091209999999996</v>
      </c>
      <c r="Q960">
        <v>0.102301899999999</v>
      </c>
      <c r="R960">
        <v>8.733668E-2</v>
      </c>
      <c r="S960">
        <v>3.0535580000000002</v>
      </c>
      <c r="T960">
        <v>-0.29585119999999998</v>
      </c>
      <c r="U960">
        <v>4.8828129999999997E-2</v>
      </c>
      <c r="V960">
        <v>-8.3268380000000003E-2</v>
      </c>
      <c r="W960">
        <v>0.11418879999999999</v>
      </c>
      <c r="X960">
        <v>0.98996329999999999</v>
      </c>
      <c r="Y960">
        <v>-1.17895E-2</v>
      </c>
      <c r="Z960">
        <v>1.67317E-4</v>
      </c>
      <c r="AA960">
        <v>0.99993050000000006</v>
      </c>
      <c r="AB960">
        <v>41</v>
      </c>
      <c r="AC960">
        <v>0.322799999999972</v>
      </c>
      <c r="AD960">
        <v>-7.0554999999999896E-2</v>
      </c>
      <c r="AE960">
        <v>9.8000000000126805E-3</v>
      </c>
      <c r="AF960">
        <v>-8.0706575095259598E-3</v>
      </c>
      <c r="AG960">
        <v>-7.0554999999999896E-2</v>
      </c>
      <c r="AH960">
        <v>0.30813101439316298</v>
      </c>
      <c r="AI960">
        <v>102.892824465532</v>
      </c>
      <c r="AJ960">
        <v>91.500364749797001</v>
      </c>
      <c r="AK960">
        <v>0.31620857921409301</v>
      </c>
    </row>
    <row r="961" spans="1:37" x14ac:dyDescent="0.2">
      <c r="A961" t="str">
        <f>"20200111150558058"</f>
        <v>20200111150558058</v>
      </c>
      <c r="B961" t="str">
        <f>"1578726358047281"</f>
        <v>1578726358047281</v>
      </c>
      <c r="C961" t="s">
        <v>37</v>
      </c>
      <c r="D961">
        <v>4.9502389999999998</v>
      </c>
      <c r="E961">
        <v>0.52702919999999998</v>
      </c>
      <c r="F961" t="s">
        <v>38</v>
      </c>
      <c r="G961">
        <v>-287.4418</v>
      </c>
      <c r="H961">
        <v>1.004993</v>
      </c>
      <c r="I961">
        <v>215.2603</v>
      </c>
      <c r="J961">
        <v>-288.04239999999999</v>
      </c>
      <c r="K961">
        <v>1.1031959999999901</v>
      </c>
      <c r="L961">
        <v>215.2466</v>
      </c>
      <c r="M961">
        <v>0.99991819999999898</v>
      </c>
      <c r="N961">
        <v>0</v>
      </c>
      <c r="O961">
        <v>4.3061649999999998E-3</v>
      </c>
      <c r="P961">
        <v>0.99097269999999904</v>
      </c>
      <c r="Q961">
        <v>0.1030441</v>
      </c>
      <c r="R961">
        <v>8.5761500000000004E-2</v>
      </c>
      <c r="S961">
        <v>3.0534059999999998</v>
      </c>
      <c r="T961">
        <v>-0.29038439999999999</v>
      </c>
      <c r="U961">
        <v>4.6203609999999999E-2</v>
      </c>
      <c r="V961">
        <v>-8.1543359999999995E-2</v>
      </c>
      <c r="W961">
        <v>0.1149391</v>
      </c>
      <c r="X961">
        <v>0.99002000000000001</v>
      </c>
      <c r="Y961">
        <v>-1.0794710000000001E-2</v>
      </c>
      <c r="Z961">
        <v>1.035092E-4</v>
      </c>
      <c r="AA961">
        <v>0.99994169999999905</v>
      </c>
      <c r="AB961">
        <v>41</v>
      </c>
      <c r="AC961">
        <v>0.60059999999998503</v>
      </c>
      <c r="AD961">
        <v>-9.8202999999999804E-2</v>
      </c>
      <c r="AE961">
        <v>1.37E-2</v>
      </c>
      <c r="AF961">
        <v>-1.0824169871906099E-2</v>
      </c>
      <c r="AG961">
        <v>-9.8202999999999804E-2</v>
      </c>
      <c r="AH961">
        <v>0.58502107289983896</v>
      </c>
      <c r="AI961">
        <v>99.527363439199206</v>
      </c>
      <c r="AJ961">
        <v>91.059976340678702</v>
      </c>
      <c r="AK961">
        <v>0.59330485216227202</v>
      </c>
    </row>
    <row r="962" spans="1:37" x14ac:dyDescent="0.2">
      <c r="A962" t="str">
        <f>"20200111150558078"</f>
        <v>20200111150558078</v>
      </c>
      <c r="B962" t="str">
        <f>"1578726358066800"</f>
        <v>1578726358066800</v>
      </c>
      <c r="C962" t="s">
        <v>37</v>
      </c>
      <c r="D962">
        <v>4.9205489999999896</v>
      </c>
      <c r="E962">
        <v>0.52674960000000004</v>
      </c>
      <c r="F962" t="s">
        <v>38</v>
      </c>
      <c r="G962">
        <v>-287.0754</v>
      </c>
      <c r="H962">
        <v>1.012378</v>
      </c>
      <c r="I962">
        <v>215.25989999999999</v>
      </c>
      <c r="J962">
        <v>-287.68490000000003</v>
      </c>
      <c r="K962">
        <v>1.1031739999999901</v>
      </c>
      <c r="L962">
        <v>215.2483</v>
      </c>
      <c r="M962">
        <v>0.99991779999999997</v>
      </c>
      <c r="N962">
        <v>0</v>
      </c>
      <c r="O962">
        <v>4.4032359999999996E-3</v>
      </c>
      <c r="P962">
        <v>0.99107699999999999</v>
      </c>
      <c r="Q962">
        <v>0.103163799999999</v>
      </c>
      <c r="R962">
        <v>8.4402959999999999E-2</v>
      </c>
      <c r="S962">
        <v>3.0534669999999999</v>
      </c>
      <c r="T962">
        <v>-0.28688940000000002</v>
      </c>
      <c r="U962">
        <v>4.289246E-2</v>
      </c>
      <c r="V962">
        <v>-8.0081940000000004E-2</v>
      </c>
      <c r="W962">
        <v>0.115066</v>
      </c>
      <c r="X962">
        <v>0.99012459999999902</v>
      </c>
      <c r="Y962">
        <v>-9.6195240000000008E-3</v>
      </c>
      <c r="Z962" s="1">
        <v>3.8083729999999998E-5</v>
      </c>
      <c r="AA962">
        <v>0.99995369999999995</v>
      </c>
      <c r="AB962">
        <v>41</v>
      </c>
      <c r="AC962">
        <v>0.60950000000002502</v>
      </c>
      <c r="AD962">
        <v>-9.0795999999999794E-2</v>
      </c>
      <c r="AE962">
        <v>1.15999999999871E-2</v>
      </c>
      <c r="AF962">
        <v>-8.7224272178269505E-3</v>
      </c>
      <c r="AG962">
        <v>-9.0795999999999794E-2</v>
      </c>
      <c r="AH962">
        <v>0.59631681826404004</v>
      </c>
      <c r="AI962">
        <v>98.656525785948702</v>
      </c>
      <c r="AJ962">
        <v>90.838015320356007</v>
      </c>
      <c r="AK962">
        <v>0.60325263538348395</v>
      </c>
    </row>
    <row r="963" spans="1:37" x14ac:dyDescent="0.2">
      <c r="A963" t="str">
        <f>"20200111150558102"</f>
        <v>20200111150558102</v>
      </c>
      <c r="B963" t="str">
        <f>"1578726358097057"</f>
        <v>1578726358097057</v>
      </c>
      <c r="C963" t="s">
        <v>37</v>
      </c>
      <c r="D963">
        <v>4.9252419999999999</v>
      </c>
      <c r="E963">
        <v>0.52643469999999903</v>
      </c>
      <c r="F963" t="s">
        <v>38</v>
      </c>
      <c r="G963">
        <v>-286.71230000000003</v>
      </c>
      <c r="H963">
        <v>1.0128969999999999</v>
      </c>
      <c r="I963">
        <v>215.26140000000001</v>
      </c>
      <c r="J963">
        <v>-287.24130000000002</v>
      </c>
      <c r="K963">
        <v>1.103145</v>
      </c>
      <c r="L963">
        <v>215.25030000000001</v>
      </c>
      <c r="M963">
        <v>0.99991739999999996</v>
      </c>
      <c r="N963">
        <v>0</v>
      </c>
      <c r="O963">
        <v>4.497877E-3</v>
      </c>
      <c r="P963">
        <v>0.9911546</v>
      </c>
      <c r="Q963">
        <v>0.1028379</v>
      </c>
      <c r="R963">
        <v>8.3887290000000003E-2</v>
      </c>
      <c r="S963">
        <v>3.0530089999999999</v>
      </c>
      <c r="T963">
        <v>-0.28345479999999901</v>
      </c>
      <c r="U963">
        <v>4.1732789999999999E-2</v>
      </c>
      <c r="V963">
        <v>-7.9465450000000007E-2</v>
      </c>
      <c r="W963">
        <v>0.1147468</v>
      </c>
      <c r="X963">
        <v>0.99021130000000002</v>
      </c>
      <c r="Y963">
        <v>-9.1501959999999993E-3</v>
      </c>
      <c r="Z963" s="1">
        <v>7.1278480000000002E-6</v>
      </c>
      <c r="AA963">
        <v>0.99995820000000002</v>
      </c>
      <c r="AB963">
        <v>41</v>
      </c>
      <c r="AC963">
        <v>0.52899999999999603</v>
      </c>
      <c r="AD963">
        <v>-9.0248000000000106E-2</v>
      </c>
      <c r="AE963">
        <v>1.1099999999999E-2</v>
      </c>
      <c r="AF963">
        <v>-8.4738184859972001E-3</v>
      </c>
      <c r="AG963">
        <v>-9.0248000000000106E-2</v>
      </c>
      <c r="AH963">
        <v>0.51408874030083695</v>
      </c>
      <c r="AI963">
        <v>99.955463558529601</v>
      </c>
      <c r="AJ963">
        <v>90.944331268298995</v>
      </c>
      <c r="AK963">
        <v>0.52201890771104797</v>
      </c>
    </row>
    <row r="964" spans="1:37" x14ac:dyDescent="0.2">
      <c r="A964" t="str">
        <f>"20200111150558123"</f>
        <v>20200111150558123</v>
      </c>
      <c r="B964" t="str">
        <f>"1578726358117084"</f>
        <v>1578726358117084</v>
      </c>
      <c r="C964" t="s">
        <v>37</v>
      </c>
      <c r="D964">
        <v>4.8633179999999996</v>
      </c>
      <c r="E964">
        <v>0.52632449999999997</v>
      </c>
      <c r="F964" t="s">
        <v>38</v>
      </c>
      <c r="G964">
        <v>-286.34640000000002</v>
      </c>
      <c r="H964">
        <v>1.019204</v>
      </c>
      <c r="I964">
        <v>215.2627</v>
      </c>
      <c r="J964">
        <v>-286.8578</v>
      </c>
      <c r="K964">
        <v>1.103127</v>
      </c>
      <c r="L964">
        <v>215.25210000000001</v>
      </c>
      <c r="M964">
        <v>0.99991719999999895</v>
      </c>
      <c r="N964">
        <v>0</v>
      </c>
      <c r="O964">
        <v>4.5589609999999899E-3</v>
      </c>
      <c r="P964">
        <v>0.99107800000000001</v>
      </c>
      <c r="Q964">
        <v>0.10301730000000001</v>
      </c>
      <c r="R964">
        <v>8.4571439999999998E-2</v>
      </c>
      <c r="S964">
        <v>3.0528869999999899</v>
      </c>
      <c r="T964">
        <v>-0.28635899999999997</v>
      </c>
      <c r="U964">
        <v>4.2556759999999999E-2</v>
      </c>
      <c r="V964">
        <v>-8.0083210000000002E-2</v>
      </c>
      <c r="W964">
        <v>0.11493009999999999</v>
      </c>
      <c r="X964">
        <v>0.99014029999999997</v>
      </c>
      <c r="Y964">
        <v>-9.3584340000000005E-3</v>
      </c>
      <c r="Z964" s="1">
        <v>1.1228259999999999E-5</v>
      </c>
      <c r="AA964">
        <v>0.99995619999999996</v>
      </c>
      <c r="AB964">
        <v>41</v>
      </c>
      <c r="AC964">
        <v>0.51139999999997998</v>
      </c>
      <c r="AD964">
        <v>-8.39229999999999E-2</v>
      </c>
      <c r="AE964">
        <v>1.05999999999824E-2</v>
      </c>
      <c r="AF964">
        <v>-8.0515316186195104E-3</v>
      </c>
      <c r="AG964">
        <v>-8.39229999999999E-2</v>
      </c>
      <c r="AH964">
        <v>0.49803651978838898</v>
      </c>
      <c r="AI964">
        <v>99.563698691572796</v>
      </c>
      <c r="AJ964">
        <v>90.926194322424394</v>
      </c>
      <c r="AK964">
        <v>0.50512203687162205</v>
      </c>
    </row>
    <row r="965" spans="1:37" x14ac:dyDescent="0.2">
      <c r="A965" t="str">
        <f>"20200111150558148"</f>
        <v>20200111150558148</v>
      </c>
      <c r="B965" t="str">
        <f>"1578726358136604"</f>
        <v>1578726358136604</v>
      </c>
      <c r="C965" t="s">
        <v>37</v>
      </c>
      <c r="D965">
        <v>4.8571519999999904</v>
      </c>
      <c r="E965">
        <v>0.52604830000000002</v>
      </c>
      <c r="F965" t="s">
        <v>38</v>
      </c>
      <c r="G965">
        <v>-285.98200000000003</v>
      </c>
      <c r="H965">
        <v>1.0218320000000001</v>
      </c>
      <c r="I965">
        <v>215.26519999999999</v>
      </c>
      <c r="J965">
        <v>-286.40519999999998</v>
      </c>
      <c r="K965">
        <v>1.103102</v>
      </c>
      <c r="L965">
        <v>215.2542</v>
      </c>
      <c r="M965">
        <v>0.9999169</v>
      </c>
      <c r="N965">
        <v>0</v>
      </c>
      <c r="O965">
        <v>4.609447E-3</v>
      </c>
      <c r="P965">
        <v>0.99106059999999996</v>
      </c>
      <c r="Q965">
        <v>0.1029622</v>
      </c>
      <c r="R965">
        <v>8.4840230000000003E-2</v>
      </c>
      <c r="S965">
        <v>3.052521</v>
      </c>
      <c r="T965">
        <v>-0.28335700000000003</v>
      </c>
      <c r="U965">
        <v>4.5700070000000002E-2</v>
      </c>
      <c r="V965">
        <v>-8.0295199999999997E-2</v>
      </c>
      <c r="W965">
        <v>0.11488039999999899</v>
      </c>
      <c r="X965">
        <v>0.99012889999999998</v>
      </c>
      <c r="Y965">
        <v>-1.0335550000000001E-2</v>
      </c>
      <c r="Z965" s="1">
        <v>5.1687559999999899E-5</v>
      </c>
      <c r="AA965">
        <v>0.99994660000000002</v>
      </c>
      <c r="AB965">
        <v>41</v>
      </c>
      <c r="AC965">
        <v>0.423199999999951</v>
      </c>
      <c r="AD965">
        <v>-8.1269999999999898E-2</v>
      </c>
      <c r="AE965">
        <v>1.09999999999956E-2</v>
      </c>
      <c r="AF965">
        <v>-8.7273909720477893E-3</v>
      </c>
      <c r="AG965">
        <v>-8.1269999999999898E-2</v>
      </c>
      <c r="AH965">
        <v>0.408202614751002</v>
      </c>
      <c r="AI965">
        <v>101.257410105212</v>
      </c>
      <c r="AJ965">
        <v>91.224799843951203</v>
      </c>
      <c r="AK965">
        <v>0.41630560282409601</v>
      </c>
    </row>
    <row r="966" spans="1:37" x14ac:dyDescent="0.2">
      <c r="A966" t="str">
        <f>"20200111150558166"</f>
        <v>20200111150558166</v>
      </c>
      <c r="B966" t="str">
        <f>"1578726358157100"</f>
        <v>1578726358157100</v>
      </c>
      <c r="C966" t="s">
        <v>37</v>
      </c>
      <c r="D966">
        <v>4.9361100000000002</v>
      </c>
      <c r="E966">
        <v>0.52611379999999996</v>
      </c>
      <c r="F966" t="s">
        <v>38</v>
      </c>
      <c r="G966">
        <v>-285.61579999999998</v>
      </c>
      <c r="H966">
        <v>1.027679</v>
      </c>
      <c r="I966">
        <v>215.26650000000001</v>
      </c>
      <c r="J966">
        <v>-286.06439999999998</v>
      </c>
      <c r="K966">
        <v>1.103086</v>
      </c>
      <c r="L966">
        <v>215.25579999999999</v>
      </c>
      <c r="M966">
        <v>0.99991669999999999</v>
      </c>
      <c r="N966">
        <v>0</v>
      </c>
      <c r="O966">
        <v>4.63357099999999E-3</v>
      </c>
      <c r="P966">
        <v>0.99100710000000003</v>
      </c>
      <c r="Q966">
        <v>0.1029693</v>
      </c>
      <c r="R966">
        <v>8.5455429999999999E-2</v>
      </c>
      <c r="S966">
        <v>3.053223</v>
      </c>
      <c r="T966">
        <v>-0.29193829999999998</v>
      </c>
      <c r="U966">
        <v>4.8828129999999997E-2</v>
      </c>
      <c r="V966">
        <v>-8.0881919999999996E-2</v>
      </c>
      <c r="W966">
        <v>0.1148907</v>
      </c>
      <c r="X966">
        <v>0.99007990000000001</v>
      </c>
      <c r="Y966">
        <v>-1.1326279999999999E-2</v>
      </c>
      <c r="Z966" s="1">
        <v>9.8186549999999996E-5</v>
      </c>
      <c r="AA966">
        <v>0.99993589999999999</v>
      </c>
      <c r="AB966">
        <v>41</v>
      </c>
      <c r="AC966">
        <v>0.448599999999998</v>
      </c>
      <c r="AD966">
        <v>-7.5407000000000002E-2</v>
      </c>
      <c r="AE966">
        <v>1.0700000000014099E-2</v>
      </c>
      <c r="AF966">
        <v>-8.38434421123814E-3</v>
      </c>
      <c r="AG966">
        <v>-7.5407000000000002E-2</v>
      </c>
      <c r="AH966">
        <v>0.43632319543130099</v>
      </c>
      <c r="AI966">
        <v>99.803440126809605</v>
      </c>
      <c r="AJ966">
        <v>91.100854659038404</v>
      </c>
      <c r="AK966">
        <v>0.44287068513081101</v>
      </c>
    </row>
    <row r="967" spans="1:37" x14ac:dyDescent="0.2">
      <c r="A967" t="str">
        <f>"20200111150558189"</f>
        <v>20200111150558189</v>
      </c>
      <c r="B967" t="str">
        <f>"1578726358176620"</f>
        <v>1578726358176620</v>
      </c>
      <c r="C967" t="s">
        <v>37</v>
      </c>
      <c r="D967">
        <v>4.9060069999999998</v>
      </c>
      <c r="E967">
        <v>0.52605930000000001</v>
      </c>
      <c r="F967" t="s">
        <v>38</v>
      </c>
      <c r="G967">
        <v>-285.25389999999999</v>
      </c>
      <c r="H967">
        <v>1.0259370000000001</v>
      </c>
      <c r="I967">
        <v>215.26900000000001</v>
      </c>
      <c r="J967">
        <v>-285.66950000000003</v>
      </c>
      <c r="K967">
        <v>1.1030690000000001</v>
      </c>
      <c r="L967">
        <v>215.2577</v>
      </c>
      <c r="M967">
        <v>0.99991669999999999</v>
      </c>
      <c r="N967">
        <v>0</v>
      </c>
      <c r="O967">
        <v>4.6524380000000001E-3</v>
      </c>
      <c r="P967">
        <v>0.9909521</v>
      </c>
      <c r="Q967">
        <v>0.1034886</v>
      </c>
      <c r="R967">
        <v>8.5465890000000003E-2</v>
      </c>
      <c r="S967">
        <v>3.053131</v>
      </c>
      <c r="T967">
        <v>-0.29062009999999899</v>
      </c>
      <c r="U967">
        <v>4.9606320000000002E-2</v>
      </c>
      <c r="V967">
        <v>-8.0868499999999996E-2</v>
      </c>
      <c r="W967">
        <v>0.11541369999999999</v>
      </c>
      <c r="X967">
        <v>0.99002019999999902</v>
      </c>
      <c r="Y967">
        <v>-1.1561989999999999E-2</v>
      </c>
      <c r="Z967">
        <v>1.0714850000000001E-4</v>
      </c>
      <c r="AA967">
        <v>0.99993310000000002</v>
      </c>
      <c r="AB967">
        <v>41</v>
      </c>
      <c r="AC967">
        <v>0.41560000000003999</v>
      </c>
      <c r="AD967">
        <v>-7.7131999999999895E-2</v>
      </c>
      <c r="AE967">
        <v>1.1300000000005601E-2</v>
      </c>
      <c r="AF967">
        <v>-9.0545369766243493E-3</v>
      </c>
      <c r="AG967">
        <v>-7.7131999999999895E-2</v>
      </c>
      <c r="AH967">
        <v>0.40181794067340298</v>
      </c>
      <c r="AI967">
        <v>100.863489190865</v>
      </c>
      <c r="AJ967">
        <v>91.290880567916403</v>
      </c>
      <c r="AK967">
        <v>0.409254184475706</v>
      </c>
    </row>
    <row r="968" spans="1:37" x14ac:dyDescent="0.2">
      <c r="A968" t="str">
        <f>"20200111150558210"</f>
        <v>20200111150558210</v>
      </c>
      <c r="B968" t="str">
        <f>"1578726358206876"</f>
        <v>1578726358206876</v>
      </c>
      <c r="C968" t="s">
        <v>37</v>
      </c>
      <c r="D968">
        <v>4.9150080000000003</v>
      </c>
      <c r="E968">
        <v>0.52623619999999904</v>
      </c>
      <c r="F968" t="s">
        <v>38</v>
      </c>
      <c r="G968">
        <v>-284.88799999999998</v>
      </c>
      <c r="H968">
        <v>1.0295030000000001</v>
      </c>
      <c r="I968">
        <v>215.27010000000001</v>
      </c>
      <c r="J968">
        <v>-285.27429999999998</v>
      </c>
      <c r="K968">
        <v>1.1030599999999999</v>
      </c>
      <c r="L968">
        <v>215.2595</v>
      </c>
      <c r="M968">
        <v>0.99991669999999999</v>
      </c>
      <c r="N968">
        <v>0</v>
      </c>
      <c r="O968">
        <v>4.6640179999999998E-3</v>
      </c>
      <c r="P968">
        <v>0.99091019999999896</v>
      </c>
      <c r="Q968">
        <v>0.10439759999999999</v>
      </c>
      <c r="R968">
        <v>8.4843210000000002E-2</v>
      </c>
      <c r="S968">
        <v>3.053131</v>
      </c>
      <c r="T968">
        <v>-0.28751759999999998</v>
      </c>
      <c r="U968">
        <v>4.9499509999999997E-2</v>
      </c>
      <c r="V968">
        <v>-8.0230599999999999E-2</v>
      </c>
      <c r="W968">
        <v>0.1163259</v>
      </c>
      <c r="X968">
        <v>0.98996530000000005</v>
      </c>
      <c r="Y968">
        <v>-1.151635E-2</v>
      </c>
      <c r="Z968">
        <v>1.027777E-4</v>
      </c>
      <c r="AA968">
        <v>0.99993369999999904</v>
      </c>
      <c r="AB968">
        <v>41</v>
      </c>
      <c r="AC968">
        <v>0.38630000000000497</v>
      </c>
      <c r="AD968">
        <v>-7.3556999999999803E-2</v>
      </c>
      <c r="AE968">
        <v>1.06000000000108E-2</v>
      </c>
      <c r="AF968">
        <v>-8.4904332461824706E-3</v>
      </c>
      <c r="AG968">
        <v>-7.3556999999999803E-2</v>
      </c>
      <c r="AH968">
        <v>0.37283724123702899</v>
      </c>
      <c r="AI968">
        <v>101.15772647155499</v>
      </c>
      <c r="AJ968">
        <v>91.304542229297795</v>
      </c>
      <c r="AK968">
        <v>0.38011883425969101</v>
      </c>
    </row>
    <row r="969" spans="1:37" x14ac:dyDescent="0.2">
      <c r="A969" t="str">
        <f>"20200111150558234"</f>
        <v>20200111150558234</v>
      </c>
      <c r="B969" t="str">
        <f>"1578726358227372"</f>
        <v>1578726358227372</v>
      </c>
      <c r="C969" t="s">
        <v>37</v>
      </c>
      <c r="D969">
        <v>4.9014280000000001</v>
      </c>
      <c r="E969">
        <v>0.52633059999999998</v>
      </c>
      <c r="F969" t="s">
        <v>38</v>
      </c>
      <c r="G969">
        <v>-284.52190000000002</v>
      </c>
      <c r="H969">
        <v>1.0332790000000001</v>
      </c>
      <c r="I969">
        <v>215.27090000000001</v>
      </c>
      <c r="J969">
        <v>-284.85599999999999</v>
      </c>
      <c r="K969">
        <v>1.103054</v>
      </c>
      <c r="L969">
        <v>215.26150000000001</v>
      </c>
      <c r="M969">
        <v>0.99991659999999905</v>
      </c>
      <c r="N969">
        <v>0</v>
      </c>
      <c r="O969">
        <v>4.6703959999999899E-3</v>
      </c>
      <c r="P969">
        <v>0.99083889999999997</v>
      </c>
      <c r="Q969">
        <v>0.1057085</v>
      </c>
      <c r="R969">
        <v>8.4047960000000005E-2</v>
      </c>
      <c r="S969">
        <v>3.0534059999999998</v>
      </c>
      <c r="T969">
        <v>-0.28323799999999999</v>
      </c>
      <c r="U969">
        <v>4.6401980000000002E-2</v>
      </c>
      <c r="V969">
        <v>-7.9426099999999999E-2</v>
      </c>
      <c r="W969">
        <v>0.1176391</v>
      </c>
      <c r="X969">
        <v>0.98987499999999995</v>
      </c>
      <c r="Y969">
        <v>-1.0499659999999999E-2</v>
      </c>
      <c r="Z969" s="1">
        <v>5.3604540000000001E-5</v>
      </c>
      <c r="AA969">
        <v>0.99994490000000003</v>
      </c>
      <c r="AB969">
        <v>41</v>
      </c>
      <c r="AC969">
        <v>0.33409999999997803</v>
      </c>
      <c r="AD969">
        <v>-6.9774999999999907E-2</v>
      </c>
      <c r="AE969">
        <v>9.3999999999994002E-3</v>
      </c>
      <c r="AF969">
        <v>-7.5120192784500703E-3</v>
      </c>
      <c r="AG969">
        <v>-6.9774999999999907E-2</v>
      </c>
      <c r="AH969">
        <v>0.32018604309054699</v>
      </c>
      <c r="AI969">
        <v>102.290426177333</v>
      </c>
      <c r="AJ969">
        <v>91.343993796138506</v>
      </c>
      <c r="AK969">
        <v>0.32778664287707199</v>
      </c>
    </row>
    <row r="970" spans="1:37" x14ac:dyDescent="0.2">
      <c r="A970" t="str">
        <f>"20200111150558256"</f>
        <v>20200111150558256</v>
      </c>
      <c r="B970" t="str">
        <f>"1578726358246892"</f>
        <v>1578726358246892</v>
      </c>
      <c r="C970" t="s">
        <v>37</v>
      </c>
      <c r="D970">
        <v>4.9329179999999999</v>
      </c>
      <c r="E970">
        <v>0.52639169999999902</v>
      </c>
      <c r="F970" t="s">
        <v>38</v>
      </c>
      <c r="G970">
        <v>-283.80990000000003</v>
      </c>
      <c r="H970">
        <v>1.0076510000000001</v>
      </c>
      <c r="I970">
        <v>215.27610000000001</v>
      </c>
      <c r="J970">
        <v>-284.4452</v>
      </c>
      <c r="K970">
        <v>1.103048</v>
      </c>
      <c r="L970">
        <v>215.26339999999999</v>
      </c>
      <c r="M970">
        <v>0.99991659999999905</v>
      </c>
      <c r="N970">
        <v>0</v>
      </c>
      <c r="O970">
        <v>4.6729440000000001E-3</v>
      </c>
      <c r="P970">
        <v>0.99082719999999902</v>
      </c>
      <c r="Q970">
        <v>0.1062394</v>
      </c>
      <c r="R970">
        <v>8.3516930000000003E-2</v>
      </c>
      <c r="S970">
        <v>3.0538020000000001</v>
      </c>
      <c r="T970">
        <v>-0.27854820000000002</v>
      </c>
      <c r="U970">
        <v>4.304504E-2</v>
      </c>
      <c r="V970">
        <v>-7.8890539999999995E-2</v>
      </c>
      <c r="W970">
        <v>0.11817229999999999</v>
      </c>
      <c r="X970">
        <v>0.98985429999999996</v>
      </c>
      <c r="Y970">
        <v>-9.4015590000000003E-3</v>
      </c>
      <c r="Z970" s="1">
        <v>2.507411E-6</v>
      </c>
      <c r="AA970">
        <v>0.99995579999999995</v>
      </c>
      <c r="AB970">
        <v>41</v>
      </c>
      <c r="AC970">
        <v>0.635299999999972</v>
      </c>
      <c r="AD970">
        <v>-9.5396999999999899E-2</v>
      </c>
      <c r="AE970">
        <v>1.27000000000236E-2</v>
      </c>
      <c r="AF970">
        <v>-9.5164321795755593E-3</v>
      </c>
      <c r="AG970">
        <v>-9.5396999999999899E-2</v>
      </c>
      <c r="AH970">
        <v>0.62134774171423302</v>
      </c>
      <c r="AI970">
        <v>98.727591601029999</v>
      </c>
      <c r="AJ970">
        <v>90.877461581452707</v>
      </c>
      <c r="AK970">
        <v>0.62870037873680795</v>
      </c>
    </row>
    <row r="971" spans="1:37" x14ac:dyDescent="0.2">
      <c r="A971" t="str">
        <f>"20200111150558278"</f>
        <v>20200111150558278</v>
      </c>
      <c r="B971" t="str">
        <f>"1578726358267388"</f>
        <v>1578726358267388</v>
      </c>
      <c r="C971" t="s">
        <v>37</v>
      </c>
      <c r="D971">
        <v>4.9224329999999998</v>
      </c>
      <c r="E971">
        <v>0.52644599999999997</v>
      </c>
      <c r="F971" t="s">
        <v>38</v>
      </c>
      <c r="G971">
        <v>-283.44420000000002</v>
      </c>
      <c r="H971">
        <v>1.012602</v>
      </c>
      <c r="I971">
        <v>215.2766</v>
      </c>
      <c r="J971">
        <v>-284.0471</v>
      </c>
      <c r="K971">
        <v>1.103043</v>
      </c>
      <c r="L971">
        <v>215.26519999999999</v>
      </c>
      <c r="M971">
        <v>0.99991659999999905</v>
      </c>
      <c r="N971">
        <v>0</v>
      </c>
      <c r="O971">
        <v>4.6734979999999999E-3</v>
      </c>
      <c r="P971">
        <v>0.99084919999999999</v>
      </c>
      <c r="Q971">
        <v>0.106392</v>
      </c>
      <c r="R971">
        <v>8.3060239999999994E-2</v>
      </c>
      <c r="S971">
        <v>3.05395499999999</v>
      </c>
      <c r="T971">
        <v>-0.27610319999999999</v>
      </c>
      <c r="U971">
        <v>4.1015629999999997E-2</v>
      </c>
      <c r="V971">
        <v>-7.8430749999999994E-2</v>
      </c>
      <c r="W971">
        <v>0.11832709999999901</v>
      </c>
      <c r="X971">
        <v>0.98987239999999999</v>
      </c>
      <c r="Y971">
        <v>-8.7389800000000004E-3</v>
      </c>
      <c r="Z971" s="1">
        <v>-2.7453819999999999E-5</v>
      </c>
      <c r="AA971">
        <v>0.99996180000000001</v>
      </c>
      <c r="AB971">
        <v>41</v>
      </c>
      <c r="AC971">
        <v>0.60289999999997601</v>
      </c>
      <c r="AD971">
        <v>-9.0440999999999994E-2</v>
      </c>
      <c r="AE971">
        <v>1.14000000000089E-2</v>
      </c>
      <c r="AF971">
        <v>-8.3932144269451003E-3</v>
      </c>
      <c r="AG971">
        <v>-9.0440999999999994E-2</v>
      </c>
      <c r="AH971">
        <v>0.58968183732631896</v>
      </c>
      <c r="AI971">
        <v>98.718782056002496</v>
      </c>
      <c r="AJ971">
        <v>90.815462274053701</v>
      </c>
      <c r="AK971">
        <v>0.59663614523590502</v>
      </c>
    </row>
    <row r="972" spans="1:37" x14ac:dyDescent="0.2">
      <c r="A972" t="str">
        <f>"20200111150558300"</f>
        <v>20200111150558300</v>
      </c>
      <c r="B972" t="str">
        <f>"1578726358296668"</f>
        <v>1578726358296668</v>
      </c>
      <c r="C972" t="s">
        <v>37</v>
      </c>
      <c r="D972">
        <v>4.904865</v>
      </c>
      <c r="E972">
        <v>0.52657180000000003</v>
      </c>
      <c r="F972" t="s">
        <v>38</v>
      </c>
      <c r="G972">
        <v>-283.07929999999999</v>
      </c>
      <c r="H972">
        <v>1.015606</v>
      </c>
      <c r="I972">
        <v>215.27770000000001</v>
      </c>
      <c r="J972">
        <v>-283.65019999999998</v>
      </c>
      <c r="K972">
        <v>1.1030359999999999</v>
      </c>
      <c r="L972">
        <v>215.2671</v>
      </c>
      <c r="M972">
        <v>0.99991659999999905</v>
      </c>
      <c r="N972">
        <v>0</v>
      </c>
      <c r="O972">
        <v>4.6737749999999998E-3</v>
      </c>
      <c r="P972">
        <v>0.99086479999999999</v>
      </c>
      <c r="Q972">
        <v>0.10660799999999999</v>
      </c>
      <c r="R972">
        <v>8.2595310000000005E-2</v>
      </c>
      <c r="S972">
        <v>3.0540769999999999</v>
      </c>
      <c r="T972">
        <v>-0.27599839999999998</v>
      </c>
      <c r="U972">
        <v>3.9718629999999998E-2</v>
      </c>
      <c r="V972">
        <v>-7.7964249999999999E-2</v>
      </c>
      <c r="W972">
        <v>0.118544899999999</v>
      </c>
      <c r="X972">
        <v>0.98988319999999996</v>
      </c>
      <c r="Y972">
        <v>-8.3153199999999993E-3</v>
      </c>
      <c r="Z972" s="1">
        <v>-4.6570959999999901E-5</v>
      </c>
      <c r="AA972">
        <v>0.9999654</v>
      </c>
      <c r="AB972">
        <v>41</v>
      </c>
      <c r="AC972">
        <v>0.57089999999999397</v>
      </c>
      <c r="AD972">
        <v>-8.7430000000000105E-2</v>
      </c>
      <c r="AE972">
        <v>1.06000000000108E-2</v>
      </c>
      <c r="AF972">
        <v>-7.7497396204435701E-3</v>
      </c>
      <c r="AG972">
        <v>-8.7430000000000105E-2</v>
      </c>
      <c r="AH972">
        <v>0.55786415578284998</v>
      </c>
      <c r="AI972">
        <v>98.906252270407705</v>
      </c>
      <c r="AJ972">
        <v>90.795890555346006</v>
      </c>
      <c r="AK972">
        <v>0.56472690716088303</v>
      </c>
    </row>
    <row r="973" spans="1:37" x14ac:dyDescent="0.2">
      <c r="A973" t="str">
        <f>"20200111150558323"</f>
        <v>20200111150558323</v>
      </c>
      <c r="B973" t="str">
        <f>"1578726358317164"</f>
        <v>1578726358317164</v>
      </c>
      <c r="C973" t="s">
        <v>37</v>
      </c>
      <c r="D973">
        <v>4.9455479999999996</v>
      </c>
      <c r="E973">
        <v>0.49109419999999998</v>
      </c>
      <c r="F973" t="s">
        <v>38</v>
      </c>
      <c r="G973">
        <v>-282.71440000000001</v>
      </c>
      <c r="H973">
        <v>1.018767</v>
      </c>
      <c r="I973">
        <v>215.2783</v>
      </c>
      <c r="J973">
        <v>-283.21780000000001</v>
      </c>
      <c r="K973">
        <v>1.1030359999999999</v>
      </c>
      <c r="L973">
        <v>215.26910000000001</v>
      </c>
      <c r="M973">
        <v>0.99991659999999905</v>
      </c>
      <c r="N973">
        <v>0</v>
      </c>
      <c r="O973">
        <v>4.6740590000000004E-3</v>
      </c>
      <c r="P973">
        <v>0.99079759999999995</v>
      </c>
      <c r="Q973">
        <v>0.1073988</v>
      </c>
      <c r="R973">
        <v>8.2376790000000005E-2</v>
      </c>
      <c r="S973">
        <v>3.054138</v>
      </c>
      <c r="T973">
        <v>-0.27515390000000001</v>
      </c>
      <c r="U973">
        <v>3.7399290000000002E-2</v>
      </c>
      <c r="V973">
        <v>-7.7744419999999995E-2</v>
      </c>
      <c r="W973">
        <v>0.1193365</v>
      </c>
      <c r="X973">
        <v>0.9898053</v>
      </c>
      <c r="Y973">
        <v>-7.55867E-3</v>
      </c>
      <c r="Z973" s="1">
        <v>-8.0468050000000006E-5</v>
      </c>
      <c r="AA973">
        <v>0.99997139999999995</v>
      </c>
      <c r="AB973">
        <v>41</v>
      </c>
      <c r="AC973">
        <v>0.50339999999999896</v>
      </c>
      <c r="AD973">
        <v>-8.4269000000000094E-2</v>
      </c>
      <c r="AE973">
        <v>9.1999999999927695E-3</v>
      </c>
      <c r="AF973">
        <v>-6.6602325730708498E-3</v>
      </c>
      <c r="AG973">
        <v>-8.4269000000000094E-2</v>
      </c>
      <c r="AH973">
        <v>0.48971886473890303</v>
      </c>
      <c r="AI973">
        <v>99.762740641972897</v>
      </c>
      <c r="AJ973">
        <v>90.779181117150898</v>
      </c>
      <c r="AK973">
        <v>0.496960953737905</v>
      </c>
    </row>
    <row r="974" spans="1:37" x14ac:dyDescent="0.2">
      <c r="A974" t="str">
        <f>"20200111150558347"</f>
        <v>20200111150558347</v>
      </c>
      <c r="B974" t="str">
        <f>"1578726358336684"</f>
        <v>1578726358336684</v>
      </c>
      <c r="C974" t="s">
        <v>37</v>
      </c>
      <c r="D974">
        <v>4.7088339999999898</v>
      </c>
      <c r="E974">
        <v>0.48127579999999998</v>
      </c>
      <c r="F974" t="s">
        <v>63</v>
      </c>
      <c r="G974">
        <v>-263.68119999999999</v>
      </c>
      <c r="H974" s="1">
        <v>3.0349599999999998E-7</v>
      </c>
      <c r="I974">
        <v>217.33099999999999</v>
      </c>
      <c r="J974">
        <v>-282.7894</v>
      </c>
      <c r="K974">
        <v>1.103035</v>
      </c>
      <c r="L974">
        <v>215.27109999999999</v>
      </c>
      <c r="M974">
        <v>0.99991659999999905</v>
      </c>
      <c r="N974">
        <v>0</v>
      </c>
      <c r="O974">
        <v>4.6751300000000004E-3</v>
      </c>
      <c r="P974">
        <v>0.99072190000000004</v>
      </c>
      <c r="Q974">
        <v>0.10808810000000001</v>
      </c>
      <c r="R974">
        <v>8.2385849999999997E-2</v>
      </c>
      <c r="S974">
        <v>3.0198669999999899</v>
      </c>
      <c r="T974">
        <v>-0.1705015</v>
      </c>
      <c r="U974">
        <v>0.3187103</v>
      </c>
      <c r="V974">
        <v>-7.7751589999999995E-2</v>
      </c>
      <c r="W974">
        <v>0.1200267</v>
      </c>
      <c r="X974">
        <v>0.98972130000000003</v>
      </c>
      <c r="Y974">
        <v>-0.1001538</v>
      </c>
      <c r="Z974">
        <v>2.5542640000000001E-3</v>
      </c>
      <c r="AA974">
        <v>0.99496870000000004</v>
      </c>
      <c r="AB974">
        <v>41</v>
      </c>
      <c r="AC974">
        <v>19.1082</v>
      </c>
      <c r="AD974">
        <v>-1.1030346965039901</v>
      </c>
      <c r="AE974">
        <v>2.0598999999999901</v>
      </c>
      <c r="AF974">
        <v>-1.9640680921895599</v>
      </c>
      <c r="AG974">
        <v>-1.1030346965039901</v>
      </c>
      <c r="AH974">
        <v>19.054855846143699</v>
      </c>
      <c r="AI974">
        <v>93.295580709093201</v>
      </c>
      <c r="AJ974">
        <v>95.884946380549295</v>
      </c>
      <c r="AK974">
        <v>19.187542321250099</v>
      </c>
    </row>
    <row r="975" spans="1:37" x14ac:dyDescent="0.2">
      <c r="A975" t="str">
        <f>"20200111150558369"</f>
        <v>20200111150558369</v>
      </c>
      <c r="B975" t="str">
        <f>"1578726358357180"</f>
        <v>1578726358357180</v>
      </c>
      <c r="C975" t="s">
        <v>37</v>
      </c>
      <c r="D975">
        <v>5.1587870000000002</v>
      </c>
      <c r="E975">
        <v>0.48022429999999899</v>
      </c>
      <c r="F975" t="s">
        <v>63</v>
      </c>
      <c r="G975">
        <v>-257.8159</v>
      </c>
      <c r="H975" s="1">
        <v>2.449808E-6</v>
      </c>
      <c r="I975">
        <v>218.56559999999999</v>
      </c>
      <c r="J975">
        <v>-282.39710000000002</v>
      </c>
      <c r="K975">
        <v>1.1030359999999999</v>
      </c>
      <c r="L975">
        <v>215.27289999999999</v>
      </c>
      <c r="M975">
        <v>0.99991659999999905</v>
      </c>
      <c r="N975">
        <v>0</v>
      </c>
      <c r="O975">
        <v>4.6760980000000001E-3</v>
      </c>
      <c r="P975">
        <v>0.99063919999999905</v>
      </c>
      <c r="Q975">
        <v>0.1086305</v>
      </c>
      <c r="R975">
        <v>8.2667019999999994E-2</v>
      </c>
      <c r="S975">
        <v>3.0095830000000001</v>
      </c>
      <c r="T975">
        <v>-0.1329275</v>
      </c>
      <c r="U975">
        <v>0.39701839999999999</v>
      </c>
      <c r="V975">
        <v>-7.8030989999999995E-2</v>
      </c>
      <c r="W975">
        <v>0.1205692</v>
      </c>
      <c r="X975">
        <v>0.9896334</v>
      </c>
      <c r="Y975">
        <v>-0.12603110000000001</v>
      </c>
      <c r="Z975">
        <v>2.564396E-3</v>
      </c>
      <c r="AA975">
        <v>0.99202299999999999</v>
      </c>
      <c r="AB975">
        <v>41</v>
      </c>
      <c r="AC975">
        <v>24.581199999999999</v>
      </c>
      <c r="AD975">
        <v>-1.1030335501919999</v>
      </c>
      <c r="AE975">
        <v>3.2926999999999902</v>
      </c>
      <c r="AF975">
        <v>-3.1714381503939602</v>
      </c>
      <c r="AG975">
        <v>-1.1030335501919999</v>
      </c>
      <c r="AH975">
        <v>24.547771424728701</v>
      </c>
      <c r="AI975">
        <v>92.551628823301698</v>
      </c>
      <c r="AJ975">
        <v>97.361525229843096</v>
      </c>
      <c r="AK975">
        <v>24.776355358998</v>
      </c>
    </row>
    <row r="976" spans="1:37" x14ac:dyDescent="0.2">
      <c r="A976" t="str">
        <f>"20200111150558394"</f>
        <v>20200111150558394</v>
      </c>
      <c r="B976" t="str">
        <f>"1578726358387436"</f>
        <v>1578726358387436</v>
      </c>
      <c r="C976" t="s">
        <v>37</v>
      </c>
      <c r="D976">
        <v>4.9133209999999998</v>
      </c>
      <c r="E976">
        <v>0.4799505</v>
      </c>
      <c r="F976" t="s">
        <v>63</v>
      </c>
      <c r="G976">
        <v>-251.28049999999999</v>
      </c>
      <c r="H976" s="1">
        <v>-1.067669E-6</v>
      </c>
      <c r="I976">
        <v>219.47329999999999</v>
      </c>
      <c r="J976">
        <v>-281.9572</v>
      </c>
      <c r="K976">
        <v>1.103027</v>
      </c>
      <c r="L976">
        <v>215.27500000000001</v>
      </c>
      <c r="M976">
        <v>0.99991649999999999</v>
      </c>
      <c r="N976">
        <v>0</v>
      </c>
      <c r="O976">
        <v>4.6776070000000003E-3</v>
      </c>
      <c r="P976">
        <v>0.99061250000000001</v>
      </c>
      <c r="Q976">
        <v>0.1087066</v>
      </c>
      <c r="R976">
        <v>8.2885150000000005E-2</v>
      </c>
      <c r="S976">
        <v>3.0061650000000002</v>
      </c>
      <c r="T976">
        <v>-0.10656409999999999</v>
      </c>
      <c r="U976">
        <v>0.40579219999999999</v>
      </c>
      <c r="V976">
        <v>-7.8247789999999998E-2</v>
      </c>
      <c r="W976">
        <v>0.1206464</v>
      </c>
      <c r="X976">
        <v>0.98960689999999996</v>
      </c>
      <c r="Y976">
        <v>-0.12905939999999999</v>
      </c>
      <c r="Z976">
        <v>2.1114369999999999E-3</v>
      </c>
      <c r="AA976">
        <v>0.99163459999999903</v>
      </c>
      <c r="AB976">
        <v>41</v>
      </c>
      <c r="AC976">
        <v>30.6767</v>
      </c>
      <c r="AD976">
        <v>-1.1030280676690001</v>
      </c>
      <c r="AE976">
        <v>4.1982999999999802</v>
      </c>
      <c r="AF976">
        <v>-4.04961073098114</v>
      </c>
      <c r="AG976">
        <v>-1.1030280676690001</v>
      </c>
      <c r="AH976">
        <v>30.657096752430601</v>
      </c>
      <c r="AI976">
        <v>92.042856270687594</v>
      </c>
      <c r="AJ976">
        <v>97.524849487497605</v>
      </c>
      <c r="AK976">
        <v>30.9430702949535</v>
      </c>
    </row>
    <row r="977" spans="1:37" x14ac:dyDescent="0.2">
      <c r="A977" t="str">
        <f>"20200111150558411"</f>
        <v>20200111150558411</v>
      </c>
      <c r="B977" t="str">
        <f>"1578726358406956"</f>
        <v>1578726358406956</v>
      </c>
      <c r="C977" t="s">
        <v>37</v>
      </c>
      <c r="D977">
        <v>4.9606729999999999</v>
      </c>
      <c r="E977">
        <v>0.47956120000000002</v>
      </c>
      <c r="F977" t="s">
        <v>63</v>
      </c>
      <c r="G977">
        <v>-252.97370000000001</v>
      </c>
      <c r="H977" s="1">
        <v>-1.5538059999999901E-7</v>
      </c>
      <c r="I977">
        <v>219.21629999999999</v>
      </c>
      <c r="J977">
        <v>-281.61759999999998</v>
      </c>
      <c r="K977">
        <v>1.103029</v>
      </c>
      <c r="L977">
        <v>215.2766</v>
      </c>
      <c r="M977">
        <v>0.99991640000000004</v>
      </c>
      <c r="N977">
        <v>0</v>
      </c>
      <c r="O977">
        <v>4.67842E-3</v>
      </c>
      <c r="P977">
        <v>0.99070469999999899</v>
      </c>
      <c r="Q977">
        <v>0.1085441</v>
      </c>
      <c r="R977">
        <v>8.1991220000000004E-2</v>
      </c>
      <c r="S977">
        <v>3.0068049999999999</v>
      </c>
      <c r="T977">
        <v>-0.1144305</v>
      </c>
      <c r="U977">
        <v>0.40887449999999997</v>
      </c>
      <c r="V977">
        <v>-7.7352229999999994E-2</v>
      </c>
      <c r="W977">
        <v>0.12048589999999899</v>
      </c>
      <c r="X977">
        <v>0.98969680000000004</v>
      </c>
      <c r="Y977">
        <v>-0.1300163</v>
      </c>
      <c r="Z977">
        <v>2.2846490000000001E-3</v>
      </c>
      <c r="AA977">
        <v>0.99150919999999898</v>
      </c>
      <c r="AB977">
        <v>41</v>
      </c>
      <c r="AC977">
        <v>28.643899999999899</v>
      </c>
      <c r="AD977">
        <v>-1.1030291553806</v>
      </c>
      <c r="AE977">
        <v>3.9396999999999802</v>
      </c>
      <c r="AF977">
        <v>-3.8001084172958501</v>
      </c>
      <c r="AG977">
        <v>-1.1030291553806</v>
      </c>
      <c r="AH977">
        <v>28.620366428271002</v>
      </c>
      <c r="AI977">
        <v>92.187904751057104</v>
      </c>
      <c r="AJ977">
        <v>97.563286952128195</v>
      </c>
      <c r="AK977">
        <v>28.8926092935429</v>
      </c>
    </row>
    <row r="978" spans="1:37" x14ac:dyDescent="0.2">
      <c r="A978" t="str">
        <f>"20200111150558436"</f>
        <v>20200111150558436</v>
      </c>
      <c r="B978" t="str">
        <f>"1578726358427452"</f>
        <v>1578726358427452</v>
      </c>
      <c r="C978" t="s">
        <v>37</v>
      </c>
      <c r="D978">
        <v>4.9320539999999999</v>
      </c>
      <c r="E978">
        <v>0.47976629999999998</v>
      </c>
      <c r="F978" t="s">
        <v>63</v>
      </c>
      <c r="G978">
        <v>-254.03559999999999</v>
      </c>
      <c r="H978" s="1">
        <v>4.1733559999999998E-7</v>
      </c>
      <c r="I978">
        <v>219.0412</v>
      </c>
      <c r="J978">
        <v>-281.19630000000001</v>
      </c>
      <c r="K978">
        <v>1.103032</v>
      </c>
      <c r="L978">
        <v>215.27860000000001</v>
      </c>
      <c r="M978">
        <v>0.99991640000000004</v>
      </c>
      <c r="N978">
        <v>0</v>
      </c>
      <c r="O978">
        <v>4.6792320000000002E-3</v>
      </c>
      <c r="P978">
        <v>0.99076319999999996</v>
      </c>
      <c r="Q978">
        <v>0.1086133</v>
      </c>
      <c r="R978">
        <v>8.1188090000000004E-2</v>
      </c>
      <c r="S978">
        <v>3.007355</v>
      </c>
      <c r="T978">
        <v>-0.1202665</v>
      </c>
      <c r="U978">
        <v>0.41046139999999998</v>
      </c>
      <c r="V978">
        <v>-7.6547390000000007E-2</v>
      </c>
      <c r="W978">
        <v>0.12055639999999899</v>
      </c>
      <c r="X978">
        <v>0.98975079999999904</v>
      </c>
      <c r="Y978">
        <v>-0.13049530000000001</v>
      </c>
      <c r="Z978">
        <v>2.4100549999999999E-3</v>
      </c>
      <c r="AA978">
        <v>0.99144599999999905</v>
      </c>
      <c r="AB978">
        <v>41</v>
      </c>
      <c r="AC978">
        <v>27.160699999999999</v>
      </c>
      <c r="AD978">
        <v>-1.1030315826643999</v>
      </c>
      <c r="AE978">
        <v>3.7625999999999902</v>
      </c>
      <c r="AF978">
        <v>-3.6295848727231799</v>
      </c>
      <c r="AG978">
        <v>-1.1030315826643999</v>
      </c>
      <c r="AH978">
        <v>27.134100932443001</v>
      </c>
      <c r="AI978">
        <v>92.307327411572501</v>
      </c>
      <c r="AJ978">
        <v>97.618925776312494</v>
      </c>
      <c r="AK978">
        <v>27.3979925985949</v>
      </c>
    </row>
    <row r="979" spans="1:37" x14ac:dyDescent="0.2">
      <c r="A979" t="str">
        <f>"20200111150558456"</f>
        <v>20200111150558456</v>
      </c>
      <c r="B979" t="str">
        <f>"1578726358446972"</f>
        <v>1578726358446972</v>
      </c>
      <c r="C979" t="s">
        <v>37</v>
      </c>
      <c r="D979">
        <v>4.982386</v>
      </c>
      <c r="E979">
        <v>0.47888979999999998</v>
      </c>
      <c r="F979" t="s">
        <v>63</v>
      </c>
      <c r="G979">
        <v>-252.46440000000001</v>
      </c>
      <c r="H979" s="1">
        <v>-4.2396219999999998E-7</v>
      </c>
      <c r="I979">
        <v>219.15960000000001</v>
      </c>
      <c r="J979">
        <v>-280.80410000000001</v>
      </c>
      <c r="K979">
        <v>1.103037</v>
      </c>
      <c r="L979">
        <v>215.28039999999999</v>
      </c>
      <c r="M979">
        <v>0.99991640000000004</v>
      </c>
      <c r="N979">
        <v>0</v>
      </c>
      <c r="O979">
        <v>4.6800519999999996E-3</v>
      </c>
      <c r="P979">
        <v>0.99079259999999902</v>
      </c>
      <c r="Q979">
        <v>0.1084446</v>
      </c>
      <c r="R979">
        <v>8.1053879999999995E-2</v>
      </c>
      <c r="S979">
        <v>3.0073240000000001</v>
      </c>
      <c r="T979">
        <v>-0.11545270000000001</v>
      </c>
      <c r="U979">
        <v>0.40621950000000001</v>
      </c>
      <c r="V979">
        <v>-7.6412079999999993E-2</v>
      </c>
      <c r="W979">
        <v>0.12038889999999999</v>
      </c>
      <c r="X979">
        <v>0.98978169999999899</v>
      </c>
      <c r="Y979">
        <v>-0.1291313</v>
      </c>
      <c r="Z979">
        <v>2.2878170000000001E-3</v>
      </c>
      <c r="AA979">
        <v>0.99162490000000003</v>
      </c>
      <c r="AB979">
        <v>41</v>
      </c>
      <c r="AC979">
        <v>28.339700000000001</v>
      </c>
      <c r="AD979">
        <v>-1.1030374239622001</v>
      </c>
      <c r="AE979">
        <v>3.87920000000002</v>
      </c>
      <c r="AF979">
        <v>-3.74095358847672</v>
      </c>
      <c r="AG979">
        <v>-1.1030374239622001</v>
      </c>
      <c r="AH979">
        <v>28.315439057053698</v>
      </c>
      <c r="AI979">
        <v>92.211649059596994</v>
      </c>
      <c r="AJ979">
        <v>97.526164450575806</v>
      </c>
      <c r="AK979">
        <v>28.582783529662098</v>
      </c>
    </row>
    <row r="980" spans="1:37" x14ac:dyDescent="0.2">
      <c r="A980" t="str">
        <f>"20200111150558478"</f>
        <v>20200111150558478</v>
      </c>
      <c r="B980" t="str">
        <f>"1578726358467468"</f>
        <v>1578726358467468</v>
      </c>
      <c r="C980" t="s">
        <v>37</v>
      </c>
      <c r="D980">
        <v>4.8726099999999999</v>
      </c>
      <c r="E980">
        <v>0.47831309999999899</v>
      </c>
      <c r="F980" t="s">
        <v>63</v>
      </c>
      <c r="G980">
        <v>-254.61320000000001</v>
      </c>
      <c r="H980" s="1">
        <v>7.3209289999999897E-7</v>
      </c>
      <c r="I980">
        <v>218.87270000000001</v>
      </c>
      <c r="J980">
        <v>-280.4092</v>
      </c>
      <c r="K980">
        <v>1.103038</v>
      </c>
      <c r="L980">
        <v>215.28229999999999</v>
      </c>
      <c r="M980">
        <v>0.99991629999999998</v>
      </c>
      <c r="N980">
        <v>0</v>
      </c>
      <c r="O980">
        <v>4.680577E-3</v>
      </c>
      <c r="P980">
        <v>0.99084240000000001</v>
      </c>
      <c r="Q980">
        <v>0.108220699999999</v>
      </c>
      <c r="R980">
        <v>8.0744090000000004E-2</v>
      </c>
      <c r="S980">
        <v>3.0079959999999999</v>
      </c>
      <c r="T980">
        <v>-0.12668270000000001</v>
      </c>
      <c r="U980">
        <v>0.41256709999999902</v>
      </c>
      <c r="V980">
        <v>-7.6101240000000001E-2</v>
      </c>
      <c r="W980">
        <v>0.12016639999999899</v>
      </c>
      <c r="X980">
        <v>0.98983259999999995</v>
      </c>
      <c r="Y980">
        <v>-0.13113569999999999</v>
      </c>
      <c r="Z980">
        <v>2.5512260000000002E-3</v>
      </c>
      <c r="AA980">
        <v>0.991361099999999</v>
      </c>
      <c r="AB980">
        <v>41</v>
      </c>
      <c r="AC980">
        <v>25.7959999999999</v>
      </c>
      <c r="AD980">
        <v>-1.1030372679071001</v>
      </c>
      <c r="AE980">
        <v>3.59040000000001</v>
      </c>
      <c r="AF980">
        <v>-3.46339951733058</v>
      </c>
      <c r="AG980">
        <v>-1.1030372679071001</v>
      </c>
      <c r="AH980">
        <v>25.766307475530901</v>
      </c>
      <c r="AI980">
        <v>92.429472192022502</v>
      </c>
      <c r="AJ980">
        <v>97.655573640749907</v>
      </c>
      <c r="AK980">
        <v>26.021422489069199</v>
      </c>
    </row>
    <row r="981" spans="1:37" x14ac:dyDescent="0.2">
      <c r="A981" t="str">
        <f>"20200111150558501"</f>
        <v>20200111150558501</v>
      </c>
      <c r="B981" t="str">
        <f>"1578726358496748"</f>
        <v>1578726358496748</v>
      </c>
      <c r="C981" t="s">
        <v>37</v>
      </c>
      <c r="D981">
        <v>4.831639</v>
      </c>
      <c r="E981">
        <v>0.47854279999999999</v>
      </c>
      <c r="F981" t="s">
        <v>63</v>
      </c>
      <c r="G981">
        <v>-256.0908</v>
      </c>
      <c r="H981" s="1">
        <v>1.5282029999999999E-6</v>
      </c>
      <c r="I981">
        <v>218.64779999999999</v>
      </c>
      <c r="J981">
        <v>-279.99209999999999</v>
      </c>
      <c r="K981">
        <v>1.1030340000000001</v>
      </c>
      <c r="L981">
        <v>215.2842</v>
      </c>
      <c r="M981">
        <v>0.99991640000000004</v>
      </c>
      <c r="N981">
        <v>0</v>
      </c>
      <c r="O981">
        <v>4.6808639999999999E-3</v>
      </c>
      <c r="P981">
        <v>0.99081600000000003</v>
      </c>
      <c r="Q981">
        <v>0.1085913</v>
      </c>
      <c r="R981">
        <v>8.0572080000000004E-2</v>
      </c>
      <c r="S981">
        <v>3.008667</v>
      </c>
      <c r="T981">
        <v>-0.13646749999999999</v>
      </c>
      <c r="U981">
        <v>0.41638180000000002</v>
      </c>
      <c r="V981">
        <v>-7.5929289999999997E-2</v>
      </c>
      <c r="W981">
        <v>0.12053750000000001</v>
      </c>
      <c r="X981">
        <v>0.98980069999999998</v>
      </c>
      <c r="Y981">
        <v>-0.1323203</v>
      </c>
      <c r="Z981">
        <v>2.7739539999999999E-3</v>
      </c>
      <c r="AA981">
        <v>0.991203099999999</v>
      </c>
      <c r="AB981">
        <v>41</v>
      </c>
      <c r="AC981">
        <v>23.9012999999999</v>
      </c>
      <c r="AD981">
        <v>-1.1030324717969999</v>
      </c>
      <c r="AE981">
        <v>3.3635999999999902</v>
      </c>
      <c r="AF981">
        <v>-3.2448995891079999</v>
      </c>
      <c r="AG981">
        <v>-1.1030324717969999</v>
      </c>
      <c r="AH981">
        <v>23.866939763334599</v>
      </c>
      <c r="AI981">
        <v>92.622005820547699</v>
      </c>
      <c r="AJ981">
        <v>97.742343551566606</v>
      </c>
      <c r="AK981">
        <v>24.1117578712933</v>
      </c>
    </row>
    <row r="982" spans="1:37" x14ac:dyDescent="0.2">
      <c r="A982" t="str">
        <f>"20200111150558525"</f>
        <v>20200111150558525</v>
      </c>
      <c r="B982" t="str">
        <f>"1578726358517244"</f>
        <v>1578726358517244</v>
      </c>
      <c r="C982" t="s">
        <v>37</v>
      </c>
      <c r="D982">
        <v>5.4015250000000004</v>
      </c>
      <c r="E982">
        <v>0.47862369999999999</v>
      </c>
      <c r="F982" t="s">
        <v>63</v>
      </c>
      <c r="G982">
        <v>-256.87380000000002</v>
      </c>
      <c r="H982" s="1">
        <v>1.9527789999999998E-6</v>
      </c>
      <c r="I982">
        <v>218.46719999999999</v>
      </c>
      <c r="J982">
        <v>-279.57279999999997</v>
      </c>
      <c r="K982">
        <v>1.10304</v>
      </c>
      <c r="L982">
        <v>215.28620000000001</v>
      </c>
      <c r="M982">
        <v>0.99991640000000004</v>
      </c>
      <c r="N982">
        <v>0</v>
      </c>
      <c r="O982">
        <v>4.6812109999999898E-3</v>
      </c>
      <c r="P982">
        <v>0.990631699999999</v>
      </c>
      <c r="Q982">
        <v>0.10980090000000001</v>
      </c>
      <c r="R982">
        <v>8.1196190000000001E-2</v>
      </c>
      <c r="S982">
        <v>3.0098569999999998</v>
      </c>
      <c r="T982">
        <v>-0.14360799999999899</v>
      </c>
      <c r="U982">
        <v>0.41439819999999999</v>
      </c>
      <c r="V982">
        <v>-7.6553650000000001E-2</v>
      </c>
      <c r="W982">
        <v>0.12174639999999901</v>
      </c>
      <c r="X982">
        <v>0.989604699999999</v>
      </c>
      <c r="Y982">
        <v>-0.1316127</v>
      </c>
      <c r="Z982">
        <v>2.9011219999999999E-3</v>
      </c>
      <c r="AA982">
        <v>0.99129690000000004</v>
      </c>
      <c r="AB982">
        <v>41</v>
      </c>
      <c r="AC982">
        <v>22.698999999999899</v>
      </c>
      <c r="AD982">
        <v>-1.103038047221</v>
      </c>
      <c r="AE982">
        <v>3.1809999999999801</v>
      </c>
      <c r="AF982">
        <v>-3.0675943483544801</v>
      </c>
      <c r="AG982">
        <v>-1.103038047221</v>
      </c>
      <c r="AH982">
        <v>22.661162111953502</v>
      </c>
      <c r="AI982">
        <v>92.761540262417896</v>
      </c>
      <c r="AJ982">
        <v>97.709149632788794</v>
      </c>
      <c r="AK982">
        <v>22.8944337401891</v>
      </c>
    </row>
    <row r="983" spans="1:37" x14ac:dyDescent="0.2">
      <c r="A983" t="str">
        <f>"20200111150558546"</f>
        <v>20200111150558546</v>
      </c>
      <c r="B983" t="str">
        <f>"1578726358536764"</f>
        <v>1578726358536764</v>
      </c>
      <c r="C983" t="s">
        <v>37</v>
      </c>
      <c r="D983">
        <v>8.3343170000000004</v>
      </c>
      <c r="E983">
        <v>0.47856349999999998</v>
      </c>
      <c r="F983" t="s">
        <v>63</v>
      </c>
      <c r="G983">
        <v>-255.89060000000001</v>
      </c>
      <c r="H983" s="1">
        <v>1.4256679999999999E-6</v>
      </c>
      <c r="I983">
        <v>218.55599999999899</v>
      </c>
      <c r="J983">
        <v>-279.17849999999999</v>
      </c>
      <c r="K983">
        <v>1.1030420000000001</v>
      </c>
      <c r="L983">
        <v>215.28809999999999</v>
      </c>
      <c r="M983">
        <v>0.99991640000000004</v>
      </c>
      <c r="N983">
        <v>0</v>
      </c>
      <c r="O983">
        <v>4.6815600000000004E-3</v>
      </c>
      <c r="P983">
        <v>0.99041480000000004</v>
      </c>
      <c r="Q983">
        <v>0.11125359999999999</v>
      </c>
      <c r="R983">
        <v>8.1860680000000005E-2</v>
      </c>
      <c r="S983">
        <v>3.0098569999999998</v>
      </c>
      <c r="T983">
        <v>-0.1401887</v>
      </c>
      <c r="U983">
        <v>0.41557309999999997</v>
      </c>
      <c r="V983">
        <v>-7.7218739999999994E-2</v>
      </c>
      <c r="W983">
        <v>0.1231974</v>
      </c>
      <c r="X983">
        <v>0.98937339999999996</v>
      </c>
      <c r="Y983">
        <v>-0.13199839999999999</v>
      </c>
      <c r="Z983">
        <v>2.8409619999999998E-3</v>
      </c>
      <c r="AA983">
        <v>0.99124590000000001</v>
      </c>
      <c r="AB983">
        <v>41</v>
      </c>
      <c r="AC983">
        <v>23.287899999999901</v>
      </c>
      <c r="AD983">
        <v>-1.103040574332</v>
      </c>
      <c r="AE983">
        <v>3.2678999999999898</v>
      </c>
      <c r="AF983">
        <v>-3.15189789366055</v>
      </c>
      <c r="AG983">
        <v>-1.103040574332</v>
      </c>
      <c r="AH983">
        <v>23.251787173415298</v>
      </c>
      <c r="AI983">
        <v>92.691437354406702</v>
      </c>
      <c r="AJ983">
        <v>97.719680017151603</v>
      </c>
      <c r="AK983">
        <v>23.490354735475599</v>
      </c>
    </row>
    <row r="984" spans="1:37" x14ac:dyDescent="0.2">
      <c r="A984" t="str">
        <f>"20200111150558567"</f>
        <v>20200111150558567</v>
      </c>
      <c r="B984" t="str">
        <f>"1578726358557260"</f>
        <v>1578726358557260</v>
      </c>
      <c r="C984" t="s">
        <v>37</v>
      </c>
      <c r="D984">
        <v>4.8637790000000001</v>
      </c>
      <c r="E984">
        <v>0.47833419999999999</v>
      </c>
      <c r="F984" t="s">
        <v>63</v>
      </c>
      <c r="G984">
        <v>-254.17619999999999</v>
      </c>
      <c r="H984" s="1">
        <v>5.0449269999999999E-7</v>
      </c>
      <c r="I984">
        <v>218.7593</v>
      </c>
      <c r="J984">
        <v>-278.78030000000001</v>
      </c>
      <c r="K984">
        <v>1.1030439999999999</v>
      </c>
      <c r="L984">
        <v>215.28989999999999</v>
      </c>
      <c r="M984">
        <v>0.99991640000000004</v>
      </c>
      <c r="N984">
        <v>0</v>
      </c>
      <c r="O984">
        <v>4.6818490000000001E-3</v>
      </c>
      <c r="P984">
        <v>0.9904328</v>
      </c>
      <c r="Q984">
        <v>0.11107639999999901</v>
      </c>
      <c r="R984">
        <v>8.1885109999999997E-2</v>
      </c>
      <c r="S984">
        <v>3.0093990000000002</v>
      </c>
      <c r="T984">
        <v>-0.13276740000000001</v>
      </c>
      <c r="U984">
        <v>0.41781620000000003</v>
      </c>
      <c r="V984">
        <v>-7.7242619999999998E-2</v>
      </c>
      <c r="W984">
        <v>0.1230213</v>
      </c>
      <c r="X984">
        <v>0.98939339999999998</v>
      </c>
      <c r="Y984">
        <v>-0.1327566</v>
      </c>
      <c r="Z984">
        <v>2.707611E-3</v>
      </c>
      <c r="AA984">
        <v>0.99114500000000005</v>
      </c>
      <c r="AB984">
        <v>41</v>
      </c>
      <c r="AC984">
        <v>24.604099999999999</v>
      </c>
      <c r="AD984">
        <v>-1.1030434955073001</v>
      </c>
      <c r="AE984">
        <v>3.4693999999999998</v>
      </c>
      <c r="AF984">
        <v>-3.3475638889134101</v>
      </c>
      <c r="AG984">
        <v>-1.1030434955073001</v>
      </c>
      <c r="AH984">
        <v>24.571651423690898</v>
      </c>
      <c r="AI984">
        <v>92.546838154071693</v>
      </c>
      <c r="AJ984">
        <v>97.758033042855999</v>
      </c>
      <c r="AK984">
        <v>24.823153357917899</v>
      </c>
    </row>
    <row r="985" spans="1:37" x14ac:dyDescent="0.2">
      <c r="A985" t="str">
        <f>"20200111150558635"</f>
        <v>20200111150558635</v>
      </c>
      <c r="B985" t="str">
        <f>"1578726358626556"</f>
        <v>1578726358626556</v>
      </c>
      <c r="C985" t="s">
        <v>37</v>
      </c>
      <c r="D985">
        <v>4.2688129999999997</v>
      </c>
      <c r="E985">
        <v>0.47834909999999897</v>
      </c>
      <c r="F985" t="s">
        <v>63</v>
      </c>
      <c r="G985">
        <v>-252.352</v>
      </c>
      <c r="H985" s="1">
        <v>-4.7573929999999899E-7</v>
      </c>
      <c r="I985">
        <v>218.976</v>
      </c>
      <c r="J985">
        <v>-277.54579999999999</v>
      </c>
      <c r="K985">
        <v>1.103057</v>
      </c>
      <c r="L985">
        <v>215.29570000000001</v>
      </c>
      <c r="M985">
        <v>0.99991649999999999</v>
      </c>
      <c r="N985">
        <v>0</v>
      </c>
      <c r="O985">
        <v>4.6826639999999996E-3</v>
      </c>
      <c r="P985">
        <v>0.99000569999999899</v>
      </c>
      <c r="Q985">
        <v>0.114589699999999</v>
      </c>
      <c r="R985">
        <v>8.220877E-2</v>
      </c>
      <c r="S985">
        <v>3.008362</v>
      </c>
      <c r="T985">
        <v>-0.12556059999999999</v>
      </c>
      <c r="U985">
        <v>0.41958620000000002</v>
      </c>
      <c r="V985">
        <v>-7.7567120000000003E-2</v>
      </c>
      <c r="W985">
        <v>0.12653130000000001</v>
      </c>
      <c r="X985">
        <v>0.98892530000000001</v>
      </c>
      <c r="Y985">
        <v>-0.1333867</v>
      </c>
      <c r="Z985">
        <v>2.574584E-3</v>
      </c>
      <c r="AA985">
        <v>0.99106070000000002</v>
      </c>
      <c r="AB985">
        <v>41</v>
      </c>
      <c r="AC985">
        <v>25.1937999999999</v>
      </c>
      <c r="AD985">
        <v>-1.1030574757392999</v>
      </c>
      <c r="AE985">
        <v>3.6802999999999799</v>
      </c>
      <c r="AF985">
        <v>-3.55560350808542</v>
      </c>
      <c r="AG985">
        <v>-1.1030574757392999</v>
      </c>
      <c r="AH985">
        <v>25.163529413977699</v>
      </c>
      <c r="AI985">
        <v>92.485329300047994</v>
      </c>
      <c r="AJ985">
        <v>98.042642858549598</v>
      </c>
      <c r="AK985">
        <v>25.437418592884299</v>
      </c>
    </row>
    <row r="986" spans="1:37" x14ac:dyDescent="0.2">
      <c r="A986" t="str">
        <f>"20200111150558657"</f>
        <v>20200111150558657</v>
      </c>
      <c r="B986" t="str">
        <f>"1578726358647052"</f>
        <v>1578726358647052</v>
      </c>
      <c r="C986" t="s">
        <v>37</v>
      </c>
      <c r="D986">
        <v>6.4219010000000001</v>
      </c>
      <c r="E986">
        <v>0.48551739999999999</v>
      </c>
      <c r="F986" t="s">
        <v>63</v>
      </c>
      <c r="G986">
        <v>-250.1052</v>
      </c>
      <c r="H986" s="1">
        <v>-1.677997E-6</v>
      </c>
      <c r="I986">
        <v>219.12799999999999</v>
      </c>
      <c r="J986">
        <v>-277.14710000000002</v>
      </c>
      <c r="K986">
        <v>1.103089</v>
      </c>
      <c r="L986">
        <v>215.29759999999999</v>
      </c>
      <c r="M986">
        <v>0.99991629999999998</v>
      </c>
      <c r="N986">
        <v>0</v>
      </c>
      <c r="O986">
        <v>4.6833739999999997E-3</v>
      </c>
      <c r="P986">
        <v>0.99006340000000004</v>
      </c>
      <c r="Q986">
        <v>0.1150047</v>
      </c>
      <c r="R986">
        <v>8.0923239999999994E-2</v>
      </c>
      <c r="S986">
        <v>3.0093990000000002</v>
      </c>
      <c r="T986">
        <v>-0.120972</v>
      </c>
      <c r="U986">
        <v>0.420288099999999</v>
      </c>
      <c r="V986">
        <v>-7.6280329999999993E-2</v>
      </c>
      <c r="W986">
        <v>0.12694759999999999</v>
      </c>
      <c r="X986">
        <v>0.98897199999999996</v>
      </c>
      <c r="Y986">
        <v>-0.13357379999999999</v>
      </c>
      <c r="Z986">
        <v>2.4833979999999999E-3</v>
      </c>
      <c r="AA986">
        <v>0.99103580000000002</v>
      </c>
      <c r="AB986">
        <v>41</v>
      </c>
      <c r="AC986">
        <v>27.041899999999998</v>
      </c>
      <c r="AD986">
        <v>-1.103090677997</v>
      </c>
      <c r="AE986">
        <v>3.8303999999999898</v>
      </c>
      <c r="AF986">
        <v>-3.6976696166485699</v>
      </c>
      <c r="AG986">
        <v>-1.103090677997</v>
      </c>
      <c r="AH986">
        <v>27.015474878750801</v>
      </c>
      <c r="AI986">
        <v>92.316616179143907</v>
      </c>
      <c r="AJ986">
        <v>97.793775124167794</v>
      </c>
      <c r="AK986">
        <v>27.289658344548499</v>
      </c>
    </row>
    <row r="987" spans="1:37" x14ac:dyDescent="0.2">
      <c r="A987" t="str">
        <f>"20200111150558680"</f>
        <v>20200111150558680</v>
      </c>
      <c r="B987" t="str">
        <f>"1578726358677309"</f>
        <v>1578726358677309</v>
      </c>
      <c r="C987" t="s">
        <v>37</v>
      </c>
      <c r="D987">
        <v>6.3958719999999998</v>
      </c>
      <c r="E987">
        <v>0.48551739999999999</v>
      </c>
      <c r="F987" t="s">
        <v>76</v>
      </c>
      <c r="G987">
        <v>-157.25</v>
      </c>
      <c r="H987">
        <v>5.8249360000000001</v>
      </c>
      <c r="I987">
        <v>229.69399999999999</v>
      </c>
      <c r="J987">
        <v>-276.74970000000002</v>
      </c>
      <c r="K987">
        <v>1.1031</v>
      </c>
      <c r="L987">
        <v>215.29939999999999</v>
      </c>
      <c r="M987">
        <v>0.99991629999999998</v>
      </c>
      <c r="N987">
        <v>0</v>
      </c>
      <c r="O987">
        <v>4.68348799999999E-3</v>
      </c>
      <c r="P987">
        <v>0.99043409999999998</v>
      </c>
      <c r="Q987">
        <v>0.1137693</v>
      </c>
      <c r="R987">
        <v>7.8086550000000005E-2</v>
      </c>
      <c r="S987">
        <v>2.9871219999999998</v>
      </c>
      <c r="T987">
        <v>0.117641699999999</v>
      </c>
      <c r="U987">
        <v>0.35867309999999902</v>
      </c>
      <c r="V987">
        <v>-7.3442820000000006E-2</v>
      </c>
      <c r="W987">
        <v>0.1257173</v>
      </c>
      <c r="X987">
        <v>0.98934390000000005</v>
      </c>
      <c r="Y987">
        <v>-0.11448119999999901</v>
      </c>
      <c r="Z987">
        <v>-2.0616570000000002E-3</v>
      </c>
      <c r="AA987">
        <v>0.99342330000000001</v>
      </c>
      <c r="AB987">
        <v>41</v>
      </c>
      <c r="AC987">
        <v>119.4997</v>
      </c>
      <c r="AD987">
        <v>4.7218359999999997</v>
      </c>
      <c r="AE987">
        <v>14.394600000000001</v>
      </c>
      <c r="AF987">
        <v>-13.813467387436001</v>
      </c>
      <c r="AG987">
        <v>4.7218359999999997</v>
      </c>
      <c r="AH987">
        <v>119.382084855947</v>
      </c>
      <c r="AI987">
        <v>87.749997027033103</v>
      </c>
      <c r="AJ987">
        <v>96.600231535227707</v>
      </c>
      <c r="AK987">
        <v>120.27131744945299</v>
      </c>
    </row>
    <row r="988" spans="1:37" x14ac:dyDescent="0.2">
      <c r="A988" t="str">
        <f>"20200111150603999"</f>
        <v>20200111150603999</v>
      </c>
      <c r="B988" t="str">
        <f>"1578726363987549"</f>
        <v>1578726363987549</v>
      </c>
      <c r="C988" t="s">
        <v>37</v>
      </c>
      <c r="D988">
        <v>4.9005130000000001</v>
      </c>
      <c r="E988">
        <v>0.67630649999999903</v>
      </c>
      <c r="F988" t="s">
        <v>76</v>
      </c>
      <c r="G988">
        <v>-157.25</v>
      </c>
      <c r="H988">
        <v>5.6568129999999996</v>
      </c>
      <c r="I988">
        <v>229.29570000000001</v>
      </c>
      <c r="J988">
        <v>-191.97049999999999</v>
      </c>
      <c r="K988">
        <v>1.0921829999999999</v>
      </c>
      <c r="L988">
        <v>202.39359999999999</v>
      </c>
      <c r="M988">
        <v>0.61273339999999998</v>
      </c>
      <c r="N988">
        <v>0</v>
      </c>
      <c r="O988">
        <v>-0.79009640000000003</v>
      </c>
      <c r="P988">
        <v>0.37970969999999998</v>
      </c>
      <c r="Q988">
        <v>8.6227349999999994E-2</v>
      </c>
      <c r="R988">
        <v>-0.92107859999999997</v>
      </c>
      <c r="S988">
        <v>2.9883419999999998</v>
      </c>
      <c r="T988">
        <v>0.11387659999999999</v>
      </c>
      <c r="U988">
        <v>0.35000609999999999</v>
      </c>
      <c r="V988">
        <v>0.26756970000000002</v>
      </c>
      <c r="W988">
        <v>9.4496960000000005E-2</v>
      </c>
      <c r="X988">
        <v>0.95889349999999995</v>
      </c>
      <c r="Y988">
        <v>-0.8550721</v>
      </c>
      <c r="Z988">
        <v>-4.2963719999999997E-2</v>
      </c>
      <c r="AA988">
        <v>0.51672609999999997</v>
      </c>
      <c r="AB988">
        <v>33</v>
      </c>
      <c r="AC988">
        <v>34.720499999999902</v>
      </c>
      <c r="AD988">
        <v>4.5646299999999904</v>
      </c>
      <c r="AE988">
        <v>26.902100000000001</v>
      </c>
      <c r="AF988">
        <v>-43.453763290958101</v>
      </c>
      <c r="AG988">
        <v>4.5646299999999904</v>
      </c>
      <c r="AH988">
        <v>1.8955854686588201E-2</v>
      </c>
      <c r="AI988">
        <v>84.003319047103503</v>
      </c>
      <c r="AJ988">
        <v>179.97500583794201</v>
      </c>
      <c r="AK988">
        <v>43.692856973513898</v>
      </c>
    </row>
    <row r="989" spans="1:37" x14ac:dyDescent="0.2">
      <c r="A989" t="str">
        <f>"20200111150604020"</f>
        <v>20200111150604020</v>
      </c>
      <c r="B989" t="str">
        <f>"1578726364017805"</f>
        <v>1578726364017805</v>
      </c>
      <c r="C989" t="s">
        <v>37</v>
      </c>
      <c r="D989">
        <v>4.9289189999999996</v>
      </c>
      <c r="E989">
        <v>0.67581000000000002</v>
      </c>
      <c r="F989" t="s">
        <v>39</v>
      </c>
      <c r="G989">
        <v>-192.67420000000001</v>
      </c>
      <c r="H989" s="1">
        <v>-3.6984169999999999E-6</v>
      </c>
      <c r="I989">
        <v>186.55160000000001</v>
      </c>
      <c r="J989">
        <v>-191.78450000000001</v>
      </c>
      <c r="K989">
        <v>1.0919379999999901</v>
      </c>
      <c r="L989">
        <v>202.13339999999999</v>
      </c>
      <c r="M989">
        <v>0.60185379999999999</v>
      </c>
      <c r="N989">
        <v>0</v>
      </c>
      <c r="O989">
        <v>-0.79842049999999998</v>
      </c>
      <c r="P989">
        <v>0.36848900000000001</v>
      </c>
      <c r="Q989">
        <v>8.5941290000000004E-2</v>
      </c>
      <c r="R989">
        <v>-0.92565109999999995</v>
      </c>
      <c r="S989">
        <v>-0.148345899999999</v>
      </c>
      <c r="T989">
        <v>-0.2302495</v>
      </c>
      <c r="U989">
        <v>-3.3397220000000001</v>
      </c>
      <c r="V989">
        <v>0.26605809999999902</v>
      </c>
      <c r="W989">
        <v>9.4080170000000005E-2</v>
      </c>
      <c r="X989">
        <v>0.95935499999999996</v>
      </c>
      <c r="Y989">
        <v>0.63656309999999905</v>
      </c>
      <c r="Z989">
        <v>4.001768E-2</v>
      </c>
      <c r="AA989">
        <v>0.77018580000000003</v>
      </c>
      <c r="AB989">
        <v>33</v>
      </c>
      <c r="AC989">
        <v>-0.88970000000000404</v>
      </c>
      <c r="AD989">
        <v>-1.0919416984169901</v>
      </c>
      <c r="AE989">
        <v>-15.5817999999999</v>
      </c>
      <c r="AF989">
        <v>10.040668466805901</v>
      </c>
      <c r="AG989">
        <v>-1.0919416984169901</v>
      </c>
      <c r="AH989">
        <v>11.8491247144811</v>
      </c>
      <c r="AI989">
        <v>94.021650075978997</v>
      </c>
      <c r="AJ989">
        <v>49.722846193755402</v>
      </c>
      <c r="AK989">
        <v>15.569493133444601</v>
      </c>
    </row>
    <row r="990" spans="1:37" x14ac:dyDescent="0.2">
      <c r="A990" t="str">
        <f>"20200111150604045"</f>
        <v>20200111150604045</v>
      </c>
      <c r="B990" t="str">
        <f>"1578726364037325"</f>
        <v>1578726364037325</v>
      </c>
      <c r="C990" t="s">
        <v>37</v>
      </c>
      <c r="D990">
        <v>4.9967259999999998</v>
      </c>
      <c r="E990">
        <v>0.67414370000000001</v>
      </c>
      <c r="F990" t="s">
        <v>39</v>
      </c>
      <c r="G990">
        <v>-192.64940000000001</v>
      </c>
      <c r="H990" s="1">
        <v>-3.6780979999999999E-6</v>
      </c>
      <c r="I990">
        <v>186.5196</v>
      </c>
      <c r="J990">
        <v>-191.57409999999999</v>
      </c>
      <c r="K990">
        <v>1.0917110000000001</v>
      </c>
      <c r="L990">
        <v>201.82990000000001</v>
      </c>
      <c r="M990">
        <v>0.58915439999999997</v>
      </c>
      <c r="N990">
        <v>0</v>
      </c>
      <c r="O990">
        <v>-0.80784269999999903</v>
      </c>
      <c r="P990">
        <v>0.35512459999999901</v>
      </c>
      <c r="Q990">
        <v>8.5555099999999995E-2</v>
      </c>
      <c r="R990">
        <v>-0.93089569999999999</v>
      </c>
      <c r="S990">
        <v>-0.1847992</v>
      </c>
      <c r="T990">
        <v>-0.233313299999999</v>
      </c>
      <c r="U990">
        <v>-3.336182</v>
      </c>
      <c r="V990">
        <v>0.26467209999999902</v>
      </c>
      <c r="W990">
        <v>9.3551319999999993E-2</v>
      </c>
      <c r="X990">
        <v>0.95978999999999903</v>
      </c>
      <c r="Y990">
        <v>0.6327893</v>
      </c>
      <c r="Z990">
        <v>4.1655379999999999E-2</v>
      </c>
      <c r="AA990">
        <v>0.77320279999999997</v>
      </c>
      <c r="AB990">
        <v>33</v>
      </c>
      <c r="AC990">
        <v>-1.0753000000000199</v>
      </c>
      <c r="AD990">
        <v>-1.091714678098</v>
      </c>
      <c r="AE990">
        <v>-15.3103</v>
      </c>
      <c r="AF990">
        <v>9.8404361184881601</v>
      </c>
      <c r="AG990">
        <v>-1.091714678098</v>
      </c>
      <c r="AH990">
        <v>11.677399566973101</v>
      </c>
      <c r="AI990">
        <v>94.089150866377807</v>
      </c>
      <c r="AJ990">
        <v>49.879472137491199</v>
      </c>
      <c r="AK990">
        <v>15.3097251636718</v>
      </c>
    </row>
    <row r="991" spans="1:37" x14ac:dyDescent="0.2">
      <c r="A991" t="str">
        <f>"20200111150604065"</f>
        <v>20200111150604065</v>
      </c>
      <c r="B991" t="str">
        <f>"1578726364056845"</f>
        <v>1578726364056845</v>
      </c>
      <c r="C991" t="s">
        <v>37</v>
      </c>
      <c r="D991">
        <v>4.9557180000000001</v>
      </c>
      <c r="E991">
        <v>0.67274389999999995</v>
      </c>
      <c r="F991" t="s">
        <v>39</v>
      </c>
      <c r="G991">
        <v>-192.58160000000001</v>
      </c>
      <c r="H991" s="1">
        <v>-3.6980439999999999E-6</v>
      </c>
      <c r="I991">
        <v>186.60810000000001</v>
      </c>
      <c r="J991">
        <v>-191.404</v>
      </c>
      <c r="K991">
        <v>1.091556</v>
      </c>
      <c r="L991">
        <v>201.57669999999999</v>
      </c>
      <c r="M991">
        <v>0.57856059999999998</v>
      </c>
      <c r="N991">
        <v>0</v>
      </c>
      <c r="O991">
        <v>-0.81546719999999995</v>
      </c>
      <c r="P991">
        <v>0.34416639999999998</v>
      </c>
      <c r="Q991">
        <v>8.5535559999999997E-2</v>
      </c>
      <c r="R991">
        <v>-0.93500439999999996</v>
      </c>
      <c r="S991">
        <v>-0.22032170000000001</v>
      </c>
      <c r="T991">
        <v>-0.238736</v>
      </c>
      <c r="U991">
        <v>-3.3286899999999999</v>
      </c>
      <c r="V991">
        <v>0.26339170000000001</v>
      </c>
      <c r="W991">
        <v>9.3433589999999997E-2</v>
      </c>
      <c r="X991">
        <v>0.96015360000000005</v>
      </c>
      <c r="Y991">
        <v>0.63098849999999995</v>
      </c>
      <c r="Z991">
        <v>4.3554410000000002E-2</v>
      </c>
      <c r="AA991">
        <v>0.77456859999999905</v>
      </c>
      <c r="AB991">
        <v>33</v>
      </c>
      <c r="AC991">
        <v>-1.17759999999998</v>
      </c>
      <c r="AD991">
        <v>-1.0915596980439899</v>
      </c>
      <c r="AE991">
        <v>-14.968599999999901</v>
      </c>
      <c r="AF991">
        <v>9.5713024907885398</v>
      </c>
      <c r="AG991">
        <v>-1.0915596980439899</v>
      </c>
      <c r="AH991">
        <v>11.466108780670501</v>
      </c>
      <c r="AI991">
        <v>94.179910121494402</v>
      </c>
      <c r="AJ991">
        <v>50.146652931475998</v>
      </c>
      <c r="AK991">
        <v>14.975746542818399</v>
      </c>
    </row>
    <row r="992" spans="1:37" x14ac:dyDescent="0.2">
      <c r="A992" t="str">
        <f>"20200111150604088"</f>
        <v>20200111150604088</v>
      </c>
      <c r="B992" t="str">
        <f>"1578726364077342"</f>
        <v>1578726364077342</v>
      </c>
      <c r="C992" t="s">
        <v>37</v>
      </c>
      <c r="D992">
        <v>4.9941339999999999</v>
      </c>
      <c r="E992">
        <v>0.67077030000000004</v>
      </c>
      <c r="F992" t="s">
        <v>39</v>
      </c>
      <c r="G992">
        <v>-192.5213</v>
      </c>
      <c r="H992" s="1">
        <v>-3.6982079999999998E-6</v>
      </c>
      <c r="I992">
        <v>186.64599999999999</v>
      </c>
      <c r="J992">
        <v>-191.22579999999999</v>
      </c>
      <c r="K992">
        <v>1.0914269999999999</v>
      </c>
      <c r="L992">
        <v>201.30359999999999</v>
      </c>
      <c r="M992">
        <v>0.56713150000000001</v>
      </c>
      <c r="N992">
        <v>0</v>
      </c>
      <c r="O992">
        <v>-0.82346059999999999</v>
      </c>
      <c r="P992">
        <v>0.33265079999999903</v>
      </c>
      <c r="Q992">
        <v>8.5762469999999993E-2</v>
      </c>
      <c r="R992">
        <v>-0.93914229999999999</v>
      </c>
      <c r="S992">
        <v>-0.24861149999999901</v>
      </c>
      <c r="T992">
        <v>-0.24288649999999901</v>
      </c>
      <c r="U992">
        <v>-3.3222809999999998</v>
      </c>
      <c r="V992">
        <v>0.26176850000000002</v>
      </c>
      <c r="W992">
        <v>9.357886E-2</v>
      </c>
      <c r="X992">
        <v>0.96058330000000003</v>
      </c>
      <c r="Y992">
        <v>0.62681540000000002</v>
      </c>
      <c r="Z992">
        <v>4.536681E-2</v>
      </c>
      <c r="AA992">
        <v>0.77784600000000004</v>
      </c>
      <c r="AB992">
        <v>33</v>
      </c>
      <c r="AC992">
        <v>-1.2955000000000001</v>
      </c>
      <c r="AD992">
        <v>-1.091430698208</v>
      </c>
      <c r="AE992">
        <v>-14.6576</v>
      </c>
      <c r="AF992">
        <v>9.3295403213405503</v>
      </c>
      <c r="AG992">
        <v>-1.091430698208</v>
      </c>
      <c r="AH992">
        <v>11.2747643438833</v>
      </c>
      <c r="AI992">
        <v>94.265261747064002</v>
      </c>
      <c r="AJ992">
        <v>50.393230264835601</v>
      </c>
      <c r="AK992">
        <v>14.674871535608499</v>
      </c>
    </row>
    <row r="993" spans="1:37" x14ac:dyDescent="0.2">
      <c r="A993" t="str">
        <f>"20200111150604108"</f>
        <v>20200111150604108</v>
      </c>
      <c r="B993" t="str">
        <f>"1578726364096862"</f>
        <v>1578726364096862</v>
      </c>
      <c r="C993" t="s">
        <v>37</v>
      </c>
      <c r="D993">
        <v>5.0612180000000002</v>
      </c>
      <c r="E993">
        <v>0.66930440000000002</v>
      </c>
      <c r="F993" t="s">
        <v>39</v>
      </c>
      <c r="G993">
        <v>-192.4682</v>
      </c>
      <c r="H993" s="1">
        <v>-3.55605399999999E-6</v>
      </c>
      <c r="I993">
        <v>186.3475</v>
      </c>
      <c r="J993">
        <v>-191.05840000000001</v>
      </c>
      <c r="K993">
        <v>1.091318</v>
      </c>
      <c r="L993">
        <v>201.0394</v>
      </c>
      <c r="M993">
        <v>0.55607309999999999</v>
      </c>
      <c r="N993">
        <v>0</v>
      </c>
      <c r="O993">
        <v>-0.83097180000000004</v>
      </c>
      <c r="P993">
        <v>0.32116139999999999</v>
      </c>
      <c r="Q993">
        <v>8.6186589999999993E-2</v>
      </c>
      <c r="R993">
        <v>-0.94309469999999995</v>
      </c>
      <c r="S993">
        <v>-0.27531430000000001</v>
      </c>
      <c r="T993">
        <v>-0.24184069999999999</v>
      </c>
      <c r="U993">
        <v>-3.3139949999999998</v>
      </c>
      <c r="V993">
        <v>0.26062370000000001</v>
      </c>
      <c r="W993">
        <v>9.3922569999999997E-2</v>
      </c>
      <c r="X993">
        <v>0.96086099999999997</v>
      </c>
      <c r="Y993">
        <v>0.62276980000000004</v>
      </c>
      <c r="Z993">
        <v>4.6199789999999998E-2</v>
      </c>
      <c r="AA993">
        <v>0.78103990000000001</v>
      </c>
      <c r="AB993">
        <v>33</v>
      </c>
      <c r="AC993">
        <v>-1.40979999999999</v>
      </c>
      <c r="AD993">
        <v>-1.0913215560539999</v>
      </c>
      <c r="AE993">
        <v>-14.6919</v>
      </c>
      <c r="AF993">
        <v>9.29172888864721</v>
      </c>
      <c r="AG993">
        <v>-1.0913215560539999</v>
      </c>
      <c r="AH993">
        <v>11.364007356635</v>
      </c>
      <c r="AI993">
        <v>94.251838736578904</v>
      </c>
      <c r="AJ993">
        <v>50.7290065910057</v>
      </c>
      <c r="AK993">
        <v>14.719642376107</v>
      </c>
    </row>
    <row r="994" spans="1:37" x14ac:dyDescent="0.2">
      <c r="A994" t="str">
        <f>"20200111150604134"</f>
        <v>20200111150604134</v>
      </c>
      <c r="B994" t="str">
        <f>"1578726364127117"</f>
        <v>1578726364127117</v>
      </c>
      <c r="C994" t="s">
        <v>37</v>
      </c>
      <c r="D994">
        <v>5.1362199999999998</v>
      </c>
      <c r="E994">
        <v>0.66736640000000003</v>
      </c>
      <c r="F994" t="s">
        <v>39</v>
      </c>
      <c r="G994">
        <v>-192.44309999999999</v>
      </c>
      <c r="H994" s="1">
        <v>-3.40287399999999E-6</v>
      </c>
      <c r="I994">
        <v>186.00599999999901</v>
      </c>
      <c r="J994">
        <v>-190.85939999999999</v>
      </c>
      <c r="K994">
        <v>1.09121</v>
      </c>
      <c r="L994">
        <v>200.71469999999999</v>
      </c>
      <c r="M994">
        <v>0.54247129999999999</v>
      </c>
      <c r="N994">
        <v>0</v>
      </c>
      <c r="O994">
        <v>-0.83991779999999905</v>
      </c>
      <c r="P994">
        <v>0.30726619999999999</v>
      </c>
      <c r="Q994">
        <v>8.6156579999999996E-2</v>
      </c>
      <c r="R994">
        <v>-0.94771559999999899</v>
      </c>
      <c r="S994">
        <v>-0.30456539999999999</v>
      </c>
      <c r="T994">
        <v>-0.24004239999999999</v>
      </c>
      <c r="U994">
        <v>-3.306686</v>
      </c>
      <c r="V994">
        <v>0.2590789</v>
      </c>
      <c r="W994">
        <v>9.3816689999999994E-2</v>
      </c>
      <c r="X994">
        <v>0.96128899999999995</v>
      </c>
      <c r="Y994">
        <v>0.61702219999999997</v>
      </c>
      <c r="Z994">
        <v>4.7070290000000001E-2</v>
      </c>
      <c r="AA994">
        <v>0.78553669999999998</v>
      </c>
      <c r="AB994">
        <v>33</v>
      </c>
      <c r="AC994">
        <v>-1.5836999999999899</v>
      </c>
      <c r="AD994">
        <v>-1.0912134028739999</v>
      </c>
      <c r="AE994">
        <v>-14.7087</v>
      </c>
      <c r="AF994">
        <v>9.2600673015379193</v>
      </c>
      <c r="AG994">
        <v>-1.0912134028739999</v>
      </c>
      <c r="AH994">
        <v>11.4342869243475</v>
      </c>
      <c r="AI994">
        <v>94.241478708808401</v>
      </c>
      <c r="AJ994">
        <v>50.9976869803385</v>
      </c>
      <c r="AK994">
        <v>14.7540675946644</v>
      </c>
    </row>
    <row r="995" spans="1:37" x14ac:dyDescent="0.2">
      <c r="A995" t="str">
        <f>"20200111150604156"</f>
        <v>20200111150604156</v>
      </c>
      <c r="B995" t="str">
        <f>"1578726364147240"</f>
        <v>1578726364147240</v>
      </c>
      <c r="C995" t="s">
        <v>37</v>
      </c>
      <c r="D995">
        <v>5.1599250000000003</v>
      </c>
      <c r="E995">
        <v>0.66615590000000002</v>
      </c>
      <c r="F995" t="s">
        <v>39</v>
      </c>
      <c r="G995">
        <v>-192.4058</v>
      </c>
      <c r="H995" s="1">
        <v>-3.2354430000000001E-6</v>
      </c>
      <c r="I995">
        <v>185.63890000000001</v>
      </c>
      <c r="J995">
        <v>-190.69900000000001</v>
      </c>
      <c r="K995">
        <v>1.0911379999999999</v>
      </c>
      <c r="L995">
        <v>200.4436</v>
      </c>
      <c r="M995">
        <v>0.53111549999999996</v>
      </c>
      <c r="N995">
        <v>0</v>
      </c>
      <c r="O995">
        <v>-0.84714690000000004</v>
      </c>
      <c r="P995">
        <v>0.29597479999999998</v>
      </c>
      <c r="Q995">
        <v>8.6407919999999999E-2</v>
      </c>
      <c r="R995">
        <v>-0.9512794</v>
      </c>
      <c r="S995">
        <v>-0.3381653</v>
      </c>
      <c r="T995">
        <v>-0.2386308</v>
      </c>
      <c r="U995">
        <v>-3.2968440000000001</v>
      </c>
      <c r="V995">
        <v>0.25754709999999997</v>
      </c>
      <c r="W995">
        <v>9.402605E-2</v>
      </c>
      <c r="X995">
        <v>0.96168009999999904</v>
      </c>
      <c r="Y995">
        <v>0.61457479999999998</v>
      </c>
      <c r="Z995">
        <v>4.7753129999999998E-2</v>
      </c>
      <c r="AA995">
        <v>0.78741190000000005</v>
      </c>
      <c r="AB995">
        <v>33</v>
      </c>
      <c r="AC995">
        <v>-1.7067999999999801</v>
      </c>
      <c r="AD995">
        <v>-1.0911412354429999</v>
      </c>
      <c r="AE995">
        <v>-14.804699999999899</v>
      </c>
      <c r="AF995">
        <v>9.2604757523139298</v>
      </c>
      <c r="AG995">
        <v>-1.0911412354429999</v>
      </c>
      <c r="AH995">
        <v>11.5747021693593</v>
      </c>
      <c r="AI995">
        <v>94.209943069583403</v>
      </c>
      <c r="AJ995">
        <v>51.338036661241603</v>
      </c>
      <c r="AK995">
        <v>14.8634023919239</v>
      </c>
    </row>
    <row r="996" spans="1:37" x14ac:dyDescent="0.2">
      <c r="A996" t="str">
        <f>"20200111150604221"</f>
        <v>20200111150604221</v>
      </c>
      <c r="B996" t="str">
        <f>"1578726364217511"</f>
        <v>1578726364217511</v>
      </c>
      <c r="C996" t="s">
        <v>37</v>
      </c>
      <c r="D996">
        <v>5.1321339999999998</v>
      </c>
      <c r="E996">
        <v>0.57089630000000002</v>
      </c>
      <c r="F996" t="s">
        <v>39</v>
      </c>
      <c r="G996">
        <v>-192.3886</v>
      </c>
      <c r="H996" s="1">
        <v>-3.110204E-6</v>
      </c>
      <c r="I996">
        <v>185.35759999999999</v>
      </c>
      <c r="J996">
        <v>-190.2353</v>
      </c>
      <c r="K996">
        <v>1.090984</v>
      </c>
      <c r="L996">
        <v>199.60919999999999</v>
      </c>
      <c r="M996">
        <v>0.49611099999999902</v>
      </c>
      <c r="N996">
        <v>0</v>
      </c>
      <c r="O996">
        <v>-0.86811579999999999</v>
      </c>
      <c r="P996">
        <v>0.26297690000000001</v>
      </c>
      <c r="Q996">
        <v>8.5134639999999998E-2</v>
      </c>
      <c r="R996">
        <v>-0.96103879999999997</v>
      </c>
      <c r="S996">
        <v>-0.368454</v>
      </c>
      <c r="T996">
        <v>-0.2379532</v>
      </c>
      <c r="U996">
        <v>-3.289917</v>
      </c>
      <c r="V996">
        <v>0.2514554</v>
      </c>
      <c r="W996">
        <v>9.2735670000000006E-2</v>
      </c>
      <c r="X996">
        <v>0.96341589999999999</v>
      </c>
      <c r="Y996">
        <v>0.58943129999999999</v>
      </c>
      <c r="Z996">
        <v>5.065737E-2</v>
      </c>
      <c r="AA996">
        <v>0.80622859999999996</v>
      </c>
      <c r="AB996">
        <v>32</v>
      </c>
      <c r="AC996">
        <v>-2.1533000000000002</v>
      </c>
      <c r="AD996">
        <v>-1.0909871102040001</v>
      </c>
      <c r="AE996">
        <v>-14.2515999999999</v>
      </c>
      <c r="AF996">
        <v>8.8898681324821993</v>
      </c>
      <c r="AG996">
        <v>-1.0909871102040001</v>
      </c>
      <c r="AH996">
        <v>11.2407671186357</v>
      </c>
      <c r="AI996">
        <v>94.353328753849098</v>
      </c>
      <c r="AJ996">
        <v>51.660953154245803</v>
      </c>
      <c r="AK996">
        <v>14.3727121206456</v>
      </c>
    </row>
    <row r="997" spans="1:37" x14ac:dyDescent="0.2">
      <c r="A997" t="str">
        <f>"20200111150604244"</f>
        <v>20200111150604244</v>
      </c>
      <c r="B997" t="str">
        <f>"1578726364237032"</f>
        <v>1578726364237032</v>
      </c>
      <c r="C997" t="s">
        <v>37</v>
      </c>
      <c r="D997">
        <v>5.1063000000000001</v>
      </c>
      <c r="E997">
        <v>0.58518859999999995</v>
      </c>
      <c r="F997" t="s">
        <v>39</v>
      </c>
      <c r="G997">
        <v>-188.9648</v>
      </c>
      <c r="H997" s="1">
        <v>-2.0504010000000001E-6</v>
      </c>
      <c r="I997">
        <v>183.98429999999999</v>
      </c>
      <c r="J997">
        <v>-190.07329999999999</v>
      </c>
      <c r="K997">
        <v>1.0909500000000001</v>
      </c>
      <c r="L997">
        <v>199.29759999999999</v>
      </c>
      <c r="M997">
        <v>0.48302440000000002</v>
      </c>
      <c r="N997">
        <v>0</v>
      </c>
      <c r="O997">
        <v>-0.87546669999999904</v>
      </c>
      <c r="P997">
        <v>0.25066719999999998</v>
      </c>
      <c r="Q997">
        <v>8.4249320000000003E-2</v>
      </c>
      <c r="R997">
        <v>-0.96440079999999995</v>
      </c>
      <c r="S997">
        <v>0.24980160000000001</v>
      </c>
      <c r="T997">
        <v>-0.21451539999999999</v>
      </c>
      <c r="U997">
        <v>-3.0722499999999999</v>
      </c>
      <c r="V997">
        <v>0.249309</v>
      </c>
      <c r="W997">
        <v>9.1859659999999996E-2</v>
      </c>
      <c r="X997">
        <v>0.96405750000000001</v>
      </c>
      <c r="Y997">
        <v>0.41061379999999997</v>
      </c>
      <c r="Z997">
        <v>5.3594839999999998E-2</v>
      </c>
      <c r="AA997">
        <v>0.91023290000000001</v>
      </c>
      <c r="AB997">
        <v>32</v>
      </c>
      <c r="AC997">
        <v>1.10849999999999</v>
      </c>
      <c r="AD997">
        <v>-1.090952050401</v>
      </c>
      <c r="AE997">
        <v>-15.3132999999999</v>
      </c>
      <c r="AF997">
        <v>6.3947446681032796</v>
      </c>
      <c r="AG997">
        <v>-1.090952050401</v>
      </c>
      <c r="AH997">
        <v>13.873381850180399</v>
      </c>
      <c r="AI997">
        <v>94.084841012718599</v>
      </c>
      <c r="AJ997">
        <v>65.2533106415124</v>
      </c>
      <c r="AK997">
        <v>15.3151447824506</v>
      </c>
    </row>
    <row r="998" spans="1:37" x14ac:dyDescent="0.2">
      <c r="A998" t="str">
        <f>"20200111150604267"</f>
        <v>20200111150604267</v>
      </c>
      <c r="B998" t="str">
        <f>"1578726364256894"</f>
        <v>1578726364256894</v>
      </c>
      <c r="C998" t="s">
        <v>37</v>
      </c>
      <c r="D998">
        <v>5.1259730000000001</v>
      </c>
      <c r="E998">
        <v>0.59145199999999998</v>
      </c>
      <c r="F998" t="s">
        <v>39</v>
      </c>
      <c r="G998">
        <v>-189.6053</v>
      </c>
      <c r="H998" s="1">
        <v>-2.2940489999999998E-6</v>
      </c>
      <c r="I998">
        <v>184.81710000000001</v>
      </c>
      <c r="J998">
        <v>-189.923</v>
      </c>
      <c r="K998">
        <v>1.0909309999999901</v>
      </c>
      <c r="L998">
        <v>198.99809999999999</v>
      </c>
      <c r="M998">
        <v>0.47043750000000001</v>
      </c>
      <c r="N998">
        <v>0</v>
      </c>
      <c r="O998">
        <v>-0.88229539999999995</v>
      </c>
      <c r="P998">
        <v>0.23936109999999999</v>
      </c>
      <c r="Q998">
        <v>8.3642830000000001E-2</v>
      </c>
      <c r="R998">
        <v>-0.96732129999999905</v>
      </c>
      <c r="S998">
        <v>0.10034179999999999</v>
      </c>
      <c r="T998">
        <v>-0.23393520000000001</v>
      </c>
      <c r="U998">
        <v>-3.1050869999999899</v>
      </c>
      <c r="V998">
        <v>0.24678049999999899</v>
      </c>
      <c r="W998">
        <v>9.1286549999999994E-2</v>
      </c>
      <c r="X998">
        <v>0.96476219999999901</v>
      </c>
      <c r="Y998">
        <v>0.44173750000000001</v>
      </c>
      <c r="Z998">
        <v>5.8043450000000003E-2</v>
      </c>
      <c r="AA998">
        <v>0.89526469999999903</v>
      </c>
      <c r="AB998">
        <v>32</v>
      </c>
      <c r="AC998">
        <v>0.31770000000000198</v>
      </c>
      <c r="AD998">
        <v>-1.090933294049</v>
      </c>
      <c r="AE998">
        <v>-14.1809999999999</v>
      </c>
      <c r="AF998">
        <v>6.3541610871352603</v>
      </c>
      <c r="AG998">
        <v>-1.090933294049</v>
      </c>
      <c r="AH998">
        <v>12.588368216811601</v>
      </c>
      <c r="AI998">
        <v>94.423867695660206</v>
      </c>
      <c r="AJ998">
        <v>63.216977788724101</v>
      </c>
      <c r="AK998">
        <v>14.143285082871</v>
      </c>
    </row>
    <row r="999" spans="1:37" x14ac:dyDescent="0.2">
      <c r="A999" t="str">
        <f>"20200111150604291"</f>
        <v>20200111150604291</v>
      </c>
      <c r="B999" t="str">
        <f>"1578726364287150"</f>
        <v>1578726364287150</v>
      </c>
      <c r="C999" t="s">
        <v>37</v>
      </c>
      <c r="D999">
        <v>5.1556559999999996</v>
      </c>
      <c r="E999">
        <v>0.59512710000000002</v>
      </c>
      <c r="F999" t="s">
        <v>39</v>
      </c>
      <c r="G999">
        <v>-189.85339999999999</v>
      </c>
      <c r="H999" s="1">
        <v>-2.349273E-6</v>
      </c>
      <c r="I999">
        <v>185.04839999999999</v>
      </c>
      <c r="J999">
        <v>-189.773</v>
      </c>
      <c r="K999">
        <v>1.09091</v>
      </c>
      <c r="L999">
        <v>198.68799999999999</v>
      </c>
      <c r="M999">
        <v>0.457397</v>
      </c>
      <c r="N999">
        <v>0</v>
      </c>
      <c r="O999">
        <v>-0.889127</v>
      </c>
      <c r="P999">
        <v>0.22744780000000001</v>
      </c>
      <c r="Q999">
        <v>8.2768980000000006E-2</v>
      </c>
      <c r="R999">
        <v>-0.97026679999999998</v>
      </c>
      <c r="S999">
        <v>1.556396E-2</v>
      </c>
      <c r="T999">
        <v>-0.2438871</v>
      </c>
      <c r="U999">
        <v>-3.118576</v>
      </c>
      <c r="V999">
        <v>0.244435399999999</v>
      </c>
      <c r="W999">
        <v>9.0445090000000006E-2</v>
      </c>
      <c r="X999">
        <v>0.96543819999999902</v>
      </c>
      <c r="Y999">
        <v>0.45293889999999998</v>
      </c>
      <c r="Z999">
        <v>6.0801699999999903E-2</v>
      </c>
      <c r="AA999">
        <v>0.88946589999999903</v>
      </c>
      <c r="AB999">
        <v>32</v>
      </c>
      <c r="AC999">
        <v>-8.0399999999997293E-2</v>
      </c>
      <c r="AD999">
        <v>-1.090912349273</v>
      </c>
      <c r="AE999">
        <v>-13.6396</v>
      </c>
      <c r="AF999">
        <v>6.2708457450564001</v>
      </c>
      <c r="AG999">
        <v>-1.090912349273</v>
      </c>
      <c r="AH999">
        <v>12.0151617315659</v>
      </c>
      <c r="AI999">
        <v>94.601900862818098</v>
      </c>
      <c r="AJ999">
        <v>62.439446076849102</v>
      </c>
      <c r="AK999">
        <v>13.5969742056008</v>
      </c>
    </row>
    <row r="1000" spans="1:37" x14ac:dyDescent="0.2">
      <c r="A1000" t="str">
        <f>"20200111150604316"</f>
        <v>20200111150604316</v>
      </c>
      <c r="B1000" t="str">
        <f>"1578726364307646"</f>
        <v>1578726364307646</v>
      </c>
      <c r="C1000" t="s">
        <v>37</v>
      </c>
      <c r="D1000">
        <v>5.1233740000000001</v>
      </c>
      <c r="E1000">
        <v>0.59597019999999901</v>
      </c>
      <c r="F1000" t="s">
        <v>39</v>
      </c>
      <c r="G1000">
        <v>-189.99950000000001</v>
      </c>
      <c r="H1000" s="1">
        <v>-2.2879289999999999E-6</v>
      </c>
      <c r="I1000">
        <v>184.92259999999999</v>
      </c>
      <c r="J1000">
        <v>-189.6146</v>
      </c>
      <c r="K1000">
        <v>1.090902</v>
      </c>
      <c r="L1000">
        <v>198.3467</v>
      </c>
      <c r="M1000">
        <v>0.44304840000000001</v>
      </c>
      <c r="N1000">
        <v>0</v>
      </c>
      <c r="O1000">
        <v>-0.89636459999999996</v>
      </c>
      <c r="P1000">
        <v>0.21422559999999999</v>
      </c>
      <c r="Q1000">
        <v>8.220413E-2</v>
      </c>
      <c r="R1000">
        <v>-0.97331909999999899</v>
      </c>
      <c r="S1000">
        <v>-5.1422120000000002E-2</v>
      </c>
      <c r="T1000">
        <v>-0.24766769999999999</v>
      </c>
      <c r="U1000">
        <v>-3.1251220000000002</v>
      </c>
      <c r="V1000">
        <v>0.24204510000000001</v>
      </c>
      <c r="W1000">
        <v>8.9918429999999994E-2</v>
      </c>
      <c r="X1000">
        <v>0.96608950000000005</v>
      </c>
      <c r="Y1000">
        <v>0.45767370000000002</v>
      </c>
      <c r="Z1000">
        <v>6.2346159999999998E-2</v>
      </c>
      <c r="AA1000">
        <v>0.88693159999999904</v>
      </c>
      <c r="AB1000">
        <v>32</v>
      </c>
      <c r="AC1000">
        <v>-0.38490000000001601</v>
      </c>
      <c r="AD1000">
        <v>-1.0909042879289901</v>
      </c>
      <c r="AE1000">
        <v>-13.424099999999999</v>
      </c>
      <c r="AF1000">
        <v>6.2520335328985199</v>
      </c>
      <c r="AG1000">
        <v>-1.0909042879289901</v>
      </c>
      <c r="AH1000">
        <v>11.786004146559801</v>
      </c>
      <c r="AI1000">
        <v>94.674518205000496</v>
      </c>
      <c r="AJ1000">
        <v>62.0557250441029</v>
      </c>
      <c r="AK1000">
        <v>13.3861080678678</v>
      </c>
    </row>
    <row r="1001" spans="1:37" x14ac:dyDescent="0.2">
      <c r="A1001" t="str">
        <f>"20200111150604337"</f>
        <v>20200111150604337</v>
      </c>
      <c r="B1001" t="str">
        <f>"1578726364327166"</f>
        <v>1578726364327166</v>
      </c>
      <c r="C1001" t="s">
        <v>37</v>
      </c>
      <c r="D1001">
        <v>5.2926260000000003</v>
      </c>
      <c r="E1001">
        <v>0.59641330000000004</v>
      </c>
      <c r="F1001" t="s">
        <v>39</v>
      </c>
      <c r="G1001">
        <v>-190.0488</v>
      </c>
      <c r="H1001" s="1">
        <v>-2.229316E-6</v>
      </c>
      <c r="I1001">
        <v>184.75540000000001</v>
      </c>
      <c r="J1001">
        <v>-189.48779999999999</v>
      </c>
      <c r="K1001">
        <v>1.090903</v>
      </c>
      <c r="L1001">
        <v>198.0625</v>
      </c>
      <c r="M1001">
        <v>0.43110159999999997</v>
      </c>
      <c r="N1001">
        <v>0</v>
      </c>
      <c r="O1001">
        <v>-0.90217190000000003</v>
      </c>
      <c r="P1001">
        <v>0.20475270000000001</v>
      </c>
      <c r="Q1001">
        <v>8.1269610000000006E-2</v>
      </c>
      <c r="R1001">
        <v>-0.97543419999999903</v>
      </c>
      <c r="S1001">
        <v>-9.9838259999999998E-2</v>
      </c>
      <c r="T1001">
        <v>-0.25085960000000002</v>
      </c>
      <c r="U1001">
        <v>-3.125381</v>
      </c>
      <c r="V1001">
        <v>0.23859549999999999</v>
      </c>
      <c r="W1001">
        <v>8.9072109999999996E-2</v>
      </c>
      <c r="X1001">
        <v>0.96702549999999898</v>
      </c>
      <c r="Y1001">
        <v>0.45958830000000001</v>
      </c>
      <c r="Z1001">
        <v>6.3771750000000002E-2</v>
      </c>
      <c r="AA1001">
        <v>0.88583959999999995</v>
      </c>
      <c r="AB1001">
        <v>32</v>
      </c>
      <c r="AC1001">
        <v>-0.56100000000000705</v>
      </c>
      <c r="AD1001">
        <v>-1.090905229316</v>
      </c>
      <c r="AE1001">
        <v>-13.307099999999901</v>
      </c>
      <c r="AF1001">
        <v>6.2019644040773496</v>
      </c>
      <c r="AG1001">
        <v>-1.090905229316</v>
      </c>
      <c r="AH1001">
        <v>11.6864391268087</v>
      </c>
      <c r="AI1001">
        <v>94.713712441073099</v>
      </c>
      <c r="AJ1001">
        <v>62.045218066800601</v>
      </c>
      <c r="AK1001">
        <v>13.275062943481601</v>
      </c>
    </row>
    <row r="1002" spans="1:37" x14ac:dyDescent="0.2">
      <c r="A1002" t="str">
        <f>"20200111150604358"</f>
        <v>20200111150604358</v>
      </c>
      <c r="B1002" t="str">
        <f>"1578726364346945"</f>
        <v>1578726364346945</v>
      </c>
      <c r="C1002" t="s">
        <v>37</v>
      </c>
      <c r="D1002">
        <v>5.0376289999999999</v>
      </c>
      <c r="E1002">
        <v>0.59615240000000003</v>
      </c>
      <c r="F1002" t="s">
        <v>39</v>
      </c>
      <c r="G1002">
        <v>-190.06489999999999</v>
      </c>
      <c r="H1002" s="1">
        <v>-2.1366509999999999E-6</v>
      </c>
      <c r="I1002">
        <v>184.52940000000001</v>
      </c>
      <c r="J1002">
        <v>-189.36539999999999</v>
      </c>
      <c r="K1002">
        <v>1.090902</v>
      </c>
      <c r="L1002">
        <v>197.77809999999999</v>
      </c>
      <c r="M1002">
        <v>0.419151099999999</v>
      </c>
      <c r="N1002">
        <v>0</v>
      </c>
      <c r="O1002">
        <v>-0.90778639999999999</v>
      </c>
      <c r="P1002">
        <v>0.1976511</v>
      </c>
      <c r="Q1002">
        <v>8.1118460000000003E-2</v>
      </c>
      <c r="R1002">
        <v>-0.97691030000000001</v>
      </c>
      <c r="S1002">
        <v>-0.13323969999999999</v>
      </c>
      <c r="T1002">
        <v>-0.2518688</v>
      </c>
      <c r="U1002">
        <v>-3.12451199999999</v>
      </c>
      <c r="V1002">
        <v>0.23284339999999901</v>
      </c>
      <c r="W1002">
        <v>8.9090169999999996E-2</v>
      </c>
      <c r="X1002">
        <v>0.96842499999999998</v>
      </c>
      <c r="Y1002">
        <v>0.45732420000000001</v>
      </c>
      <c r="Z1002">
        <v>6.4747929999999995E-2</v>
      </c>
      <c r="AA1002">
        <v>0.88693979999999994</v>
      </c>
      <c r="AB1002">
        <v>32</v>
      </c>
      <c r="AC1002">
        <v>-0.69950000000000001</v>
      </c>
      <c r="AD1002">
        <v>-1.0909041366509999</v>
      </c>
      <c r="AE1002">
        <v>-13.2486999999999</v>
      </c>
      <c r="AF1002">
        <v>6.1473717175058704</v>
      </c>
      <c r="AG1002">
        <v>-1.0909041366509999</v>
      </c>
      <c r="AH1002">
        <v>11.656369591693601</v>
      </c>
      <c r="AI1002">
        <v>94.732262116240094</v>
      </c>
      <c r="AJ1002">
        <v>62.193595593084702</v>
      </c>
      <c r="AK1002">
        <v>13.223131358597</v>
      </c>
    </row>
    <row r="1003" spans="1:37" x14ac:dyDescent="0.2">
      <c r="A1003" t="str">
        <f>"20200111150604379"</f>
        <v>20200111150604379</v>
      </c>
      <c r="B1003" t="str">
        <f>"1578726364367441"</f>
        <v>1578726364367441</v>
      </c>
      <c r="C1003" t="s">
        <v>37</v>
      </c>
      <c r="D1003">
        <v>5.0948799999999999</v>
      </c>
      <c r="E1003">
        <v>0.595808</v>
      </c>
      <c r="F1003" t="s">
        <v>39</v>
      </c>
      <c r="G1003">
        <v>-190.03319999999999</v>
      </c>
      <c r="H1003" s="1">
        <v>-2.0643950000000002E-6</v>
      </c>
      <c r="I1003">
        <v>184.38069999999999</v>
      </c>
      <c r="J1003">
        <v>-189.25</v>
      </c>
      <c r="K1003">
        <v>1.09092099999999</v>
      </c>
      <c r="L1003">
        <v>197.50030000000001</v>
      </c>
      <c r="M1003">
        <v>0.40748509999999999</v>
      </c>
      <c r="N1003">
        <v>0</v>
      </c>
      <c r="O1003">
        <v>-0.91308339999999999</v>
      </c>
      <c r="P1003">
        <v>0.19042210000000001</v>
      </c>
      <c r="Q1003">
        <v>7.887508E-2</v>
      </c>
      <c r="R1003">
        <v>-0.97852870000000003</v>
      </c>
      <c r="S1003">
        <v>-0.1557007</v>
      </c>
      <c r="T1003">
        <v>-0.25433649999999902</v>
      </c>
      <c r="U1003">
        <v>-3.12350499999999</v>
      </c>
      <c r="V1003">
        <v>0.22758629999999999</v>
      </c>
      <c r="W1003">
        <v>8.7004970000000001E-2</v>
      </c>
      <c r="X1003">
        <v>0.96986319999999904</v>
      </c>
      <c r="Y1003">
        <v>0.45229750000000002</v>
      </c>
      <c r="Z1003">
        <v>6.6133860000000003E-2</v>
      </c>
      <c r="AA1003">
        <v>0.88941170000000003</v>
      </c>
      <c r="AB1003">
        <v>32</v>
      </c>
      <c r="AC1003">
        <v>-0.78319999999999301</v>
      </c>
      <c r="AD1003">
        <v>-1.0909230643950001</v>
      </c>
      <c r="AE1003">
        <v>-13.1196</v>
      </c>
      <c r="AF1003">
        <v>6.0204006054524397</v>
      </c>
      <c r="AG1003">
        <v>-1.0909230643950001</v>
      </c>
      <c r="AH1003">
        <v>11.581719704480999</v>
      </c>
      <c r="AI1003">
        <v>94.777464422502803</v>
      </c>
      <c r="AJ1003">
        <v>62.5337218614062</v>
      </c>
      <c r="AK1003">
        <v>13.098533043655101</v>
      </c>
    </row>
    <row r="1004" spans="1:37" x14ac:dyDescent="0.2">
      <c r="A1004" t="str">
        <f>"20200111150604401"</f>
        <v>20200111150604401</v>
      </c>
      <c r="B1004" t="str">
        <f>"1578726364397699"</f>
        <v>1578726364397699</v>
      </c>
      <c r="C1004" t="s">
        <v>37</v>
      </c>
      <c r="D1004">
        <v>6.3556780000000002</v>
      </c>
      <c r="E1004">
        <v>0.58206459999999904</v>
      </c>
      <c r="F1004" t="s">
        <v>39</v>
      </c>
      <c r="G1004">
        <v>-190.01339999999999</v>
      </c>
      <c r="H1004" s="1">
        <v>-1.971742E-6</v>
      </c>
      <c r="I1004">
        <v>184.17699999999999</v>
      </c>
      <c r="J1004">
        <v>-189.1311</v>
      </c>
      <c r="K1004">
        <v>1.0909260000000001</v>
      </c>
      <c r="L1004">
        <v>197.2028</v>
      </c>
      <c r="M1004">
        <v>0.39500999999999997</v>
      </c>
      <c r="N1004">
        <v>0</v>
      </c>
      <c r="O1004">
        <v>-0.91854969999999903</v>
      </c>
      <c r="P1004">
        <v>0.18127219999999999</v>
      </c>
      <c r="Q1004">
        <v>7.5068720000000005E-2</v>
      </c>
      <c r="R1004">
        <v>-0.98056379999999999</v>
      </c>
      <c r="S1004">
        <v>-0.17884829999999999</v>
      </c>
      <c r="T1004">
        <v>-0.25556849999999998</v>
      </c>
      <c r="U1004">
        <v>-3.1212309999999999</v>
      </c>
      <c r="V1004">
        <v>0.2234255</v>
      </c>
      <c r="W1004">
        <v>8.3324339999999997E-2</v>
      </c>
      <c r="X1004">
        <v>0.97115300000000004</v>
      </c>
      <c r="Y1004">
        <v>0.44675019999999999</v>
      </c>
      <c r="Z1004">
        <v>6.7267160000000006E-2</v>
      </c>
      <c r="AA1004">
        <v>0.89212630000000004</v>
      </c>
      <c r="AB1004">
        <v>32</v>
      </c>
      <c r="AC1004">
        <v>-0.88229999999998598</v>
      </c>
      <c r="AD1004">
        <v>-1.090927971742</v>
      </c>
      <c r="AE1004">
        <v>-13.025799999999901</v>
      </c>
      <c r="AF1004">
        <v>5.9151521916975804</v>
      </c>
      <c r="AG1004">
        <v>-1.090927971742</v>
      </c>
      <c r="AH1004">
        <v>11.5371289734614</v>
      </c>
      <c r="AI1004">
        <v>94.809725685514195</v>
      </c>
      <c r="AJ1004">
        <v>62.855525477294499</v>
      </c>
      <c r="AK1004">
        <v>13.0109374850837</v>
      </c>
    </row>
    <row r="1005" spans="1:37" x14ac:dyDescent="0.2">
      <c r="A1005" t="str">
        <f>"20200111150604422"</f>
        <v>20200111150604422</v>
      </c>
      <c r="B1005" t="str">
        <f>"1578726364417217"</f>
        <v>1578726364417217</v>
      </c>
      <c r="C1005" t="s">
        <v>37</v>
      </c>
      <c r="D1005">
        <v>6.5429629999999896</v>
      </c>
      <c r="E1005">
        <v>0.56963430000000004</v>
      </c>
      <c r="F1005" t="s">
        <v>77</v>
      </c>
      <c r="G1005">
        <v>-198.2304</v>
      </c>
      <c r="H1005">
        <v>1.9371160000000001</v>
      </c>
      <c r="I1005">
        <v>-81.815809999999999</v>
      </c>
      <c r="J1005">
        <v>-189.01929999999999</v>
      </c>
      <c r="K1005">
        <v>1.090924</v>
      </c>
      <c r="L1005">
        <v>196.91200000000001</v>
      </c>
      <c r="M1005">
        <v>0.38283149999999999</v>
      </c>
      <c r="N1005">
        <v>0</v>
      </c>
      <c r="O1005">
        <v>-0.92369239999999997</v>
      </c>
      <c r="P1005">
        <v>0.1720516</v>
      </c>
      <c r="Q1005">
        <v>7.0146539999999993E-2</v>
      </c>
      <c r="R1005">
        <v>-0.98258719999999999</v>
      </c>
      <c r="S1005">
        <v>-0.1003571</v>
      </c>
      <c r="T1005">
        <v>9.3327759999999992E-3</v>
      </c>
      <c r="U1005">
        <v>-3.0773320000000002</v>
      </c>
      <c r="V1005">
        <v>0.21968879999999999</v>
      </c>
      <c r="W1005">
        <v>7.8517900000000002E-2</v>
      </c>
      <c r="X1005">
        <v>0.97240509999999902</v>
      </c>
      <c r="Y1005">
        <v>0.41278300000000001</v>
      </c>
      <c r="Z1005">
        <v>-2.5494479999999902E-3</v>
      </c>
      <c r="AA1005">
        <v>0.91082580000000002</v>
      </c>
      <c r="AB1005">
        <v>32</v>
      </c>
      <c r="AC1005">
        <v>-9.2111000000000107</v>
      </c>
      <c r="AD1005">
        <v>0.84619200000000006</v>
      </c>
      <c r="AE1005">
        <v>-278.72780999999998</v>
      </c>
      <c r="AF1005">
        <v>115.22633759356</v>
      </c>
      <c r="AG1005">
        <v>0.84619200000000006</v>
      </c>
      <c r="AH1005">
        <v>253.95963359037199</v>
      </c>
      <c r="AI1005">
        <v>89.826149119925304</v>
      </c>
      <c r="AJ1005">
        <v>65.595296535542801</v>
      </c>
      <c r="AK1005">
        <v>278.87868403569598</v>
      </c>
    </row>
    <row r="1006" spans="1:37" x14ac:dyDescent="0.2">
      <c r="A1006" t="str">
        <f>"20200111150604447"</f>
        <v>20200111150604447</v>
      </c>
      <c r="B1006" t="str">
        <f>"1578726364437714"</f>
        <v>1578726364437714</v>
      </c>
      <c r="C1006" t="s">
        <v>37</v>
      </c>
      <c r="D1006">
        <v>5.2397519999999904</v>
      </c>
      <c r="E1006">
        <v>0.55589259999999996</v>
      </c>
      <c r="F1006" t="s">
        <v>78</v>
      </c>
      <c r="G1006">
        <v>-189.41419999999999</v>
      </c>
      <c r="H1006" s="1">
        <v>-1.433193E-5</v>
      </c>
      <c r="I1006">
        <v>158.11150000000001</v>
      </c>
      <c r="J1006">
        <v>-188.89160000000001</v>
      </c>
      <c r="K1006">
        <v>1.0909500000000001</v>
      </c>
      <c r="L1006">
        <v>196.56540000000001</v>
      </c>
      <c r="M1006">
        <v>0.36835329999999999</v>
      </c>
      <c r="N1006">
        <v>0</v>
      </c>
      <c r="O1006">
        <v>-0.92956159999999999</v>
      </c>
      <c r="P1006">
        <v>0.16139809999999999</v>
      </c>
      <c r="Q1006">
        <v>6.8702269999999996E-2</v>
      </c>
      <c r="R1006">
        <v>-0.98449560000000003</v>
      </c>
      <c r="S1006">
        <v>-3.1188960000000002E-2</v>
      </c>
      <c r="T1006">
        <v>-8.6171029999999996E-2</v>
      </c>
      <c r="U1006">
        <v>-3.0647739999999999</v>
      </c>
      <c r="V1006">
        <v>0.21500529999999901</v>
      </c>
      <c r="W1006">
        <v>7.7221049999999999E-2</v>
      </c>
      <c r="X1006">
        <v>0.97355509999999901</v>
      </c>
      <c r="Y1006">
        <v>0.37782840000000001</v>
      </c>
      <c r="Z1006">
        <v>2.4096639999999999E-2</v>
      </c>
      <c r="AA1006">
        <v>0.925562</v>
      </c>
      <c r="AB1006">
        <v>32</v>
      </c>
      <c r="AC1006">
        <v>-0.52259999999998197</v>
      </c>
      <c r="AD1006">
        <v>-1.09096433193</v>
      </c>
      <c r="AE1006">
        <v>-38.453899999999997</v>
      </c>
      <c r="AF1006">
        <v>14.64032106877</v>
      </c>
      <c r="AG1006">
        <v>-1.09096433193</v>
      </c>
      <c r="AH1006">
        <v>35.528284492617701</v>
      </c>
      <c r="AI1006">
        <v>91.626242850775299</v>
      </c>
      <c r="AJ1006">
        <v>67.604660966555102</v>
      </c>
      <c r="AK1006">
        <v>38.442010914604801</v>
      </c>
    </row>
    <row r="1007" spans="1:37" x14ac:dyDescent="0.2">
      <c r="A1007" t="str">
        <f>"20200111150604467"</f>
        <v>20200111150604467</v>
      </c>
      <c r="B1007" t="str">
        <f>"1578726364457249"</f>
        <v>1578726364457249</v>
      </c>
      <c r="C1007" t="s">
        <v>37</v>
      </c>
      <c r="D1007">
        <v>4.5207870000000003</v>
      </c>
      <c r="E1007">
        <v>0.54916640000000005</v>
      </c>
      <c r="F1007" t="s">
        <v>39</v>
      </c>
      <c r="G1007">
        <v>-188.59620000000001</v>
      </c>
      <c r="H1007" s="1">
        <v>-3.1700819999999999E-6</v>
      </c>
      <c r="I1007">
        <v>176.4418</v>
      </c>
      <c r="J1007">
        <v>-188.79310000000001</v>
      </c>
      <c r="K1007">
        <v>1.0909990000000001</v>
      </c>
      <c r="L1007">
        <v>196.28559999999999</v>
      </c>
      <c r="M1007">
        <v>0.35671540000000002</v>
      </c>
      <c r="N1007">
        <v>0</v>
      </c>
      <c r="O1007">
        <v>-0.93408989999999903</v>
      </c>
      <c r="P1007">
        <v>0.15334039999999999</v>
      </c>
      <c r="Q1007">
        <v>7.1073869999999997E-2</v>
      </c>
      <c r="R1007">
        <v>-0.98561449999999995</v>
      </c>
      <c r="S1007">
        <v>4.4799800000000001E-2</v>
      </c>
      <c r="T1007">
        <v>-0.16542889999999999</v>
      </c>
      <c r="U1007">
        <v>-3.0514679999999998</v>
      </c>
      <c r="V1007">
        <v>0.21080209999999999</v>
      </c>
      <c r="W1007">
        <v>7.9727660000000006E-2</v>
      </c>
      <c r="X1007">
        <v>0.97427199999999903</v>
      </c>
      <c r="Y1007">
        <v>0.34300520000000001</v>
      </c>
      <c r="Z1007">
        <v>4.7153059999999997E-2</v>
      </c>
      <c r="AA1007">
        <v>0.93814929999999996</v>
      </c>
      <c r="AB1007">
        <v>32</v>
      </c>
      <c r="AC1007">
        <v>0.19689999999999899</v>
      </c>
      <c r="AD1007">
        <v>-1.0910021700820001</v>
      </c>
      <c r="AE1007">
        <v>-19.843799999999899</v>
      </c>
      <c r="AF1007">
        <v>6.8746820380600404</v>
      </c>
      <c r="AG1007">
        <v>-1.0910021700820001</v>
      </c>
      <c r="AH1007">
        <v>18.552199137949401</v>
      </c>
      <c r="AI1007">
        <v>93.156262139146605</v>
      </c>
      <c r="AJ1007">
        <v>69.667366079808005</v>
      </c>
      <c r="AK1007">
        <v>19.8150354961499</v>
      </c>
    </row>
    <row r="1008" spans="1:37" x14ac:dyDescent="0.2">
      <c r="A1008" t="str">
        <f>"20200111150604489"</f>
        <v>20200111150604489</v>
      </c>
      <c r="B1008" t="str">
        <f>"1578726364487505"</f>
        <v>1578726364487505</v>
      </c>
      <c r="C1008" t="s">
        <v>37</v>
      </c>
      <c r="D1008">
        <v>6.3029679999999999</v>
      </c>
      <c r="E1008">
        <v>0.54589829999999995</v>
      </c>
      <c r="F1008" t="s">
        <v>39</v>
      </c>
      <c r="G1008">
        <v>-188.33500000000001</v>
      </c>
      <c r="H1008" s="1">
        <v>-3.5644599999999899E-6</v>
      </c>
      <c r="I1008">
        <v>177.25319999999999</v>
      </c>
      <c r="J1008">
        <v>-188.6919</v>
      </c>
      <c r="K1008">
        <v>1.0910739999999901</v>
      </c>
      <c r="L1008">
        <v>195.9863</v>
      </c>
      <c r="M1008">
        <v>0.3443213</v>
      </c>
      <c r="N1008">
        <v>0</v>
      </c>
      <c r="O1008">
        <v>-0.93872990000000001</v>
      </c>
      <c r="P1008">
        <v>0.1433468</v>
      </c>
      <c r="Q1008">
        <v>7.3546739999999999E-2</v>
      </c>
      <c r="R1008">
        <v>-0.98693619999999904</v>
      </c>
      <c r="S1008">
        <v>7.3287959999999999E-2</v>
      </c>
      <c r="T1008">
        <v>-0.17454700000000001</v>
      </c>
      <c r="U1008">
        <v>-3.0449519999999999</v>
      </c>
      <c r="V1008">
        <v>0.20776910000000001</v>
      </c>
      <c r="W1008">
        <v>8.2301239999999998E-2</v>
      </c>
      <c r="X1008">
        <v>0.97470949999999901</v>
      </c>
      <c r="Y1008">
        <v>0.32168819999999998</v>
      </c>
      <c r="Z1008">
        <v>5.0461100000000002E-2</v>
      </c>
      <c r="AA1008">
        <v>0.94550009999999995</v>
      </c>
      <c r="AB1008">
        <v>32</v>
      </c>
      <c r="AC1008">
        <v>0.356899999999996</v>
      </c>
      <c r="AD1008">
        <v>-1.0910775644599999</v>
      </c>
      <c r="AE1008">
        <v>-18.7331</v>
      </c>
      <c r="AF1008">
        <v>6.0952038559053499</v>
      </c>
      <c r="AG1008">
        <v>-1.0910775644599999</v>
      </c>
      <c r="AH1008">
        <v>17.6503840972034</v>
      </c>
      <c r="AI1008">
        <v>93.344001899654202</v>
      </c>
      <c r="AJ1008">
        <v>70.948680388985295</v>
      </c>
      <c r="AK1008">
        <v>18.7050265724356</v>
      </c>
    </row>
    <row r="1009" spans="1:37" x14ac:dyDescent="0.2">
      <c r="A1009" t="str">
        <f>"20200111150604511"</f>
        <v>20200111150604511</v>
      </c>
      <c r="B1009" t="str">
        <f>"1578726364507024"</f>
        <v>1578726364507024</v>
      </c>
      <c r="C1009" t="s">
        <v>37</v>
      </c>
      <c r="D1009">
        <v>5.197533</v>
      </c>
      <c r="E1009">
        <v>0.54422209999999904</v>
      </c>
      <c r="F1009" t="s">
        <v>39</v>
      </c>
      <c r="G1009">
        <v>-188.28890000000001</v>
      </c>
      <c r="H1009" s="1">
        <v>-3.9537900000000003E-6</v>
      </c>
      <c r="I1009">
        <v>178.14169999999999</v>
      </c>
      <c r="J1009">
        <v>-188.59219999999999</v>
      </c>
      <c r="K1009">
        <v>1.091159</v>
      </c>
      <c r="L1009">
        <v>195.67850000000001</v>
      </c>
      <c r="M1009">
        <v>0.33165699999999998</v>
      </c>
      <c r="N1009">
        <v>0</v>
      </c>
      <c r="O1009">
        <v>-0.94327909999999904</v>
      </c>
      <c r="P1009">
        <v>0.13348599999999999</v>
      </c>
      <c r="Q1009">
        <v>7.3550610000000002E-2</v>
      </c>
      <c r="R1009">
        <v>-0.98831800000000003</v>
      </c>
      <c r="S1009">
        <v>6.8725590000000003E-2</v>
      </c>
      <c r="T1009">
        <v>-0.18609539999999999</v>
      </c>
      <c r="U1009">
        <v>-3.0435939999999899</v>
      </c>
      <c r="V1009">
        <v>0.20435989999999901</v>
      </c>
      <c r="W1009">
        <v>8.242621E-2</v>
      </c>
      <c r="X1009">
        <v>0.97541929999999999</v>
      </c>
      <c r="Y1009">
        <v>0.31033329999999998</v>
      </c>
      <c r="Z1009">
        <v>5.4343179999999998E-2</v>
      </c>
      <c r="AA1009">
        <v>0.94907330000000001</v>
      </c>
      <c r="AB1009">
        <v>32</v>
      </c>
      <c r="AC1009">
        <v>0.30329999999997798</v>
      </c>
      <c r="AD1009">
        <v>-1.0911629537899901</v>
      </c>
      <c r="AE1009">
        <v>-17.536799999999999</v>
      </c>
      <c r="AF1009">
        <v>5.5094136666954903</v>
      </c>
      <c r="AG1009">
        <v>-1.0911629537899901</v>
      </c>
      <c r="AH1009">
        <v>16.580415751387299</v>
      </c>
      <c r="AI1009">
        <v>93.573640753757303</v>
      </c>
      <c r="AJ1009">
        <v>71.619157175237206</v>
      </c>
      <c r="AK1009">
        <v>17.505840797612301</v>
      </c>
    </row>
    <row r="1010" spans="1:37" x14ac:dyDescent="0.2">
      <c r="A1010" t="str">
        <f>"20200111150604535"</f>
        <v>20200111150604535</v>
      </c>
      <c r="B1010" t="str">
        <f>"1578726364527521"</f>
        <v>1578726364527521</v>
      </c>
      <c r="C1010" t="s">
        <v>37</v>
      </c>
      <c r="D1010">
        <v>5.1664919999999999</v>
      </c>
      <c r="E1010">
        <v>0.54189200000000004</v>
      </c>
      <c r="F1010" t="s">
        <v>39</v>
      </c>
      <c r="G1010">
        <v>-188.30459999999999</v>
      </c>
      <c r="H1010" s="1">
        <v>-4.1658360000000001E-6</v>
      </c>
      <c r="I1010">
        <v>178.64240000000001</v>
      </c>
      <c r="J1010">
        <v>-188.4931</v>
      </c>
      <c r="K1010">
        <v>1.091259</v>
      </c>
      <c r="L1010">
        <v>195.3569</v>
      </c>
      <c r="M1010">
        <v>0.31854650000000001</v>
      </c>
      <c r="N1010">
        <v>0</v>
      </c>
      <c r="O1010">
        <v>-0.94778739999999995</v>
      </c>
      <c r="P1010">
        <v>0.124061899999999</v>
      </c>
      <c r="Q1010">
        <v>7.1566130000000006E-2</v>
      </c>
      <c r="R1010">
        <v>-0.98969050000000003</v>
      </c>
      <c r="S1010">
        <v>5.137634E-2</v>
      </c>
      <c r="T1010">
        <v>-0.1949089</v>
      </c>
      <c r="U1010">
        <v>-3.0430599999999899</v>
      </c>
      <c r="V1010">
        <v>0.200091299999999</v>
      </c>
      <c r="W1010">
        <v>8.0596020000000004E-2</v>
      </c>
      <c r="X1010">
        <v>0.97645669999999996</v>
      </c>
      <c r="Y1010">
        <v>0.30254979999999998</v>
      </c>
      <c r="Z1010">
        <v>5.7429689999999999E-2</v>
      </c>
      <c r="AA1010">
        <v>0.95140179999999996</v>
      </c>
      <c r="AB1010">
        <v>32</v>
      </c>
      <c r="AC1010">
        <v>0.188500000000004</v>
      </c>
      <c r="AD1010">
        <v>-1.0912631658359999</v>
      </c>
      <c r="AE1010">
        <v>-16.714499999999902</v>
      </c>
      <c r="AF1010">
        <v>5.1244316209513796</v>
      </c>
      <c r="AG1010">
        <v>-1.0912631658359999</v>
      </c>
      <c r="AH1010">
        <v>15.8361508201692</v>
      </c>
      <c r="AI1010">
        <v>93.751086341910195</v>
      </c>
      <c r="AJ1010">
        <v>72.068899859050404</v>
      </c>
      <c r="AK1010">
        <v>16.680357536157999</v>
      </c>
    </row>
    <row r="1011" spans="1:37" x14ac:dyDescent="0.2">
      <c r="A1011" t="str">
        <f>"20200111150604557"</f>
        <v>20200111150604557</v>
      </c>
      <c r="B1011" t="str">
        <f>"1578726364547040"</f>
        <v>1578726364547040</v>
      </c>
      <c r="C1011" t="s">
        <v>37</v>
      </c>
      <c r="D1011">
        <v>5.2044930000000003</v>
      </c>
      <c r="E1011">
        <v>0.54017649999999995</v>
      </c>
      <c r="F1011" t="s">
        <v>39</v>
      </c>
      <c r="G1011">
        <v>-188.28729999999999</v>
      </c>
      <c r="H1011" s="1">
        <v>-4.5518589999999999E-7</v>
      </c>
      <c r="I1011">
        <v>179.6465</v>
      </c>
      <c r="J1011">
        <v>-188.40029999999999</v>
      </c>
      <c r="K1011">
        <v>1.09137</v>
      </c>
      <c r="L1011">
        <v>195.04040000000001</v>
      </c>
      <c r="M1011">
        <v>0.30577579999999999</v>
      </c>
      <c r="N1011">
        <v>0</v>
      </c>
      <c r="O1011">
        <v>-0.95198510000000003</v>
      </c>
      <c r="P1011">
        <v>0.1146737</v>
      </c>
      <c r="Q1011">
        <v>6.8609760000000006E-2</v>
      </c>
      <c r="R1011">
        <v>-0.99103149999999995</v>
      </c>
      <c r="S1011">
        <v>3.9855960000000003E-2</v>
      </c>
      <c r="T1011">
        <v>-0.21126809999999999</v>
      </c>
      <c r="U1011">
        <v>-3.041534</v>
      </c>
      <c r="V1011">
        <v>0.19617089999999901</v>
      </c>
      <c r="W1011">
        <v>7.7786770000000005E-2</v>
      </c>
      <c r="X1011">
        <v>0.97747949999999995</v>
      </c>
      <c r="Y1011">
        <v>0.29331960000000001</v>
      </c>
      <c r="Z1011">
        <v>6.279527E-2</v>
      </c>
      <c r="AA1011">
        <v>0.95394990000000002</v>
      </c>
      <c r="AB1011">
        <v>32</v>
      </c>
      <c r="AC1011">
        <v>0.112999999999999</v>
      </c>
      <c r="AD1011">
        <v>-1.0913704551859</v>
      </c>
      <c r="AE1011">
        <v>-15.3939</v>
      </c>
      <c r="AF1011">
        <v>4.5770223447261902</v>
      </c>
      <c r="AG1011">
        <v>-1.0913704551859</v>
      </c>
      <c r="AH1011">
        <v>14.6175050340594</v>
      </c>
      <c r="AI1011">
        <v>94.075477090933802</v>
      </c>
      <c r="AJ1011">
        <v>72.613656803849196</v>
      </c>
      <c r="AK1011">
        <v>15.3561608625114</v>
      </c>
    </row>
    <row r="1012" spans="1:37" x14ac:dyDescent="0.2">
      <c r="A1012" t="str">
        <f>"20200111150604578"</f>
        <v>20200111150604578</v>
      </c>
      <c r="B1012" t="str">
        <f>"1578726364567536"</f>
        <v>1578726364567536</v>
      </c>
      <c r="C1012" t="s">
        <v>37</v>
      </c>
      <c r="D1012">
        <v>5.2021889999999997</v>
      </c>
      <c r="E1012">
        <v>0.53832440000000004</v>
      </c>
      <c r="F1012" t="s">
        <v>39</v>
      </c>
      <c r="G1012">
        <v>-188.28630000000001</v>
      </c>
      <c r="H1012" s="1">
        <v>-7.9989089999999998E-7</v>
      </c>
      <c r="I1012">
        <v>180.65860000000001</v>
      </c>
      <c r="J1012">
        <v>-188.31720000000001</v>
      </c>
      <c r="K1012">
        <v>1.091488</v>
      </c>
      <c r="L1012">
        <v>194.74369999999999</v>
      </c>
      <c r="M1012">
        <v>0.29390929999999998</v>
      </c>
      <c r="N1012">
        <v>0</v>
      </c>
      <c r="O1012">
        <v>-0.95571569999999995</v>
      </c>
      <c r="P1012">
        <v>0.105258399999999</v>
      </c>
      <c r="Q1012">
        <v>6.6638020000000006E-2</v>
      </c>
      <c r="R1012">
        <v>-0.99220989999999998</v>
      </c>
      <c r="S1012">
        <v>2.4108890000000001E-2</v>
      </c>
      <c r="T1012">
        <v>-0.230719799999999</v>
      </c>
      <c r="U1012">
        <v>-3.040359</v>
      </c>
      <c r="V1012">
        <v>0.19324959999999999</v>
      </c>
      <c r="W1012">
        <v>7.5928319999999994E-2</v>
      </c>
      <c r="X1012">
        <v>0.9782073</v>
      </c>
      <c r="Y1012">
        <v>0.28635579999999999</v>
      </c>
      <c r="Z1012">
        <v>6.9075319999999996E-2</v>
      </c>
      <c r="AA1012">
        <v>0.95563009999999904</v>
      </c>
      <c r="AB1012">
        <v>32</v>
      </c>
      <c r="AC1012">
        <v>3.0900000000002498E-2</v>
      </c>
      <c r="AD1012">
        <v>-1.0914887998909</v>
      </c>
      <c r="AE1012">
        <v>-14.085099999999899</v>
      </c>
      <c r="AF1012">
        <v>4.0861349380077803</v>
      </c>
      <c r="AG1012">
        <v>-1.0914887998909</v>
      </c>
      <c r="AH1012">
        <v>13.3915306904719</v>
      </c>
      <c r="AI1012">
        <v>94.457625851419294</v>
      </c>
      <c r="AJ1012">
        <v>73.031569156723606</v>
      </c>
      <c r="AK1012">
        <v>14.043537330948601</v>
      </c>
    </row>
    <row r="1013" spans="1:37" x14ac:dyDescent="0.2">
      <c r="A1013" t="str">
        <f>"20200111150604600"</f>
        <v>20200111150604600</v>
      </c>
      <c r="B1013" t="str">
        <f>"1578726364596817"</f>
        <v>1578726364596817</v>
      </c>
      <c r="C1013" t="s">
        <v>37</v>
      </c>
      <c r="D1013">
        <v>5.1628540000000003</v>
      </c>
      <c r="E1013">
        <v>0.53624289999999997</v>
      </c>
      <c r="F1013" t="s">
        <v>39</v>
      </c>
      <c r="G1013">
        <v>-188.26769999999999</v>
      </c>
      <c r="H1013" s="1">
        <v>-1.072211E-6</v>
      </c>
      <c r="I1013">
        <v>181.41579999999999</v>
      </c>
      <c r="J1013">
        <v>-188.23609999999999</v>
      </c>
      <c r="K1013">
        <v>1.0916159999999999</v>
      </c>
      <c r="L1013">
        <v>194.43969999999999</v>
      </c>
      <c r="M1013">
        <v>0.28188359999999901</v>
      </c>
      <c r="N1013">
        <v>0</v>
      </c>
      <c r="O1013">
        <v>-0.95933219999999997</v>
      </c>
      <c r="P1013">
        <v>9.5940170000000005E-2</v>
      </c>
      <c r="Q1013">
        <v>6.6387119999999994E-2</v>
      </c>
      <c r="R1013">
        <v>-0.99317099999999903</v>
      </c>
      <c r="S1013">
        <v>1.1306760000000001E-2</v>
      </c>
      <c r="T1013">
        <v>-0.24888659999999899</v>
      </c>
      <c r="U1013">
        <v>-3.0390779999999999</v>
      </c>
      <c r="V1013">
        <v>0.19011600000000001</v>
      </c>
      <c r="W1013">
        <v>7.5797569999999995E-2</v>
      </c>
      <c r="X1013">
        <v>0.97883120000000001</v>
      </c>
      <c r="Y1013">
        <v>0.27833550000000001</v>
      </c>
      <c r="Z1013">
        <v>7.5049610000000003E-2</v>
      </c>
      <c r="AA1013">
        <v>0.95754740000000005</v>
      </c>
      <c r="AB1013">
        <v>32</v>
      </c>
      <c r="AC1013">
        <v>-3.1599999999997401E-2</v>
      </c>
      <c r="AD1013">
        <v>-1.0916170722109999</v>
      </c>
      <c r="AE1013">
        <v>-13.0238999999999</v>
      </c>
      <c r="AF1013">
        <v>3.6761268193833998</v>
      </c>
      <c r="AG1013">
        <v>-1.0916170722109999</v>
      </c>
      <c r="AH1013">
        <v>12.399624455412701</v>
      </c>
      <c r="AI1013">
        <v>94.824616248415495</v>
      </c>
      <c r="AJ1013">
        <v>73.486446647833503</v>
      </c>
      <c r="AK1013">
        <v>12.979068643774101</v>
      </c>
    </row>
    <row r="1014" spans="1:37" x14ac:dyDescent="0.2">
      <c r="A1014" t="str">
        <f>"20200111150604624"</f>
        <v>20200111150604624</v>
      </c>
      <c r="B1014" t="str">
        <f>"1578726364617313"</f>
        <v>1578726364617313</v>
      </c>
      <c r="C1014" t="s">
        <v>37</v>
      </c>
      <c r="D1014">
        <v>5.2006670000000002</v>
      </c>
      <c r="E1014">
        <v>0.53546800000000006</v>
      </c>
      <c r="F1014" t="s">
        <v>39</v>
      </c>
      <c r="G1014">
        <v>-188.23609999999999</v>
      </c>
      <c r="H1014" s="1">
        <v>-1.266887E-6</v>
      </c>
      <c r="I1014">
        <v>181.85659999999999</v>
      </c>
      <c r="J1014">
        <v>-188.15190000000001</v>
      </c>
      <c r="K1014">
        <v>1.091774</v>
      </c>
      <c r="L1014">
        <v>194.107</v>
      </c>
      <c r="M1014">
        <v>0.26889849999999998</v>
      </c>
      <c r="N1014">
        <v>0</v>
      </c>
      <c r="O1014">
        <v>-0.96305289999999999</v>
      </c>
      <c r="P1014">
        <v>8.7735850000000004E-2</v>
      </c>
      <c r="Q1014">
        <v>6.7395830000000004E-2</v>
      </c>
      <c r="R1014">
        <v>-0.99386129999999995</v>
      </c>
      <c r="S1014">
        <v>0</v>
      </c>
      <c r="T1014">
        <v>-0.26357509999999901</v>
      </c>
      <c r="U1014">
        <v>-3.0382389999999999</v>
      </c>
      <c r="V1014">
        <v>0.18494869999999999</v>
      </c>
      <c r="W1014">
        <v>7.6992379999999999E-2</v>
      </c>
      <c r="X1014">
        <v>0.97972760000000003</v>
      </c>
      <c r="Y1014">
        <v>0.26890949999999902</v>
      </c>
      <c r="Z1014">
        <v>8.0066079999999998E-2</v>
      </c>
      <c r="AA1014">
        <v>0.95983180000000001</v>
      </c>
      <c r="AB1014">
        <v>32</v>
      </c>
      <c r="AC1014">
        <v>-8.4199999999981401E-2</v>
      </c>
      <c r="AD1014">
        <v>-1.091775266887</v>
      </c>
      <c r="AE1014">
        <v>-12.250400000000001</v>
      </c>
      <c r="AF1014">
        <v>3.34898058749142</v>
      </c>
      <c r="AG1014">
        <v>-1.091775266887</v>
      </c>
      <c r="AH1014">
        <v>11.683658482235399</v>
      </c>
      <c r="AI1014">
        <v>95.132949434082505</v>
      </c>
      <c r="AJ1014">
        <v>74.005685055076697</v>
      </c>
      <c r="AK1014">
        <v>12.203094678739999</v>
      </c>
    </row>
    <row r="1015" spans="1:37" x14ac:dyDescent="0.2">
      <c r="A1015" t="str">
        <f>"20200111150604646"</f>
        <v>20200111150604646</v>
      </c>
      <c r="B1015" t="str">
        <f>"1578726364636832"</f>
        <v>1578726364636832</v>
      </c>
      <c r="C1015" t="s">
        <v>37</v>
      </c>
      <c r="D1015">
        <v>5.3495860000000004</v>
      </c>
      <c r="E1015">
        <v>0.53394410000000003</v>
      </c>
      <c r="F1015" t="s">
        <v>39</v>
      </c>
      <c r="G1015">
        <v>-188.2296</v>
      </c>
      <c r="H1015" s="1">
        <v>-1.2002289999999999E-6</v>
      </c>
      <c r="I1015">
        <v>181.6985</v>
      </c>
      <c r="J1015">
        <v>-188.07499999999999</v>
      </c>
      <c r="K1015">
        <v>1.0919490000000001</v>
      </c>
      <c r="L1015">
        <v>193.7868</v>
      </c>
      <c r="M1015">
        <v>0.25660810000000001</v>
      </c>
      <c r="N1015">
        <v>0</v>
      </c>
      <c r="O1015">
        <v>-0.96640099999999995</v>
      </c>
      <c r="P1015">
        <v>8.0847249999999996E-2</v>
      </c>
      <c r="Q1015">
        <v>6.8738859999999999E-2</v>
      </c>
      <c r="R1015">
        <v>-0.9943535</v>
      </c>
      <c r="S1015">
        <v>-1.902771E-2</v>
      </c>
      <c r="T1015">
        <v>-0.26732849999999903</v>
      </c>
      <c r="U1015">
        <v>-3.0383</v>
      </c>
      <c r="V1015">
        <v>0.1792281</v>
      </c>
      <c r="W1015">
        <v>7.8538350000000007E-2</v>
      </c>
      <c r="X1015">
        <v>0.98066769999999903</v>
      </c>
      <c r="Y1015">
        <v>0.26264490000000001</v>
      </c>
      <c r="Z1015">
        <v>8.1709270000000001E-2</v>
      </c>
      <c r="AA1015">
        <v>0.96142669999999997</v>
      </c>
      <c r="AB1015">
        <v>32</v>
      </c>
      <c r="AC1015">
        <v>-0.154600000000016</v>
      </c>
      <c r="AD1015">
        <v>-1.091950200229</v>
      </c>
      <c r="AE1015">
        <v>-12.0883</v>
      </c>
      <c r="AF1015">
        <v>3.2254071473019899</v>
      </c>
      <c r="AG1015">
        <v>-1.091950200229</v>
      </c>
      <c r="AH1015">
        <v>11.5495370097444</v>
      </c>
      <c r="AI1015">
        <v>95.203042601151196</v>
      </c>
      <c r="AJ1015">
        <v>74.396693560459596</v>
      </c>
      <c r="AK1015">
        <v>12.0410718644605</v>
      </c>
    </row>
    <row r="1016" spans="1:37" x14ac:dyDescent="0.2">
      <c r="A1016" t="str">
        <f>"20200111150604668"</f>
        <v>20200111150604668</v>
      </c>
      <c r="B1016" t="str">
        <f>"1578726364657328"</f>
        <v>1578726364657328</v>
      </c>
      <c r="C1016" t="s">
        <v>37</v>
      </c>
      <c r="D1016">
        <v>5.2465539999999997</v>
      </c>
      <c r="E1016">
        <v>0.53322799999999904</v>
      </c>
      <c r="F1016" t="s">
        <v>39</v>
      </c>
      <c r="G1016">
        <v>-188.1865</v>
      </c>
      <c r="H1016" s="1">
        <v>-1.1483789999999999E-6</v>
      </c>
      <c r="I1016">
        <v>181.5598</v>
      </c>
      <c r="J1016">
        <v>-188.0061</v>
      </c>
      <c r="K1016">
        <v>1.0921350000000001</v>
      </c>
      <c r="L1016">
        <v>193.4838</v>
      </c>
      <c r="M1016">
        <v>0.2451808</v>
      </c>
      <c r="N1016">
        <v>0</v>
      </c>
      <c r="O1016">
        <v>-0.96936429999999996</v>
      </c>
      <c r="P1016">
        <v>7.5370969999999995E-2</v>
      </c>
      <c r="Q1016">
        <v>6.8316450000000001E-2</v>
      </c>
      <c r="R1016">
        <v>-0.99481299999999995</v>
      </c>
      <c r="S1016">
        <v>-2.7694699999999999E-2</v>
      </c>
      <c r="T1016">
        <v>-0.27131430000000001</v>
      </c>
      <c r="U1016">
        <v>-3.0380250000000002</v>
      </c>
      <c r="V1016">
        <v>0.17300099999999999</v>
      </c>
      <c r="W1016">
        <v>7.8334399999999998E-2</v>
      </c>
      <c r="X1016">
        <v>0.98180159999999905</v>
      </c>
      <c r="Y1016">
        <v>0.25398589999999999</v>
      </c>
      <c r="Z1016">
        <v>8.3422060000000006E-2</v>
      </c>
      <c r="AA1016">
        <v>0.9636036</v>
      </c>
      <c r="AB1016">
        <v>32</v>
      </c>
      <c r="AC1016">
        <v>-0.18039999999999101</v>
      </c>
      <c r="AD1016">
        <v>-1.092136148379</v>
      </c>
      <c r="AE1016">
        <v>-11.923999999999999</v>
      </c>
      <c r="AF1016">
        <v>3.0729756061131601</v>
      </c>
      <c r="AG1016">
        <v>-1.092136148379</v>
      </c>
      <c r="AH1016">
        <v>11.4199517311606</v>
      </c>
      <c r="AI1016">
        <v>95.276244982180501</v>
      </c>
      <c r="AJ1016">
        <v>74.939122323489201</v>
      </c>
      <c r="AK1016">
        <v>11.876499399419</v>
      </c>
    </row>
    <row r="1017" spans="1:37" x14ac:dyDescent="0.2">
      <c r="A1017" t="str">
        <f>"20200111150604690"</f>
        <v>20200111150604690</v>
      </c>
      <c r="B1017" t="str">
        <f>"1578726364687585"</f>
        <v>1578726364687585</v>
      </c>
      <c r="C1017" t="s">
        <v>37</v>
      </c>
      <c r="D1017">
        <v>5.2424559999999998</v>
      </c>
      <c r="E1017">
        <v>0.53286709999999904</v>
      </c>
      <c r="F1017" t="s">
        <v>39</v>
      </c>
      <c r="G1017">
        <v>-188.16030000000001</v>
      </c>
      <c r="H1017" s="1">
        <v>-1.1059399999999999E-6</v>
      </c>
      <c r="I1017">
        <v>181.45009999999999</v>
      </c>
      <c r="J1017">
        <v>-187.94040000000001</v>
      </c>
      <c r="K1017">
        <v>1.092344</v>
      </c>
      <c r="L1017">
        <v>193.17949999999999</v>
      </c>
      <c r="M1017">
        <v>0.23393439999999999</v>
      </c>
      <c r="N1017">
        <v>0</v>
      </c>
      <c r="O1017">
        <v>-0.97214</v>
      </c>
      <c r="P1017">
        <v>7.1251880000000004E-2</v>
      </c>
      <c r="Q1017">
        <v>6.7717630000000001E-2</v>
      </c>
      <c r="R1017">
        <v>-0.99515689999999901</v>
      </c>
      <c r="S1017">
        <v>-3.8940429999999998E-2</v>
      </c>
      <c r="T1017">
        <v>-0.27567359999999902</v>
      </c>
      <c r="U1017">
        <v>-3.037506</v>
      </c>
      <c r="V1017">
        <v>0.16563439999999999</v>
      </c>
      <c r="W1017">
        <v>7.7985949999999998E-2</v>
      </c>
      <c r="X1017">
        <v>0.9830989</v>
      </c>
      <c r="Y1017">
        <v>0.2463408</v>
      </c>
      <c r="Z1017">
        <v>8.5229029999999997E-2</v>
      </c>
      <c r="AA1017">
        <v>0.96542850000000002</v>
      </c>
      <c r="AB1017">
        <v>32</v>
      </c>
      <c r="AC1017">
        <v>-0.21989999999999499</v>
      </c>
      <c r="AD1017">
        <v>-1.09234510594</v>
      </c>
      <c r="AE1017">
        <v>-11.729399999999901</v>
      </c>
      <c r="AF1017">
        <v>2.9325816685171899</v>
      </c>
      <c r="AG1017">
        <v>-1.09234510594</v>
      </c>
      <c r="AH1017">
        <v>11.2548385101371</v>
      </c>
      <c r="AI1017">
        <v>95.365464964937601</v>
      </c>
      <c r="AJ1017">
        <v>75.395634062345394</v>
      </c>
      <c r="AK1017">
        <v>11.681808206021</v>
      </c>
    </row>
    <row r="1018" spans="1:37" x14ac:dyDescent="0.2">
      <c r="A1018" t="str">
        <f>"20200111150604711"</f>
        <v>20200111150604711</v>
      </c>
      <c r="B1018" t="str">
        <f>"1578726364707104"</f>
        <v>1578726364707104</v>
      </c>
      <c r="C1018" t="s">
        <v>37</v>
      </c>
      <c r="D1018">
        <v>5.0475560000000002</v>
      </c>
      <c r="E1018">
        <v>0.53140430000000005</v>
      </c>
      <c r="F1018" t="s">
        <v>39</v>
      </c>
      <c r="G1018">
        <v>-188.12780000000001</v>
      </c>
      <c r="H1018" s="1">
        <v>-1.136552E-6</v>
      </c>
      <c r="I1018">
        <v>181.50799999999899</v>
      </c>
      <c r="J1018">
        <v>-187.87540000000001</v>
      </c>
      <c r="K1018">
        <v>1.0925860000000001</v>
      </c>
      <c r="L1018">
        <v>192.86160000000001</v>
      </c>
      <c r="M1018">
        <v>0.22243889999999999</v>
      </c>
      <c r="N1018">
        <v>0</v>
      </c>
      <c r="O1018">
        <v>-0.97483549999999997</v>
      </c>
      <c r="P1018">
        <v>6.7159490000000002E-2</v>
      </c>
      <c r="Q1018">
        <v>6.866796E-2</v>
      </c>
      <c r="R1018">
        <v>-0.99537659999999994</v>
      </c>
      <c r="S1018">
        <v>-4.8782350000000002E-2</v>
      </c>
      <c r="T1018">
        <v>-0.28427399999999903</v>
      </c>
      <c r="U1018">
        <v>-3.0374150000000002</v>
      </c>
      <c r="V1018">
        <v>0.15802089999999999</v>
      </c>
      <c r="W1018">
        <v>7.9190990000000003E-2</v>
      </c>
      <c r="X1018">
        <v>0.98425509999999905</v>
      </c>
      <c r="Y1018">
        <v>0.2380119</v>
      </c>
      <c r="Z1018">
        <v>8.8338940000000005E-2</v>
      </c>
      <c r="AA1018">
        <v>0.9672366</v>
      </c>
      <c r="AB1018">
        <v>32</v>
      </c>
      <c r="AC1018">
        <v>-0.25239999999999402</v>
      </c>
      <c r="AD1018">
        <v>-1.0925871365519999</v>
      </c>
      <c r="AE1018">
        <v>-11.3536</v>
      </c>
      <c r="AF1018">
        <v>2.7464099133246598</v>
      </c>
      <c r="AG1018">
        <v>-1.0925871365519999</v>
      </c>
      <c r="AH1018">
        <v>10.911939427991999</v>
      </c>
      <c r="AI1018">
        <v>95.546000438856893</v>
      </c>
      <c r="AJ1018">
        <v>75.872738446755505</v>
      </c>
      <c r="AK1018">
        <v>11.3051729815661</v>
      </c>
    </row>
    <row r="1019" spans="1:37" x14ac:dyDescent="0.2">
      <c r="A1019" t="str">
        <f>"20200111150604736"</f>
        <v>20200111150604736</v>
      </c>
      <c r="B1019" t="str">
        <f>"1578726364727600"</f>
        <v>1578726364727600</v>
      </c>
      <c r="C1019" t="s">
        <v>37</v>
      </c>
      <c r="D1019">
        <v>5.2964979999999997</v>
      </c>
      <c r="E1019">
        <v>0.53043260000000003</v>
      </c>
      <c r="F1019" t="s">
        <v>39</v>
      </c>
      <c r="G1019">
        <v>-188.06389999999999</v>
      </c>
      <c r="H1019" s="1">
        <v>-1.065399E-6</v>
      </c>
      <c r="I1019">
        <v>181.26499999999999</v>
      </c>
      <c r="J1019">
        <v>-187.81290000000001</v>
      </c>
      <c r="K1019">
        <v>1.092854</v>
      </c>
      <c r="L1019">
        <v>192.5361</v>
      </c>
      <c r="M1019">
        <v>0.2109896</v>
      </c>
      <c r="N1019">
        <v>0</v>
      </c>
      <c r="O1019">
        <v>-0.97737819999999997</v>
      </c>
      <c r="P1019">
        <v>6.3504519999999995E-2</v>
      </c>
      <c r="Q1019">
        <v>7.0217009999999996E-2</v>
      </c>
      <c r="R1019">
        <v>-0.99550839999999996</v>
      </c>
      <c r="S1019">
        <v>-4.9377440000000002E-2</v>
      </c>
      <c r="T1019">
        <v>-0.28613569999999999</v>
      </c>
      <c r="U1019">
        <v>-3.0370180000000002</v>
      </c>
      <c r="V1019">
        <v>0.15004310000000001</v>
      </c>
      <c r="W1019">
        <v>8.0998580000000001E-2</v>
      </c>
      <c r="X1019">
        <v>0.98535589999999995</v>
      </c>
      <c r="Y1019">
        <v>0.22679589999999999</v>
      </c>
      <c r="Z1019">
        <v>8.9407009999999995E-2</v>
      </c>
      <c r="AA1019">
        <v>0.96982990000000002</v>
      </c>
      <c r="AB1019">
        <v>32</v>
      </c>
      <c r="AC1019">
        <v>-0.25099999999997602</v>
      </c>
      <c r="AD1019">
        <v>-1.0928550653989999</v>
      </c>
      <c r="AE1019">
        <v>-11.271100000000001</v>
      </c>
      <c r="AF1019">
        <v>2.5992645757678199</v>
      </c>
      <c r="AG1019">
        <v>-1.0928550653989999</v>
      </c>
      <c r="AH1019">
        <v>10.862279090595001</v>
      </c>
      <c r="AI1019">
        <v>95.588469037589903</v>
      </c>
      <c r="AJ1019">
        <v>76.542588627774407</v>
      </c>
      <c r="AK1019">
        <v>11.222282101729</v>
      </c>
    </row>
    <row r="1020" spans="1:37" x14ac:dyDescent="0.2">
      <c r="A1020" t="str">
        <f>"20200111150604758"</f>
        <v>20200111150604758</v>
      </c>
      <c r="B1020" t="str">
        <f>"1578726364747655"</f>
        <v>1578726364747655</v>
      </c>
      <c r="C1020" t="s">
        <v>37</v>
      </c>
      <c r="D1020">
        <v>5.2774830000000001</v>
      </c>
      <c r="E1020">
        <v>0.52949399999999902</v>
      </c>
      <c r="F1020" t="s">
        <v>39</v>
      </c>
      <c r="G1020">
        <v>-188.01349999999999</v>
      </c>
      <c r="H1020" s="1">
        <v>-9.1445069999999998E-7</v>
      </c>
      <c r="I1020">
        <v>180.78200000000001</v>
      </c>
      <c r="J1020">
        <v>-187.75489999999999</v>
      </c>
      <c r="K1020">
        <v>1.0931329999999999</v>
      </c>
      <c r="L1020">
        <v>192.21510000000001</v>
      </c>
      <c r="M1020">
        <v>0.19999690000000001</v>
      </c>
      <c r="N1020">
        <v>0</v>
      </c>
      <c r="O1020">
        <v>-0.97968729999999904</v>
      </c>
      <c r="P1020">
        <v>6.0503499999999898E-2</v>
      </c>
      <c r="Q1020">
        <v>7.2448540000000006E-2</v>
      </c>
      <c r="R1020">
        <v>-0.99553530000000001</v>
      </c>
      <c r="S1020">
        <v>-5.1803589999999997E-2</v>
      </c>
      <c r="T1020">
        <v>-0.28234549999999897</v>
      </c>
      <c r="U1020">
        <v>-3.036743</v>
      </c>
      <c r="V1020">
        <v>0.14190129999999901</v>
      </c>
      <c r="W1020">
        <v>8.3483520000000006E-2</v>
      </c>
      <c r="X1020">
        <v>0.98635419999999996</v>
      </c>
      <c r="Y1020">
        <v>0.21662210000000001</v>
      </c>
      <c r="Z1020">
        <v>8.866752E-2</v>
      </c>
      <c r="AA1020">
        <v>0.97222059999999999</v>
      </c>
      <c r="AB1020">
        <v>32</v>
      </c>
      <c r="AC1020">
        <v>-0.258600000000001</v>
      </c>
      <c r="AD1020">
        <v>-1.0931339144507</v>
      </c>
      <c r="AE1020">
        <v>-11.4330999999999</v>
      </c>
      <c r="AF1020">
        <v>2.5172042296454298</v>
      </c>
      <c r="AG1020">
        <v>-1.0931339144507</v>
      </c>
      <c r="AH1020">
        <v>11.0493804545071</v>
      </c>
      <c r="AI1020">
        <v>95.509718692271207</v>
      </c>
      <c r="AJ1020">
        <v>77.166244651189103</v>
      </c>
      <c r="AK1020">
        <v>11.3850809095548</v>
      </c>
    </row>
    <row r="1021" spans="1:37" x14ac:dyDescent="0.2">
      <c r="A1021" t="str">
        <f>"20200111150604788"</f>
        <v>20200111150604788</v>
      </c>
      <c r="B1021" t="str">
        <f>"1578726364767175"</f>
        <v>1578726364767175</v>
      </c>
      <c r="C1021" t="s">
        <v>37</v>
      </c>
      <c r="D1021">
        <v>5.158569</v>
      </c>
      <c r="E1021">
        <v>0.52858169999999904</v>
      </c>
      <c r="F1021" t="s">
        <v>39</v>
      </c>
      <c r="G1021">
        <v>-187.9657</v>
      </c>
      <c r="H1021" s="1">
        <v>-7.1737709999999899E-7</v>
      </c>
      <c r="I1021">
        <v>180.16550000000001</v>
      </c>
      <c r="J1021">
        <v>-187.70419999999999</v>
      </c>
      <c r="K1021">
        <v>1.0933809999999999</v>
      </c>
      <c r="L1021">
        <v>191.9179</v>
      </c>
      <c r="M1021">
        <v>0.19005279999999899</v>
      </c>
      <c r="N1021">
        <v>0</v>
      </c>
      <c r="O1021">
        <v>-0.98166580000000003</v>
      </c>
      <c r="P1021">
        <v>5.9448250000000001E-2</v>
      </c>
      <c r="Q1021">
        <v>7.4534009999999998E-2</v>
      </c>
      <c r="R1021">
        <v>-0.99544509999999897</v>
      </c>
      <c r="S1021">
        <v>-5.3115839999999998E-2</v>
      </c>
      <c r="T1021">
        <v>-0.27548919999999999</v>
      </c>
      <c r="U1021">
        <v>-3.0367130000000002</v>
      </c>
      <c r="V1021">
        <v>0.13290339999999901</v>
      </c>
      <c r="W1021">
        <v>8.5827310000000004E-2</v>
      </c>
      <c r="X1021">
        <v>0.98740589999999995</v>
      </c>
      <c r="Y1021">
        <v>0.20713770000000001</v>
      </c>
      <c r="Z1021">
        <v>8.6893280000000003E-2</v>
      </c>
      <c r="AA1021">
        <v>0.97444519999999901</v>
      </c>
      <c r="AB1021">
        <v>32</v>
      </c>
      <c r="AC1021">
        <v>-0.261500000000012</v>
      </c>
      <c r="AD1021">
        <v>-1.0933817173770899</v>
      </c>
      <c r="AE1021">
        <v>-11.7523999999999</v>
      </c>
      <c r="AF1021">
        <v>2.4691850098509698</v>
      </c>
      <c r="AG1021">
        <v>-1.0933817173770899</v>
      </c>
      <c r="AH1021">
        <v>11.3899130469435</v>
      </c>
      <c r="AI1021">
        <v>95.359596306535096</v>
      </c>
      <c r="AJ1021">
        <v>77.7682923817123</v>
      </c>
      <c r="AK1021">
        <v>11.705660058693899</v>
      </c>
    </row>
    <row r="1022" spans="1:37" x14ac:dyDescent="0.2">
      <c r="A1022" t="str">
        <f>"20200111150604805"</f>
        <v>20200111150604805</v>
      </c>
      <c r="B1022" t="str">
        <f>"1578726364797432"</f>
        <v>1578726364797432</v>
      </c>
      <c r="C1022" t="s">
        <v>37</v>
      </c>
      <c r="D1022">
        <v>5.0711349999999999</v>
      </c>
      <c r="E1022">
        <v>0.52732069999999998</v>
      </c>
      <c r="F1022" t="s">
        <v>38</v>
      </c>
      <c r="G1022">
        <v>-187.7192</v>
      </c>
      <c r="H1022">
        <v>1.010292</v>
      </c>
      <c r="I1022">
        <v>190.9898</v>
      </c>
      <c r="J1022">
        <v>-187.64410000000001</v>
      </c>
      <c r="K1022">
        <v>1.0936920000000001</v>
      </c>
      <c r="L1022">
        <v>191.54159999999999</v>
      </c>
      <c r="M1022">
        <v>0.17782249999999999</v>
      </c>
      <c r="N1022">
        <v>0</v>
      </c>
      <c r="O1022">
        <v>-0.98395560000000004</v>
      </c>
      <c r="P1022">
        <v>5.7921060000000003E-2</v>
      </c>
      <c r="Q1022">
        <v>7.6375470000000001E-2</v>
      </c>
      <c r="R1022">
        <v>-0.99539549999999999</v>
      </c>
      <c r="S1022">
        <v>-4.8614499999999998E-2</v>
      </c>
      <c r="T1022">
        <v>-0.27167170000000002</v>
      </c>
      <c r="U1022">
        <v>-3.036972</v>
      </c>
      <c r="V1022">
        <v>0.1220682</v>
      </c>
      <c r="W1022">
        <v>8.7968759999999993E-2</v>
      </c>
      <c r="X1022">
        <v>0.98861559999999904</v>
      </c>
      <c r="Y1022">
        <v>0.1935016</v>
      </c>
      <c r="Z1022">
        <v>8.6122649999999995E-2</v>
      </c>
      <c r="AA1022">
        <v>0.97731259999999998</v>
      </c>
      <c r="AB1022">
        <v>32</v>
      </c>
      <c r="AC1022">
        <v>-7.5099999999991895E-2</v>
      </c>
      <c r="AD1022">
        <v>-8.3400000000000099E-2</v>
      </c>
      <c r="AE1022">
        <v>-0.55179999999998497</v>
      </c>
      <c r="AF1022">
        <v>0.168261793529737</v>
      </c>
      <c r="AG1022">
        <v>-8.3400000000000099E-2</v>
      </c>
      <c r="AH1022">
        <v>0.51802943075584196</v>
      </c>
      <c r="AI1022">
        <v>98.705511495794994</v>
      </c>
      <c r="AJ1022">
        <v>72.005619693783999</v>
      </c>
      <c r="AK1022">
        <v>0.55101913060352603</v>
      </c>
    </row>
    <row r="1023" spans="1:37" x14ac:dyDescent="0.2">
      <c r="A1023" t="str">
        <f>"20200111150604824"</f>
        <v>20200111150604824</v>
      </c>
      <c r="B1023" t="str">
        <f>"1578726364816952"</f>
        <v>1578726364816952</v>
      </c>
      <c r="C1023" t="s">
        <v>37</v>
      </c>
      <c r="D1023">
        <v>4.9491809999999896</v>
      </c>
      <c r="E1023">
        <v>0.52667790000000003</v>
      </c>
      <c r="F1023" t="s">
        <v>38</v>
      </c>
      <c r="G1023">
        <v>-187.6559</v>
      </c>
      <c r="H1023">
        <v>1.0199559999999901</v>
      </c>
      <c r="I1023">
        <v>190.70920000000001</v>
      </c>
      <c r="J1023">
        <v>-187.6026</v>
      </c>
      <c r="K1023">
        <v>1.093936</v>
      </c>
      <c r="L1023">
        <v>191.2638</v>
      </c>
      <c r="M1023">
        <v>0.16908899999999999</v>
      </c>
      <c r="N1023">
        <v>0</v>
      </c>
      <c r="O1023">
        <v>-0.9854946</v>
      </c>
      <c r="P1023">
        <v>5.9866809999999999E-2</v>
      </c>
      <c r="Q1023">
        <v>7.8352560000000002E-2</v>
      </c>
      <c r="R1023">
        <v>-0.99512639999999997</v>
      </c>
      <c r="S1023">
        <v>-4.2907710000000002E-2</v>
      </c>
      <c r="T1023">
        <v>-0.26902500000000001</v>
      </c>
      <c r="U1023">
        <v>-3.0369869999999999</v>
      </c>
      <c r="V1023">
        <v>0.11131769999999901</v>
      </c>
      <c r="W1023">
        <v>9.0224260000000001E-2</v>
      </c>
      <c r="X1023">
        <v>0.98968069999999897</v>
      </c>
      <c r="Y1023">
        <v>0.18295510000000001</v>
      </c>
      <c r="Z1023">
        <v>8.5583690000000004E-2</v>
      </c>
      <c r="AA1023">
        <v>0.97938899999999995</v>
      </c>
      <c r="AB1023">
        <v>32</v>
      </c>
      <c r="AC1023">
        <v>-5.3300000000007203E-2</v>
      </c>
      <c r="AD1023">
        <v>-7.3980000000000101E-2</v>
      </c>
      <c r="AE1023">
        <v>-0.55459999999999299</v>
      </c>
      <c r="AF1023">
        <v>0.143783886198247</v>
      </c>
      <c r="AG1023">
        <v>-7.3980000000000101E-2</v>
      </c>
      <c r="AH1023">
        <v>0.52828495141918297</v>
      </c>
      <c r="AI1023">
        <v>97.695352798437995</v>
      </c>
      <c r="AJ1023">
        <v>74.774546724611199</v>
      </c>
      <c r="AK1023">
        <v>0.55247790564531996</v>
      </c>
    </row>
    <row r="1024" spans="1:37" x14ac:dyDescent="0.2">
      <c r="A1024" t="str">
        <f>"20200111150604848"</f>
        <v>20200111150604848</v>
      </c>
      <c r="B1024" t="str">
        <f>"1578726364837447"</f>
        <v>1578726364837447</v>
      </c>
      <c r="C1024" t="s">
        <v>37</v>
      </c>
      <c r="D1024">
        <v>4.8484860000000003</v>
      </c>
      <c r="E1024">
        <v>0.5261998</v>
      </c>
      <c r="F1024" t="s">
        <v>38</v>
      </c>
      <c r="G1024">
        <v>-187.61160000000001</v>
      </c>
      <c r="H1024">
        <v>1.021069</v>
      </c>
      <c r="I1024">
        <v>190.42840000000001</v>
      </c>
      <c r="J1024">
        <v>-187.55619999999999</v>
      </c>
      <c r="K1024">
        <v>1.0942689999999999</v>
      </c>
      <c r="L1024">
        <v>190.93430000000001</v>
      </c>
      <c r="M1024">
        <v>0.15910150000000001</v>
      </c>
      <c r="N1024">
        <v>0</v>
      </c>
      <c r="O1024">
        <v>-0.98715719999999996</v>
      </c>
      <c r="P1024">
        <v>5.9094559999999997E-2</v>
      </c>
      <c r="Q1024">
        <v>7.9242709999999994E-2</v>
      </c>
      <c r="R1024">
        <v>-0.99510219999999905</v>
      </c>
      <c r="S1024">
        <v>-3.2104489999999999E-2</v>
      </c>
      <c r="T1024">
        <v>-0.26464330000000003</v>
      </c>
      <c r="U1024">
        <v>-3.0374599999999998</v>
      </c>
      <c r="V1024">
        <v>0.10198649999999999</v>
      </c>
      <c r="W1024">
        <v>9.1356339999999994E-2</v>
      </c>
      <c r="X1024">
        <v>0.99058199999999996</v>
      </c>
      <c r="Y1024">
        <v>0.1695007</v>
      </c>
      <c r="Z1024">
        <v>8.4510100000000005E-2</v>
      </c>
      <c r="AA1024">
        <v>0.9819</v>
      </c>
      <c r="AB1024">
        <v>32</v>
      </c>
      <c r="AC1024">
        <v>-5.54000000000201E-2</v>
      </c>
      <c r="AD1024">
        <v>-7.3200000000000098E-2</v>
      </c>
      <c r="AE1024">
        <v>-0.50589999999999602</v>
      </c>
      <c r="AF1024">
        <v>0.13245183017908799</v>
      </c>
      <c r="AG1024">
        <v>-7.3200000000000098E-2</v>
      </c>
      <c r="AH1024">
        <v>0.480694926941515</v>
      </c>
      <c r="AI1024">
        <v>98.351839580065104</v>
      </c>
      <c r="AJ1024">
        <v>74.594860910810795</v>
      </c>
      <c r="AK1024">
        <v>0.50395370829580999</v>
      </c>
    </row>
    <row r="1025" spans="1:37" x14ac:dyDescent="0.2">
      <c r="A1025" t="str">
        <f>"20200111150604869"</f>
        <v>20200111150604869</v>
      </c>
      <c r="B1025" t="str">
        <f>"1578726364857526"</f>
        <v>1578726364857526</v>
      </c>
      <c r="C1025" t="s">
        <v>37</v>
      </c>
      <c r="D1025">
        <v>4.7645939999999998</v>
      </c>
      <c r="E1025">
        <v>0.52585459999999995</v>
      </c>
      <c r="F1025" t="s">
        <v>38</v>
      </c>
      <c r="G1025">
        <v>-187.5642</v>
      </c>
      <c r="H1025">
        <v>1.025531</v>
      </c>
      <c r="I1025">
        <v>190.14529999999999</v>
      </c>
      <c r="J1025">
        <v>-187.5179</v>
      </c>
      <c r="K1025">
        <v>1.094606</v>
      </c>
      <c r="L1025">
        <v>190.6438</v>
      </c>
      <c r="M1025">
        <v>0.15069350000000001</v>
      </c>
      <c r="N1025">
        <v>0</v>
      </c>
      <c r="O1025">
        <v>-0.98847619999999903</v>
      </c>
      <c r="P1025">
        <v>5.8579899999999997E-2</v>
      </c>
      <c r="Q1025">
        <v>8.0650269999999996E-2</v>
      </c>
      <c r="R1025">
        <v>-0.9950196</v>
      </c>
      <c r="S1025">
        <v>-3.0441280000000001E-2</v>
      </c>
      <c r="T1025">
        <v>-0.26454229999999901</v>
      </c>
      <c r="U1025">
        <v>-3.03762799999999</v>
      </c>
      <c r="V1025">
        <v>9.3992439999999997E-2</v>
      </c>
      <c r="W1025">
        <v>9.2964039999999998E-2</v>
      </c>
      <c r="X1025">
        <v>0.99122299999999997</v>
      </c>
      <c r="Y1025">
        <v>0.16056779999999901</v>
      </c>
      <c r="Z1025">
        <v>8.4709989999999999E-2</v>
      </c>
      <c r="AA1025">
        <v>0.98338309999999995</v>
      </c>
      <c r="AB1025">
        <v>32</v>
      </c>
      <c r="AC1025">
        <v>-4.6300000000002201E-2</v>
      </c>
      <c r="AD1025">
        <v>-6.9074999999999998E-2</v>
      </c>
      <c r="AE1025">
        <v>-0.49850000000000699</v>
      </c>
      <c r="AF1025">
        <v>0.118641146468835</v>
      </c>
      <c r="AG1025">
        <v>-6.9074999999999998E-2</v>
      </c>
      <c r="AH1025">
        <v>0.47675280580252499</v>
      </c>
      <c r="AI1025">
        <v>98.003230810007693</v>
      </c>
      <c r="AJ1025">
        <v>76.025650527105299</v>
      </c>
      <c r="AK1025">
        <v>0.49612530181499498</v>
      </c>
    </row>
    <row r="1026" spans="1:37" x14ac:dyDescent="0.2">
      <c r="A1026" t="str">
        <f>"20200111150604890"</f>
        <v>20200111150604890</v>
      </c>
      <c r="B1026" t="str">
        <f>"1578726364887783"</f>
        <v>1578726364887783</v>
      </c>
      <c r="C1026" t="s">
        <v>37</v>
      </c>
      <c r="D1026">
        <v>4.7037399999999998</v>
      </c>
      <c r="E1026">
        <v>0.5252213</v>
      </c>
      <c r="F1026" t="s">
        <v>38</v>
      </c>
      <c r="G1026">
        <v>-187.52529999999999</v>
      </c>
      <c r="H1026">
        <v>1.0265139999999999</v>
      </c>
      <c r="I1026">
        <v>189.86279999999999</v>
      </c>
      <c r="J1026">
        <v>-187.47919999999999</v>
      </c>
      <c r="K1026">
        <v>1.095046</v>
      </c>
      <c r="L1026">
        <v>190.33279999999999</v>
      </c>
      <c r="M1026">
        <v>0.14215149999999999</v>
      </c>
      <c r="N1026">
        <v>0</v>
      </c>
      <c r="O1026">
        <v>-0.98974169999999995</v>
      </c>
      <c r="P1026">
        <v>5.7658800000000003E-2</v>
      </c>
      <c r="Q1026">
        <v>8.1500299999999998E-2</v>
      </c>
      <c r="R1026">
        <v>-0.99500390000000005</v>
      </c>
      <c r="S1026">
        <v>-2.8717039999999999E-2</v>
      </c>
      <c r="T1026">
        <v>-0.26479079999999999</v>
      </c>
      <c r="U1026">
        <v>-3.0381619999999998</v>
      </c>
      <c r="V1026">
        <v>8.6250350000000003E-2</v>
      </c>
      <c r="W1026">
        <v>9.4004699999999997E-2</v>
      </c>
      <c r="X1026">
        <v>0.99182859999999995</v>
      </c>
      <c r="Y1026">
        <v>0.151477799999999</v>
      </c>
      <c r="Z1026">
        <v>8.500133E-2</v>
      </c>
      <c r="AA1026">
        <v>0.98479910000000004</v>
      </c>
      <c r="AB1026">
        <v>32</v>
      </c>
      <c r="AC1026">
        <v>-4.6099999999995499E-2</v>
      </c>
      <c r="AD1026">
        <v>-6.8531999999999996E-2</v>
      </c>
      <c r="AE1026">
        <v>-0.46999999999999797</v>
      </c>
      <c r="AF1026">
        <v>0.11013057212369499</v>
      </c>
      <c r="AG1026">
        <v>-6.8531999999999996E-2</v>
      </c>
      <c r="AH1026">
        <v>0.44921241702630099</v>
      </c>
      <c r="AI1026">
        <v>98.4283258195711</v>
      </c>
      <c r="AJ1026">
        <v>76.224852180181301</v>
      </c>
      <c r="AK1026">
        <v>0.46756515433777102</v>
      </c>
    </row>
    <row r="1027" spans="1:37" x14ac:dyDescent="0.2">
      <c r="A1027" t="str">
        <f>"20200111150604914"</f>
        <v>20200111150604914</v>
      </c>
      <c r="B1027" t="str">
        <f>"1578726364907303"</f>
        <v>1578726364907303</v>
      </c>
      <c r="C1027" t="s">
        <v>37</v>
      </c>
      <c r="D1027">
        <v>4.6576810000000002</v>
      </c>
      <c r="E1027">
        <v>0.52488429999999997</v>
      </c>
      <c r="F1027" t="s">
        <v>38</v>
      </c>
      <c r="G1027">
        <v>-187.48570000000001</v>
      </c>
      <c r="H1027">
        <v>1.029787</v>
      </c>
      <c r="I1027">
        <v>189.57939999999999</v>
      </c>
      <c r="J1027">
        <v>-187.44049999999999</v>
      </c>
      <c r="K1027">
        <v>1.095575</v>
      </c>
      <c r="L1027">
        <v>190.0027</v>
      </c>
      <c r="M1027">
        <v>0.13370370000000001</v>
      </c>
      <c r="N1027">
        <v>0</v>
      </c>
      <c r="O1027">
        <v>-0.99091949999999995</v>
      </c>
      <c r="P1027">
        <v>5.6754209999999999E-2</v>
      </c>
      <c r="Q1027">
        <v>8.3419820000000006E-2</v>
      </c>
      <c r="R1027">
        <v>-0.99489749999999999</v>
      </c>
      <c r="S1027">
        <v>-2.6489260000000001E-2</v>
      </c>
      <c r="T1027">
        <v>-0.2631809</v>
      </c>
      <c r="U1027">
        <v>-3.0381320000000001</v>
      </c>
      <c r="V1027">
        <v>7.8577610000000006E-2</v>
      </c>
      <c r="W1027">
        <v>9.6105629999999997E-2</v>
      </c>
      <c r="X1027">
        <v>0.992264699999999</v>
      </c>
      <c r="Y1027">
        <v>0.14231830000000001</v>
      </c>
      <c r="Z1027">
        <v>8.4700419999999998E-2</v>
      </c>
      <c r="AA1027">
        <v>0.98619029999999996</v>
      </c>
      <c r="AB1027">
        <v>32</v>
      </c>
      <c r="AC1027">
        <v>-4.52000000000225E-2</v>
      </c>
      <c r="AD1027">
        <v>-6.5787999999999902E-2</v>
      </c>
      <c r="AE1027">
        <v>-0.423300000000011</v>
      </c>
      <c r="AF1027">
        <v>9.9031489584750707E-2</v>
      </c>
      <c r="AG1027">
        <v>-6.5787999999999902E-2</v>
      </c>
      <c r="AH1027">
        <v>0.40381069142973403</v>
      </c>
      <c r="AI1027">
        <v>98.991319696500398</v>
      </c>
      <c r="AJ1027">
        <v>76.2205998126053</v>
      </c>
      <c r="AK1027">
        <v>0.42094936914828002</v>
      </c>
    </row>
    <row r="1028" spans="1:37" x14ac:dyDescent="0.2">
      <c r="A1028" t="str">
        <f>"20200111150604936"</f>
        <v>20200111150604936</v>
      </c>
      <c r="B1028" t="str">
        <f>"1578726364927801"</f>
        <v>1578726364927801</v>
      </c>
      <c r="C1028" t="s">
        <v>37</v>
      </c>
      <c r="D1028">
        <v>4.5751580000000001</v>
      </c>
      <c r="E1028">
        <v>0.5246651</v>
      </c>
      <c r="F1028" t="s">
        <v>38</v>
      </c>
      <c r="G1028">
        <v>-187.44909999999999</v>
      </c>
      <c r="H1028">
        <v>1.011441</v>
      </c>
      <c r="I1028">
        <v>189.01990000000001</v>
      </c>
      <c r="J1028">
        <v>-187.40539999999999</v>
      </c>
      <c r="K1028">
        <v>1.0961379999999901</v>
      </c>
      <c r="L1028">
        <v>189.6841</v>
      </c>
      <c r="M1028">
        <v>0.126221</v>
      </c>
      <c r="N1028">
        <v>0</v>
      </c>
      <c r="O1028">
        <v>-0.99190129999999999</v>
      </c>
      <c r="P1028">
        <v>5.517727E-2</v>
      </c>
      <c r="Q1028">
        <v>8.4940660000000001E-2</v>
      </c>
      <c r="R1028">
        <v>-0.99485709999999905</v>
      </c>
      <c r="S1028">
        <v>-2.630615E-2</v>
      </c>
      <c r="T1028">
        <v>-0.26007429999999998</v>
      </c>
      <c r="U1028">
        <v>-3.0387270000000002</v>
      </c>
      <c r="V1028">
        <v>7.2536329999999996E-2</v>
      </c>
      <c r="W1028">
        <v>9.7769999999999996E-2</v>
      </c>
      <c r="X1028">
        <v>0.992562099999999</v>
      </c>
      <c r="Y1028">
        <v>0.1347835</v>
      </c>
      <c r="Z1028">
        <v>8.3861969999999994E-2</v>
      </c>
      <c r="AA1028">
        <v>0.98731990000000003</v>
      </c>
      <c r="AB1028">
        <v>32</v>
      </c>
      <c r="AC1028">
        <v>-4.3700000000001099E-2</v>
      </c>
      <c r="AD1028">
        <v>-8.46969999999998E-2</v>
      </c>
      <c r="AE1028">
        <v>-0.66419999999999302</v>
      </c>
      <c r="AF1028">
        <v>0.125168252980179</v>
      </c>
      <c r="AG1028">
        <v>-8.46969999999998E-2</v>
      </c>
      <c r="AH1028">
        <v>0.642960446465347</v>
      </c>
      <c r="AI1028">
        <v>97.367599695703205</v>
      </c>
      <c r="AJ1028">
        <v>78.983737265687395</v>
      </c>
      <c r="AK1028">
        <v>0.66048376897697403</v>
      </c>
    </row>
    <row r="1029" spans="1:37" x14ac:dyDescent="0.2">
      <c r="A1029" t="str">
        <f>"20200111150604958"</f>
        <v>20200111150604958</v>
      </c>
      <c r="B1029" t="str">
        <f>"1578726364946901"</f>
        <v>1578726364946901</v>
      </c>
      <c r="C1029" t="s">
        <v>37</v>
      </c>
      <c r="D1029">
        <v>4.575825</v>
      </c>
      <c r="E1029">
        <v>0.52436380000000005</v>
      </c>
      <c r="F1029" t="s">
        <v>38</v>
      </c>
      <c r="G1029">
        <v>-187.4145</v>
      </c>
      <c r="H1029">
        <v>1.0153719999999999</v>
      </c>
      <c r="I1029">
        <v>188.73660000000001</v>
      </c>
      <c r="J1029">
        <v>-187.3732</v>
      </c>
      <c r="K1029">
        <v>1.0966579999999999</v>
      </c>
      <c r="L1029">
        <v>189.37700000000001</v>
      </c>
      <c r="M1029">
        <v>0.1195363</v>
      </c>
      <c r="N1029">
        <v>0</v>
      </c>
      <c r="O1029">
        <v>-0.99272969999999905</v>
      </c>
      <c r="P1029">
        <v>5.3607099999999998E-2</v>
      </c>
      <c r="Q1029">
        <v>8.720899E-2</v>
      </c>
      <c r="R1029">
        <v>-0.99474689999999999</v>
      </c>
      <c r="S1029">
        <v>-2.8762820000000001E-2</v>
      </c>
      <c r="T1029">
        <v>-0.25900649999999997</v>
      </c>
      <c r="U1029">
        <v>-3.0392000000000001</v>
      </c>
      <c r="V1029">
        <v>6.7303020000000005E-2</v>
      </c>
      <c r="W1029">
        <v>0.1001539</v>
      </c>
      <c r="X1029">
        <v>0.99269309999999999</v>
      </c>
      <c r="Y1029">
        <v>0.1289032</v>
      </c>
      <c r="Z1029">
        <v>8.3645460000000005E-2</v>
      </c>
      <c r="AA1029">
        <v>0.98812319999999998</v>
      </c>
      <c r="AB1029">
        <v>32</v>
      </c>
      <c r="AC1029">
        <v>-4.1300000000006699E-2</v>
      </c>
      <c r="AD1029">
        <v>-8.12859999999999E-2</v>
      </c>
      <c r="AE1029">
        <v>-0.64039999999999897</v>
      </c>
      <c r="AF1029">
        <v>0.11570602438953601</v>
      </c>
      <c r="AG1029">
        <v>-8.12859999999999E-2</v>
      </c>
      <c r="AH1029">
        <v>0.62090780843808702</v>
      </c>
      <c r="AI1029">
        <v>97.333609157038097</v>
      </c>
      <c r="AJ1029">
        <v>79.444023321947697</v>
      </c>
      <c r="AK1029">
        <v>0.636805939400239</v>
      </c>
    </row>
    <row r="1030" spans="1:37" x14ac:dyDescent="0.2">
      <c r="A1030" t="str">
        <f>"20200111150604981"</f>
        <v>20200111150604981</v>
      </c>
      <c r="B1030" t="str">
        <f>"1578726364977157"</f>
        <v>1578726364977157</v>
      </c>
      <c r="C1030" t="s">
        <v>37</v>
      </c>
      <c r="D1030">
        <v>4.5381530000000003</v>
      </c>
      <c r="E1030">
        <v>0.52384259999999905</v>
      </c>
      <c r="F1030" t="s">
        <v>38</v>
      </c>
      <c r="G1030">
        <v>-187.3826</v>
      </c>
      <c r="H1030">
        <v>1.0196799999999999</v>
      </c>
      <c r="I1030">
        <v>188.453</v>
      </c>
      <c r="J1030">
        <v>-187.34200000000001</v>
      </c>
      <c r="K1030">
        <v>1.0971839999999999</v>
      </c>
      <c r="L1030">
        <v>189.06389999999999</v>
      </c>
      <c r="M1030">
        <v>0.1133231</v>
      </c>
      <c r="N1030">
        <v>0</v>
      </c>
      <c r="O1030">
        <v>-0.99345919999999899</v>
      </c>
      <c r="P1030">
        <v>5.0784559999999999E-2</v>
      </c>
      <c r="Q1030">
        <v>9.0208150000000001E-2</v>
      </c>
      <c r="R1030">
        <v>-0.99462739999999905</v>
      </c>
      <c r="S1030">
        <v>-3.0441280000000001E-2</v>
      </c>
      <c r="T1030">
        <v>-0.25323220000000002</v>
      </c>
      <c r="U1030">
        <v>-3.0396730000000001</v>
      </c>
      <c r="V1030">
        <v>6.3795760000000007E-2</v>
      </c>
      <c r="W1030">
        <v>0.10323010000000001</v>
      </c>
      <c r="X1030">
        <v>0.99260949999999903</v>
      </c>
      <c r="Y1030">
        <v>0.123242899999999</v>
      </c>
      <c r="Z1030">
        <v>8.1901269999999998E-2</v>
      </c>
      <c r="AA1030">
        <v>0.98899110000000001</v>
      </c>
      <c r="AB1030">
        <v>32</v>
      </c>
      <c r="AC1030">
        <v>-4.0599999999983503E-2</v>
      </c>
      <c r="AD1030">
        <v>-7.7504000000000003E-2</v>
      </c>
      <c r="AE1030">
        <v>-0.61089999999998601</v>
      </c>
      <c r="AF1030">
        <v>0.10784608465720499</v>
      </c>
      <c r="AG1030">
        <v>-7.7504000000000003E-2</v>
      </c>
      <c r="AH1030">
        <v>0.59286202499923701</v>
      </c>
      <c r="AI1030">
        <v>97.329024544004696</v>
      </c>
      <c r="AJ1030">
        <v>79.690196462855397</v>
      </c>
      <c r="AK1030">
        <v>0.60755495938893</v>
      </c>
    </row>
    <row r="1031" spans="1:37" x14ac:dyDescent="0.2">
      <c r="A1031" t="str">
        <f>"20200111150605003"</f>
        <v>20200111150605003</v>
      </c>
      <c r="B1031" t="str">
        <f>"1578726364997653"</f>
        <v>1578726364997653</v>
      </c>
      <c r="C1031" t="s">
        <v>37</v>
      </c>
      <c r="D1031">
        <v>4.4667180000000002</v>
      </c>
      <c r="E1031">
        <v>0.52357559999999903</v>
      </c>
      <c r="F1031" t="s">
        <v>38</v>
      </c>
      <c r="G1031">
        <v>-187.35220000000001</v>
      </c>
      <c r="H1031">
        <v>1.02484</v>
      </c>
      <c r="I1031">
        <v>188.16909999999999</v>
      </c>
      <c r="J1031">
        <v>-187.31180000000001</v>
      </c>
      <c r="K1031">
        <v>1.0977459999999899</v>
      </c>
      <c r="L1031">
        <v>188.7473</v>
      </c>
      <c r="M1031">
        <v>0.107722499999999</v>
      </c>
      <c r="N1031">
        <v>0</v>
      </c>
      <c r="O1031">
        <v>-0.99408269999999999</v>
      </c>
      <c r="P1031">
        <v>4.8735229999999997E-2</v>
      </c>
      <c r="Q1031">
        <v>9.3263020000000002E-2</v>
      </c>
      <c r="R1031">
        <v>-0.9944482</v>
      </c>
      <c r="S1031">
        <v>-3.4194950000000002E-2</v>
      </c>
      <c r="T1031">
        <v>-0.2457802</v>
      </c>
      <c r="U1031">
        <v>-3.0402369999999999</v>
      </c>
      <c r="V1031">
        <v>6.0119659999999998E-2</v>
      </c>
      <c r="W1031">
        <v>0.10635849999999999</v>
      </c>
      <c r="X1031">
        <v>0.99250869999999902</v>
      </c>
      <c r="Y1031">
        <v>0.1188704</v>
      </c>
      <c r="Z1031">
        <v>7.958846E-2</v>
      </c>
      <c r="AA1031">
        <v>0.98971489999999995</v>
      </c>
      <c r="AB1031">
        <v>32</v>
      </c>
      <c r="AC1031">
        <v>-4.04000000000053E-2</v>
      </c>
      <c r="AD1031">
        <v>-7.2905999999999901E-2</v>
      </c>
      <c r="AE1031">
        <v>-0.57820000000000904</v>
      </c>
      <c r="AF1031">
        <v>0.100860314122906</v>
      </c>
      <c r="AG1031">
        <v>-7.2905999999999901E-2</v>
      </c>
      <c r="AH1031">
        <v>0.56159691963394598</v>
      </c>
      <c r="AI1031">
        <v>97.281499908500393</v>
      </c>
      <c r="AJ1031">
        <v>79.8184732480333</v>
      </c>
      <c r="AK1031">
        <v>0.57522099052738696</v>
      </c>
    </row>
    <row r="1032" spans="1:37" x14ac:dyDescent="0.2">
      <c r="A1032" t="str">
        <f>"20200111150605025"</f>
        <v>20200111150605025</v>
      </c>
      <c r="B1032" t="str">
        <f>"1578726365017176"</f>
        <v>1578726365017176</v>
      </c>
      <c r="C1032" t="s">
        <v>37</v>
      </c>
      <c r="D1032">
        <v>4.5236710000000002</v>
      </c>
      <c r="E1032">
        <v>0.52331190000000005</v>
      </c>
      <c r="F1032" t="s">
        <v>38</v>
      </c>
      <c r="G1032">
        <v>-187.3227</v>
      </c>
      <c r="H1032">
        <v>1.0301049999999901</v>
      </c>
      <c r="I1032">
        <v>187.8854</v>
      </c>
      <c r="J1032">
        <v>-187.2817</v>
      </c>
      <c r="K1032">
        <v>1.0983689999999999</v>
      </c>
      <c r="L1032">
        <v>188.41890000000001</v>
      </c>
      <c r="M1032">
        <v>0.10268039999999901</v>
      </c>
      <c r="N1032">
        <v>0</v>
      </c>
      <c r="O1032">
        <v>-0.99461690000000003</v>
      </c>
      <c r="P1032">
        <v>4.7634179999999998E-2</v>
      </c>
      <c r="Q1032">
        <v>9.7985249999999996E-2</v>
      </c>
      <c r="R1032">
        <v>-0.99404729999999997</v>
      </c>
      <c r="S1032">
        <v>-3.8330080000000002E-2</v>
      </c>
      <c r="T1032">
        <v>-0.23866309999999999</v>
      </c>
      <c r="U1032">
        <v>-3.0410309999999998</v>
      </c>
      <c r="V1032">
        <v>5.603412E-2</v>
      </c>
      <c r="W1032">
        <v>0.111154999999999</v>
      </c>
      <c r="X1032">
        <v>0.9922221</v>
      </c>
      <c r="Y1032">
        <v>0.1151798</v>
      </c>
      <c r="Z1032">
        <v>7.7356960000000002E-2</v>
      </c>
      <c r="AA1032">
        <v>0.99032799999999999</v>
      </c>
      <c r="AB1032">
        <v>31</v>
      </c>
      <c r="AC1032">
        <v>-4.0999999999996803E-2</v>
      </c>
      <c r="AD1032">
        <v>-6.8264000000000297E-2</v>
      </c>
      <c r="AE1032">
        <v>-0.53350000000000297</v>
      </c>
      <c r="AF1032">
        <v>9.4037959545798896E-2</v>
      </c>
      <c r="AG1032">
        <v>-6.8264000000000297E-2</v>
      </c>
      <c r="AH1032">
        <v>0.51803751544996401</v>
      </c>
      <c r="AI1032">
        <v>97.387492016411898</v>
      </c>
      <c r="AJ1032">
        <v>79.711286471873706</v>
      </c>
      <c r="AK1032">
        <v>0.53091051877421802</v>
      </c>
    </row>
    <row r="1033" spans="1:37" x14ac:dyDescent="0.2">
      <c r="A1033" t="str">
        <f>"20200111150605048"</f>
        <v>20200111150605048</v>
      </c>
      <c r="B1033" t="str">
        <f>"1578726365037669"</f>
        <v>1578726365037669</v>
      </c>
      <c r="C1033" t="s">
        <v>37</v>
      </c>
      <c r="D1033">
        <v>4.4510170000000002</v>
      </c>
      <c r="E1033">
        <v>0.52290170000000002</v>
      </c>
      <c r="F1033" t="s">
        <v>38</v>
      </c>
      <c r="G1033">
        <v>-187.29259999999999</v>
      </c>
      <c r="H1033">
        <v>1.0379350000000001</v>
      </c>
      <c r="I1033">
        <v>187.60079999999999</v>
      </c>
      <c r="J1033">
        <v>-187.2542</v>
      </c>
      <c r="K1033">
        <v>1.0990149999999901</v>
      </c>
      <c r="L1033">
        <v>188.1095</v>
      </c>
      <c r="M1033">
        <v>9.8678890000000005E-2</v>
      </c>
      <c r="N1033">
        <v>0</v>
      </c>
      <c r="O1033">
        <v>-0.99502269999999904</v>
      </c>
      <c r="P1033">
        <v>4.5963230000000001E-2</v>
      </c>
      <c r="Q1033">
        <v>0.1018092</v>
      </c>
      <c r="R1033">
        <v>-0.993741599999999</v>
      </c>
      <c r="S1033">
        <v>-3.9642330000000003E-2</v>
      </c>
      <c r="T1033">
        <v>-0.2247835</v>
      </c>
      <c r="U1033">
        <v>-3.0420069999999999</v>
      </c>
      <c r="V1033">
        <v>5.3540989999999997E-2</v>
      </c>
      <c r="W1033">
        <v>0.11503099999999999</v>
      </c>
      <c r="X1033">
        <v>0.99191799999999997</v>
      </c>
      <c r="Y1033">
        <v>0.11161119999999999</v>
      </c>
      <c r="Z1033">
        <v>7.2919629999999999E-2</v>
      </c>
      <c r="AA1033">
        <v>0.99107299999999998</v>
      </c>
      <c r="AB1033">
        <v>31</v>
      </c>
      <c r="AC1033">
        <v>-3.8399999999995701E-2</v>
      </c>
      <c r="AD1033">
        <v>-6.1079999999999801E-2</v>
      </c>
      <c r="AE1033">
        <v>-0.50870000000000404</v>
      </c>
      <c r="AF1033">
        <v>8.7165776812289403E-2</v>
      </c>
      <c r="AG1033">
        <v>-6.1079999999999801E-2</v>
      </c>
      <c r="AH1033">
        <v>0.49532643466811799</v>
      </c>
      <c r="AI1033">
        <v>96.924461039993005</v>
      </c>
      <c r="AJ1033">
        <v>80.019480698850501</v>
      </c>
      <c r="AK1033">
        <v>0.50663292029665696</v>
      </c>
    </row>
    <row r="1034" spans="1:37" x14ac:dyDescent="0.2">
      <c r="A1034" t="str">
        <f>"20200111150605069"</f>
        <v>20200111150605069</v>
      </c>
      <c r="B1034" t="str">
        <f>"1578726365057914"</f>
        <v>1578726365057914</v>
      </c>
      <c r="C1034" t="s">
        <v>37</v>
      </c>
      <c r="D1034">
        <v>4.4408529999999997</v>
      </c>
      <c r="E1034">
        <v>0.52247069999999995</v>
      </c>
      <c r="F1034" t="s">
        <v>38</v>
      </c>
      <c r="G1034">
        <v>-187.26490000000001</v>
      </c>
      <c r="H1034">
        <v>1.0427360000000001</v>
      </c>
      <c r="I1034">
        <v>187.31700000000001</v>
      </c>
      <c r="J1034">
        <v>-187.22819999999999</v>
      </c>
      <c r="K1034">
        <v>1.0996870000000001</v>
      </c>
      <c r="L1034">
        <v>187.81200000000001</v>
      </c>
      <c r="M1034">
        <v>9.5542559999999999E-2</v>
      </c>
      <c r="N1034">
        <v>0</v>
      </c>
      <c r="O1034">
        <v>-0.99532919999999903</v>
      </c>
      <c r="P1034">
        <v>4.7875639999999997E-2</v>
      </c>
      <c r="Q1034">
        <v>0.10575419999999899</v>
      </c>
      <c r="R1034">
        <v>-0.99323919999999999</v>
      </c>
      <c r="S1034">
        <v>-4.0893550000000001E-2</v>
      </c>
      <c r="T1034">
        <v>-0.21614429999999901</v>
      </c>
      <c r="U1034">
        <v>-3.042923</v>
      </c>
      <c r="V1034">
        <v>4.831506E-2</v>
      </c>
      <c r="W1034">
        <v>0.1190548</v>
      </c>
      <c r="X1034">
        <v>0.99171139999999902</v>
      </c>
      <c r="Y1034">
        <v>0.1088853</v>
      </c>
      <c r="Z1034">
        <v>7.0153439999999997E-2</v>
      </c>
      <c r="AA1034">
        <v>0.99157580000000001</v>
      </c>
      <c r="AB1034">
        <v>31</v>
      </c>
      <c r="AC1034">
        <v>-3.6700000000024602E-2</v>
      </c>
      <c r="AD1034">
        <v>-5.6950999999999898E-2</v>
      </c>
      <c r="AE1034">
        <v>-0.49500000000000399</v>
      </c>
      <c r="AF1034">
        <v>8.2740911146926902E-2</v>
      </c>
      <c r="AG1034">
        <v>-5.6950999999999898E-2</v>
      </c>
      <c r="AH1034">
        <v>0.48287149715712802</v>
      </c>
      <c r="AI1034">
        <v>96.630763403712706</v>
      </c>
      <c r="AJ1034">
        <v>80.276693344078197</v>
      </c>
      <c r="AK1034">
        <v>0.49320822939726899</v>
      </c>
    </row>
    <row r="1035" spans="1:37" x14ac:dyDescent="0.2">
      <c r="A1035" t="str">
        <f>"20200111150605093"</f>
        <v>20200111150605093</v>
      </c>
      <c r="B1035" t="str">
        <f>"1578726365087195"</f>
        <v>1578726365087195</v>
      </c>
      <c r="C1035" t="s">
        <v>37</v>
      </c>
      <c r="D1035">
        <v>4.4899839999999998</v>
      </c>
      <c r="E1035">
        <v>0.52175009999999999</v>
      </c>
      <c r="F1035" t="s">
        <v>38</v>
      </c>
      <c r="G1035">
        <v>-187.2364</v>
      </c>
      <c r="H1035">
        <v>1.046827</v>
      </c>
      <c r="I1035">
        <v>187.0335</v>
      </c>
      <c r="J1035">
        <v>-187.20009999999999</v>
      </c>
      <c r="K1035">
        <v>1.100425</v>
      </c>
      <c r="L1035">
        <v>187.4871</v>
      </c>
      <c r="M1035">
        <v>9.2894229999999994E-2</v>
      </c>
      <c r="N1035">
        <v>0</v>
      </c>
      <c r="O1035">
        <v>-0.99558060000000004</v>
      </c>
      <c r="P1035">
        <v>5.0247239999999999E-2</v>
      </c>
      <c r="Q1035">
        <v>0.10600370000000001</v>
      </c>
      <c r="R1035">
        <v>-0.99309550000000002</v>
      </c>
      <c r="S1035">
        <v>-3.1555180000000002E-2</v>
      </c>
      <c r="T1035">
        <v>-0.20678920000000001</v>
      </c>
      <c r="U1035">
        <v>-3.0439759999999998</v>
      </c>
      <c r="V1035">
        <v>4.3093190000000003E-2</v>
      </c>
      <c r="W1035">
        <v>0.1193805</v>
      </c>
      <c r="X1035">
        <v>0.99191299999999905</v>
      </c>
      <c r="Y1035">
        <v>0.103195</v>
      </c>
      <c r="Z1035">
        <v>6.7155519999999996E-2</v>
      </c>
      <c r="AA1035">
        <v>0.99239149999999998</v>
      </c>
      <c r="AB1035">
        <v>31</v>
      </c>
      <c r="AC1035">
        <v>-3.6300000000011302E-2</v>
      </c>
      <c r="AD1035">
        <v>-5.3598E-2</v>
      </c>
      <c r="AE1035">
        <v>-0.45359999999999401</v>
      </c>
      <c r="AF1035">
        <v>7.72126418285662E-2</v>
      </c>
      <c r="AG1035">
        <v>-5.3598E-2</v>
      </c>
      <c r="AH1035">
        <v>0.442132057066217</v>
      </c>
      <c r="AI1035">
        <v>96.809947896878001</v>
      </c>
      <c r="AJ1035">
        <v>80.093932839568097</v>
      </c>
      <c r="AK1035">
        <v>0.452012492689915</v>
      </c>
    </row>
    <row r="1036" spans="1:37" x14ac:dyDescent="0.2">
      <c r="A1036" t="str">
        <f>"20200111150605115"</f>
        <v>20200111150605115</v>
      </c>
      <c r="B1036" t="str">
        <f>"1578726365107690"</f>
        <v>1578726365107690</v>
      </c>
      <c r="C1036" t="s">
        <v>37</v>
      </c>
      <c r="D1036">
        <v>4.493862</v>
      </c>
      <c r="E1036">
        <v>0.52118209999999998</v>
      </c>
      <c r="F1036" t="s">
        <v>38</v>
      </c>
      <c r="G1036">
        <v>-187.2047</v>
      </c>
      <c r="H1036">
        <v>1.050357</v>
      </c>
      <c r="I1036">
        <v>186.75110000000001</v>
      </c>
      <c r="J1036">
        <v>-187.17240000000001</v>
      </c>
      <c r="K1036">
        <v>1.10111</v>
      </c>
      <c r="L1036">
        <v>187.16720000000001</v>
      </c>
      <c r="M1036">
        <v>9.1154799999999994E-2</v>
      </c>
      <c r="N1036">
        <v>0</v>
      </c>
      <c r="O1036">
        <v>-0.99574200000000002</v>
      </c>
      <c r="P1036">
        <v>5.2197849999999997E-2</v>
      </c>
      <c r="Q1036">
        <v>0.1026691</v>
      </c>
      <c r="R1036">
        <v>-0.99334539999999905</v>
      </c>
      <c r="S1036">
        <v>-1.919556E-2</v>
      </c>
      <c r="T1036">
        <v>-0.20706479999999899</v>
      </c>
      <c r="U1036">
        <v>-3.0439449999999999</v>
      </c>
      <c r="V1036">
        <v>3.9223290000000001E-2</v>
      </c>
      <c r="W1036">
        <v>0.11610379999999999</v>
      </c>
      <c r="X1036">
        <v>0.99246229999999902</v>
      </c>
      <c r="Y1036">
        <v>9.7426509999999994E-2</v>
      </c>
      <c r="Z1036">
        <v>6.7282560000000005E-2</v>
      </c>
      <c r="AA1036">
        <v>0.99296580000000001</v>
      </c>
      <c r="AB1036">
        <v>31</v>
      </c>
      <c r="AC1036">
        <v>-3.2299999999992203E-2</v>
      </c>
      <c r="AD1036">
        <v>-5.0753E-2</v>
      </c>
      <c r="AE1036">
        <v>-0.41610000000000003</v>
      </c>
      <c r="AF1036">
        <v>6.9077058184502604E-2</v>
      </c>
      <c r="AG1036">
        <v>-5.0753E-2</v>
      </c>
      <c r="AH1036">
        <v>0.40542717211221901</v>
      </c>
      <c r="AI1036">
        <v>97.035052629520294</v>
      </c>
      <c r="AJ1036">
        <v>80.330743445208597</v>
      </c>
      <c r="AK1036">
        <v>0.41438954965507502</v>
      </c>
    </row>
    <row r="1037" spans="1:37" x14ac:dyDescent="0.2">
      <c r="A1037" t="str">
        <f>"20200111150605137"</f>
        <v>20200111150605137</v>
      </c>
      <c r="B1037" t="str">
        <f>"1578726365127210"</f>
        <v>1578726365127210</v>
      </c>
      <c r="C1037" t="s">
        <v>37</v>
      </c>
      <c r="D1037">
        <v>4.4851729999999996</v>
      </c>
      <c r="E1037">
        <v>0.52077070000000003</v>
      </c>
      <c r="F1037" t="s">
        <v>38</v>
      </c>
      <c r="G1037">
        <v>-187.1756</v>
      </c>
      <c r="H1037">
        <v>1.0328059999999999</v>
      </c>
      <c r="I1037">
        <v>186.20230000000001</v>
      </c>
      <c r="J1037">
        <v>-187.14439999999999</v>
      </c>
      <c r="K1037">
        <v>1.1017239999999999</v>
      </c>
      <c r="L1037">
        <v>186.84520000000001</v>
      </c>
      <c r="M1037">
        <v>9.0104370000000003E-2</v>
      </c>
      <c r="N1037">
        <v>0</v>
      </c>
      <c r="O1037">
        <v>-0.99583790000000005</v>
      </c>
      <c r="P1037">
        <v>5.3675899999999999E-2</v>
      </c>
      <c r="Q1037">
        <v>0.1006908</v>
      </c>
      <c r="R1037">
        <v>-0.99346889999999999</v>
      </c>
      <c r="S1037">
        <v>-9.7198489999999992E-3</v>
      </c>
      <c r="T1037">
        <v>-0.21545839999999999</v>
      </c>
      <c r="U1037">
        <v>-3.0428769999999998</v>
      </c>
      <c r="V1037">
        <v>3.6531880000000003E-2</v>
      </c>
      <c r="W1037">
        <v>0.11416269999999901</v>
      </c>
      <c r="X1037">
        <v>0.99279019999999996</v>
      </c>
      <c r="Y1037">
        <v>9.3285309999999996E-2</v>
      </c>
      <c r="Z1037">
        <v>7.0045750000000004E-2</v>
      </c>
      <c r="AA1037">
        <v>0.99317239999999996</v>
      </c>
      <c r="AB1037">
        <v>31</v>
      </c>
      <c r="AC1037">
        <v>-3.1200000000012499E-2</v>
      </c>
      <c r="AD1037">
        <v>-6.8917999999999993E-2</v>
      </c>
      <c r="AE1037">
        <v>-0.64289999999999703</v>
      </c>
      <c r="AF1037">
        <v>8.7997758193958095E-2</v>
      </c>
      <c r="AG1037">
        <v>-6.8917999999999993E-2</v>
      </c>
      <c r="AH1037">
        <v>0.63024738033887096</v>
      </c>
      <c r="AI1037">
        <v>96.181051352972005</v>
      </c>
      <c r="AJ1037">
        <v>82.051511043314704</v>
      </c>
      <c r="AK1037">
        <v>0.64008207020285501</v>
      </c>
    </row>
    <row r="1038" spans="1:37" x14ac:dyDescent="0.2">
      <c r="A1038" t="str">
        <f>"20200111150605159"</f>
        <v>20200111150605159</v>
      </c>
      <c r="B1038" t="str">
        <f>"1578726365147485"</f>
        <v>1578726365147485</v>
      </c>
      <c r="C1038" t="s">
        <v>37</v>
      </c>
      <c r="D1038">
        <v>4.4861240000000002</v>
      </c>
      <c r="E1038">
        <v>0.52029479999999995</v>
      </c>
      <c r="F1038" t="s">
        <v>38</v>
      </c>
      <c r="G1038">
        <v>-187.14510000000001</v>
      </c>
      <c r="H1038">
        <v>1.035037</v>
      </c>
      <c r="I1038">
        <v>185.92269999999999</v>
      </c>
      <c r="J1038">
        <v>-187.11879999999999</v>
      </c>
      <c r="K1038">
        <v>1.1021829999999999</v>
      </c>
      <c r="L1038">
        <v>186.55359999999999</v>
      </c>
      <c r="M1038">
        <v>8.9610270000000006E-2</v>
      </c>
      <c r="N1038">
        <v>0</v>
      </c>
      <c r="O1038">
        <v>-0.99588330000000003</v>
      </c>
      <c r="P1038">
        <v>5.465631E-2</v>
      </c>
      <c r="Q1038">
        <v>0.1015065</v>
      </c>
      <c r="R1038">
        <v>-0.99333269999999996</v>
      </c>
      <c r="S1038">
        <v>-1.876831E-3</v>
      </c>
      <c r="T1038">
        <v>-0.21999539999999901</v>
      </c>
      <c r="U1038">
        <v>-3.04211399999999</v>
      </c>
      <c r="V1038">
        <v>3.4923349999999999E-2</v>
      </c>
      <c r="W1038">
        <v>0.1149931</v>
      </c>
      <c r="X1038">
        <v>0.99275219999999897</v>
      </c>
      <c r="Y1038">
        <v>9.0230999999999895E-2</v>
      </c>
      <c r="Z1038">
        <v>7.1546170000000006E-2</v>
      </c>
      <c r="AA1038">
        <v>0.9933476</v>
      </c>
      <c r="AB1038">
        <v>31</v>
      </c>
      <c r="AC1038">
        <v>-2.6300000000020401E-2</v>
      </c>
      <c r="AD1038">
        <v>-6.71459999999999E-2</v>
      </c>
      <c r="AE1038">
        <v>-0.63089999999999602</v>
      </c>
      <c r="AF1038">
        <v>8.1809505525380605E-2</v>
      </c>
      <c r="AG1038">
        <v>-6.71459999999999E-2</v>
      </c>
      <c r="AH1038">
        <v>0.61900501005369402</v>
      </c>
      <c r="AI1038">
        <v>96.137939737186102</v>
      </c>
      <c r="AJ1038">
        <v>82.471255474358102</v>
      </c>
      <c r="AK1038">
        <v>0.62798772518408497</v>
      </c>
    </row>
    <row r="1039" spans="1:37" x14ac:dyDescent="0.2">
      <c r="A1039" t="str">
        <f>"20200111150605180"</f>
        <v>20200111150605180</v>
      </c>
      <c r="B1039" t="str">
        <f>"1578726365177735"</f>
        <v>1578726365177735</v>
      </c>
      <c r="C1039" t="s">
        <v>37</v>
      </c>
      <c r="D1039">
        <v>4.4992559999999999</v>
      </c>
      <c r="E1039">
        <v>0.5195805</v>
      </c>
      <c r="F1039" t="s">
        <v>38</v>
      </c>
      <c r="G1039">
        <v>-187.1172</v>
      </c>
      <c r="H1039">
        <v>1.0367189999999999</v>
      </c>
      <c r="I1039">
        <v>185.64340000000001</v>
      </c>
      <c r="J1039">
        <v>-187.09219999999999</v>
      </c>
      <c r="K1039">
        <v>1.1025639999999901</v>
      </c>
      <c r="L1039">
        <v>186.25360000000001</v>
      </c>
      <c r="M1039">
        <v>8.9447860000000004E-2</v>
      </c>
      <c r="N1039">
        <v>0</v>
      </c>
      <c r="O1039">
        <v>-0.995897899999999</v>
      </c>
      <c r="P1039">
        <v>5.6234079999999999E-2</v>
      </c>
      <c r="Q1039">
        <v>0.1045132</v>
      </c>
      <c r="R1039">
        <v>-0.99293229999999999</v>
      </c>
      <c r="S1039">
        <v>5.4016109999999997E-3</v>
      </c>
      <c r="T1039">
        <v>-0.218862799999999</v>
      </c>
      <c r="U1039">
        <v>-3.0421909999999999</v>
      </c>
      <c r="V1039">
        <v>3.3056120000000001E-2</v>
      </c>
      <c r="W1039">
        <v>0.11800039999999901</v>
      </c>
      <c r="X1039">
        <v>0.99246319999999999</v>
      </c>
      <c r="Y1039">
        <v>8.7691690000000003E-2</v>
      </c>
      <c r="Z1039">
        <v>7.1187630000000002E-2</v>
      </c>
      <c r="AA1039">
        <v>0.99360079999999995</v>
      </c>
      <c r="AB1039">
        <v>31</v>
      </c>
      <c r="AC1039">
        <v>-2.5000000000005601E-2</v>
      </c>
      <c r="AD1039">
        <v>-6.5844999999999904E-2</v>
      </c>
      <c r="AE1039">
        <v>-0.61019999999999097</v>
      </c>
      <c r="AF1039">
        <v>7.8572578352868502E-2</v>
      </c>
      <c r="AG1039">
        <v>-6.5844999999999904E-2</v>
      </c>
      <c r="AH1039">
        <v>0.59855922666119898</v>
      </c>
      <c r="AI1039">
        <v>96.224651113762803</v>
      </c>
      <c r="AJ1039">
        <v>82.521570601164996</v>
      </c>
      <c r="AK1039">
        <v>0.60727453586929703</v>
      </c>
    </row>
    <row r="1040" spans="1:37" x14ac:dyDescent="0.2">
      <c r="A1040" t="str">
        <f>"20200111150605205"</f>
        <v>20200111150605205</v>
      </c>
      <c r="B1040" t="str">
        <f>"1578726365197254"</f>
        <v>1578726365197254</v>
      </c>
      <c r="C1040" t="s">
        <v>37</v>
      </c>
      <c r="D1040">
        <v>4.5041570000000002</v>
      </c>
      <c r="E1040">
        <v>0.51920219999999995</v>
      </c>
      <c r="F1040" t="s">
        <v>38</v>
      </c>
      <c r="G1040">
        <v>-187.08770000000001</v>
      </c>
      <c r="H1040">
        <v>1.0410520000000001</v>
      </c>
      <c r="I1040">
        <v>185.3631</v>
      </c>
      <c r="J1040">
        <v>-187.0624</v>
      </c>
      <c r="K1040">
        <v>1.10287</v>
      </c>
      <c r="L1040">
        <v>185.91849999999999</v>
      </c>
      <c r="M1040">
        <v>8.9540300000000003E-2</v>
      </c>
      <c r="N1040">
        <v>0</v>
      </c>
      <c r="O1040">
        <v>-0.9958901</v>
      </c>
      <c r="P1040">
        <v>5.7754649999999998E-2</v>
      </c>
      <c r="Q1040">
        <v>0.1085404</v>
      </c>
      <c r="R1040">
        <v>-0.99241259999999998</v>
      </c>
      <c r="S1040">
        <v>1.596069E-2</v>
      </c>
      <c r="T1040">
        <v>-0.21029149999999999</v>
      </c>
      <c r="U1040">
        <v>-3.0425869999999899</v>
      </c>
      <c r="V1040">
        <v>3.150617E-2</v>
      </c>
      <c r="W1040">
        <v>0.122014699999999</v>
      </c>
      <c r="X1040">
        <v>0.99202809999999897</v>
      </c>
      <c r="Y1040">
        <v>8.4334720000000002E-2</v>
      </c>
      <c r="Z1040">
        <v>6.8413089999999996E-2</v>
      </c>
      <c r="AA1040">
        <v>0.99408609999999897</v>
      </c>
      <c r="AB1040">
        <v>31</v>
      </c>
      <c r="AC1040">
        <v>-2.5300000000015602E-2</v>
      </c>
      <c r="AD1040">
        <v>-6.1817999999999901E-2</v>
      </c>
      <c r="AE1040">
        <v>-0.55539999999999101</v>
      </c>
      <c r="AF1040">
        <v>7.4018571428573002E-2</v>
      </c>
      <c r="AG1040">
        <v>-6.1817999999999901E-2</v>
      </c>
      <c r="AH1040">
        <v>0.54417552545002801</v>
      </c>
      <c r="AI1040">
        <v>96.422343621487599</v>
      </c>
      <c r="AJ1040">
        <v>82.254183325000497</v>
      </c>
      <c r="AK1040">
        <v>0.55265469919212795</v>
      </c>
    </row>
    <row r="1041" spans="1:37" x14ac:dyDescent="0.2">
      <c r="A1041" t="str">
        <f>"20200111150605227"</f>
        <v>20200111150605227</v>
      </c>
      <c r="B1041" t="str">
        <f>"1578726365217750"</f>
        <v>1578726365217750</v>
      </c>
      <c r="C1041" t="s">
        <v>37</v>
      </c>
      <c r="D1041">
        <v>4.4838680000000002</v>
      </c>
      <c r="E1041">
        <v>0.51880749999999998</v>
      </c>
      <c r="F1041" t="s">
        <v>38</v>
      </c>
      <c r="G1041">
        <v>-187.0558</v>
      </c>
      <c r="H1041">
        <v>1.0482129999999901</v>
      </c>
      <c r="I1041">
        <v>185.08029999999999</v>
      </c>
      <c r="J1041">
        <v>-187.0343</v>
      </c>
      <c r="K1041">
        <v>1.1030739999999899</v>
      </c>
      <c r="L1041">
        <v>185.6061</v>
      </c>
      <c r="M1041">
        <v>8.9762499999999995E-2</v>
      </c>
      <c r="N1041">
        <v>0</v>
      </c>
      <c r="O1041">
        <v>-0.99587039999999905</v>
      </c>
      <c r="P1041">
        <v>5.9735209999999997E-2</v>
      </c>
      <c r="Q1041">
        <v>0.1104837</v>
      </c>
      <c r="R1041">
        <v>-0.99208099999999999</v>
      </c>
      <c r="S1041">
        <v>2.3971559999999999E-2</v>
      </c>
      <c r="T1041">
        <v>-0.19850599999999999</v>
      </c>
      <c r="U1041">
        <v>-3.0432589999999999</v>
      </c>
      <c r="V1041">
        <v>2.9669230000000001E-2</v>
      </c>
      <c r="W1041">
        <v>0.1239474</v>
      </c>
      <c r="X1041">
        <v>0.99184509999999904</v>
      </c>
      <c r="Y1041">
        <v>8.1939319999999996E-2</v>
      </c>
      <c r="Z1041">
        <v>6.4585500000000004E-2</v>
      </c>
      <c r="AA1041">
        <v>0.99454240000000005</v>
      </c>
      <c r="AB1041">
        <v>31</v>
      </c>
      <c r="AC1041">
        <v>-2.15000000000031E-2</v>
      </c>
      <c r="AD1041">
        <v>-5.4861E-2</v>
      </c>
      <c r="AE1041">
        <v>-0.52580000000000304</v>
      </c>
      <c r="AF1041">
        <v>6.7876971954005105E-2</v>
      </c>
      <c r="AG1041">
        <v>-5.4861E-2</v>
      </c>
      <c r="AH1041">
        <v>0.51613745921177401</v>
      </c>
      <c r="AI1041">
        <v>96.015857321849495</v>
      </c>
      <c r="AJ1041">
        <v>82.508054509516896</v>
      </c>
      <c r="AK1041">
        <v>0.52346431534941396</v>
      </c>
    </row>
    <row r="1042" spans="1:37" x14ac:dyDescent="0.2">
      <c r="A1042" t="str">
        <f>"20200111150605248"</f>
        <v>20200111150605248</v>
      </c>
      <c r="B1042" t="str">
        <f>"1578726365237270"</f>
        <v>1578726365237270</v>
      </c>
      <c r="C1042" t="s">
        <v>37</v>
      </c>
      <c r="D1042">
        <v>4.6094010000000001</v>
      </c>
      <c r="E1042">
        <v>0.51841819999999905</v>
      </c>
      <c r="F1042" t="s">
        <v>38</v>
      </c>
      <c r="G1042">
        <v>-187.0257</v>
      </c>
      <c r="H1042">
        <v>1.051417</v>
      </c>
      <c r="I1042">
        <v>184.7997</v>
      </c>
      <c r="J1042">
        <v>-187.00810000000001</v>
      </c>
      <c r="K1042">
        <v>1.1032040000000001</v>
      </c>
      <c r="L1042">
        <v>185.3152</v>
      </c>
      <c r="M1042">
        <v>9.0008980000000002E-2</v>
      </c>
      <c r="N1042">
        <v>0</v>
      </c>
      <c r="O1042">
        <v>-0.99584859999999897</v>
      </c>
      <c r="P1042">
        <v>6.2801590000000004E-2</v>
      </c>
      <c r="Q1042">
        <v>0.10913440000000001</v>
      </c>
      <c r="R1042">
        <v>-0.99204119999999996</v>
      </c>
      <c r="S1042">
        <v>3.2745360000000001E-2</v>
      </c>
      <c r="T1042">
        <v>-0.19507659999999999</v>
      </c>
      <c r="U1042">
        <v>-3.0437159999999999</v>
      </c>
      <c r="V1042">
        <v>2.681853E-2</v>
      </c>
      <c r="W1042">
        <v>0.12259589999999899</v>
      </c>
      <c r="X1042">
        <v>0.99209429999999998</v>
      </c>
      <c r="Y1042">
        <v>7.9319490000000006E-2</v>
      </c>
      <c r="Z1042">
        <v>6.3468629999999998E-2</v>
      </c>
      <c r="AA1042">
        <v>0.99482669999999995</v>
      </c>
      <c r="AB1042">
        <v>31</v>
      </c>
      <c r="AC1042">
        <v>-1.75999999999874E-2</v>
      </c>
      <c r="AD1042">
        <v>-5.1787E-2</v>
      </c>
      <c r="AE1042">
        <v>-0.51550000000000296</v>
      </c>
      <c r="AF1042">
        <v>6.3294411326259806E-2</v>
      </c>
      <c r="AG1042">
        <v>-5.1787E-2</v>
      </c>
      <c r="AH1042">
        <v>0.50671497709179303</v>
      </c>
      <c r="AI1042">
        <v>95.790758197128099</v>
      </c>
      <c r="AJ1042">
        <v>82.879989346040205</v>
      </c>
      <c r="AK1042">
        <v>0.51327199795359402</v>
      </c>
    </row>
    <row r="1043" spans="1:37" x14ac:dyDescent="0.2">
      <c r="A1043" t="str">
        <f>"20200111150605271"</f>
        <v>20200111150605271</v>
      </c>
      <c r="B1043" t="str">
        <f>"1578726365267526"</f>
        <v>1578726365267526</v>
      </c>
      <c r="C1043" t="s">
        <v>37</v>
      </c>
      <c r="D1043">
        <v>4.659205</v>
      </c>
      <c r="E1043">
        <v>0.51794119999999999</v>
      </c>
      <c r="F1043" t="s">
        <v>38</v>
      </c>
      <c r="G1043">
        <v>-186.99639999999999</v>
      </c>
      <c r="H1043">
        <v>1.0511569999999999</v>
      </c>
      <c r="I1043">
        <v>184.5223</v>
      </c>
      <c r="J1043">
        <v>-186.97900000000001</v>
      </c>
      <c r="K1043">
        <v>1.1033120000000001</v>
      </c>
      <c r="L1043">
        <v>184.9941</v>
      </c>
      <c r="M1043">
        <v>9.0262690000000007E-2</v>
      </c>
      <c r="N1043">
        <v>0</v>
      </c>
      <c r="O1043">
        <v>-0.99582569999999904</v>
      </c>
      <c r="P1043">
        <v>6.7133180000000001E-2</v>
      </c>
      <c r="Q1043">
        <v>0.105700399999999</v>
      </c>
      <c r="R1043">
        <v>-0.99212939999999905</v>
      </c>
      <c r="S1043">
        <v>4.475403E-2</v>
      </c>
      <c r="T1043">
        <v>-0.19977919999999999</v>
      </c>
      <c r="U1043">
        <v>-3.0432130000000002</v>
      </c>
      <c r="V1043">
        <v>2.2733340000000001E-2</v>
      </c>
      <c r="W1043">
        <v>0.1191627</v>
      </c>
      <c r="X1043">
        <v>0.99261440000000001</v>
      </c>
      <c r="Y1043">
        <v>7.5647640000000002E-2</v>
      </c>
      <c r="Z1043">
        <v>6.5008380000000004E-2</v>
      </c>
      <c r="AA1043">
        <v>0.99501319999999904</v>
      </c>
      <c r="AB1043">
        <v>31</v>
      </c>
      <c r="AC1043">
        <v>-1.7399999999980698E-2</v>
      </c>
      <c r="AD1043">
        <v>-5.2155000000000097E-2</v>
      </c>
      <c r="AE1043">
        <v>-0.471800000000001</v>
      </c>
      <c r="AF1043">
        <v>5.9196406230467201E-2</v>
      </c>
      <c r="AG1043">
        <v>-5.2155000000000097E-2</v>
      </c>
      <c r="AH1043">
        <v>0.46265698690575902</v>
      </c>
      <c r="AI1043">
        <v>96.3801818104143</v>
      </c>
      <c r="AJ1043">
        <v>82.708689972359906</v>
      </c>
      <c r="AK1043">
        <v>0.46933553676268502</v>
      </c>
    </row>
    <row r="1044" spans="1:37" x14ac:dyDescent="0.2">
      <c r="A1044" t="str">
        <f>"20200111150605292"</f>
        <v>20200111150605292</v>
      </c>
      <c r="B1044" t="str">
        <f>"1578726365287046"</f>
        <v>1578726365287046</v>
      </c>
      <c r="C1044" t="s">
        <v>37</v>
      </c>
      <c r="D1044">
        <v>4.5742609999999999</v>
      </c>
      <c r="E1044">
        <v>0.5175457</v>
      </c>
      <c r="F1044" t="s">
        <v>38</v>
      </c>
      <c r="G1044">
        <v>-186.9641</v>
      </c>
      <c r="H1044">
        <v>1.0507759999999999</v>
      </c>
      <c r="I1044">
        <v>184.24529999999999</v>
      </c>
      <c r="J1044">
        <v>-186.95160000000001</v>
      </c>
      <c r="K1044">
        <v>1.103389</v>
      </c>
      <c r="L1044">
        <v>184.69229999999999</v>
      </c>
      <c r="M1044">
        <v>9.0462009999999995E-2</v>
      </c>
      <c r="N1044">
        <v>0</v>
      </c>
      <c r="O1044">
        <v>-0.99580789999999997</v>
      </c>
      <c r="P1044">
        <v>7.0921200000000004E-2</v>
      </c>
      <c r="Q1044">
        <v>0.1025049</v>
      </c>
      <c r="R1044">
        <v>-0.99220149999999996</v>
      </c>
      <c r="S1044">
        <v>6.1050420000000001E-2</v>
      </c>
      <c r="T1044">
        <v>-0.21353699999999901</v>
      </c>
      <c r="U1044">
        <v>-3.0424349999999998</v>
      </c>
      <c r="V1044">
        <v>1.9144999999999999E-2</v>
      </c>
      <c r="W1044">
        <v>0.1159674</v>
      </c>
      <c r="X1044">
        <v>0.99306849999999902</v>
      </c>
      <c r="Y1044">
        <v>7.0520529999999998E-2</v>
      </c>
      <c r="Z1044">
        <v>6.9489770000000006E-2</v>
      </c>
      <c r="AA1044">
        <v>0.99508700000000005</v>
      </c>
      <c r="AB1044">
        <v>31</v>
      </c>
      <c r="AC1044">
        <v>-1.24999999999886E-2</v>
      </c>
      <c r="AD1044">
        <v>-5.2613E-2</v>
      </c>
      <c r="AE1044">
        <v>-0.44700000000000201</v>
      </c>
      <c r="AF1044">
        <v>5.2166815889355803E-2</v>
      </c>
      <c r="AG1044">
        <v>-5.2613E-2</v>
      </c>
      <c r="AH1044">
        <v>0.43797316129833702</v>
      </c>
      <c r="AI1044">
        <v>96.802395797380697</v>
      </c>
      <c r="AJ1044">
        <v>83.207522819389197</v>
      </c>
      <c r="AK1044">
        <v>0.44419589649916102</v>
      </c>
    </row>
    <row r="1045" spans="1:37" x14ac:dyDescent="0.2">
      <c r="A1045" t="str">
        <f>"20200111150605316"</f>
        <v>20200111150605316</v>
      </c>
      <c r="B1045" t="str">
        <f>"1578726365307542"</f>
        <v>1578726365307542</v>
      </c>
      <c r="C1045" t="s">
        <v>37</v>
      </c>
      <c r="D1045">
        <v>4.6688510000000001</v>
      </c>
      <c r="E1045">
        <v>0.51757419999999998</v>
      </c>
      <c r="F1045" t="s">
        <v>38</v>
      </c>
      <c r="G1045">
        <v>-186.92699999999999</v>
      </c>
      <c r="H1045">
        <v>1.030686</v>
      </c>
      <c r="I1045">
        <v>183.70240000000001</v>
      </c>
      <c r="J1045">
        <v>-186.92140000000001</v>
      </c>
      <c r="K1045">
        <v>1.1034440000000001</v>
      </c>
      <c r="L1045">
        <v>184.36160000000001</v>
      </c>
      <c r="M1045">
        <v>9.0645400000000001E-2</v>
      </c>
      <c r="N1045">
        <v>0</v>
      </c>
      <c r="O1045">
        <v>-0.99579130000000005</v>
      </c>
      <c r="P1045">
        <v>7.2321040000000003E-2</v>
      </c>
      <c r="Q1045">
        <v>0.1002593</v>
      </c>
      <c r="R1045">
        <v>-0.99232969999999898</v>
      </c>
      <c r="S1045">
        <v>7.582092E-2</v>
      </c>
      <c r="T1045">
        <v>-0.22345389999999901</v>
      </c>
      <c r="U1045">
        <v>-3.041229</v>
      </c>
      <c r="V1045">
        <v>1.793084E-2</v>
      </c>
      <c r="W1045">
        <v>0.1137193</v>
      </c>
      <c r="X1045">
        <v>0.99335110000000004</v>
      </c>
      <c r="Y1045">
        <v>6.5870929999999994E-2</v>
      </c>
      <c r="Z1045">
        <v>7.2734640000000003E-2</v>
      </c>
      <c r="AA1045">
        <v>0.99517369999999905</v>
      </c>
      <c r="AB1045">
        <v>31</v>
      </c>
      <c r="AC1045">
        <v>-5.6000000000153696E-3</v>
      </c>
      <c r="AD1045">
        <v>-7.27580000000001E-2</v>
      </c>
      <c r="AE1045">
        <v>-0.65919999999999801</v>
      </c>
      <c r="AF1045">
        <v>6.4549559277746693E-2</v>
      </c>
      <c r="AG1045">
        <v>-7.27580000000001E-2</v>
      </c>
      <c r="AH1045">
        <v>0.64808352913413003</v>
      </c>
      <c r="AI1045">
        <v>96.3742910732703</v>
      </c>
      <c r="AJ1045">
        <v>84.3120606600298</v>
      </c>
      <c r="AK1045">
        <v>0.65534161542046199</v>
      </c>
    </row>
    <row r="1046" spans="1:37" x14ac:dyDescent="0.2">
      <c r="A1046" t="str">
        <f>"20200111150605338"</f>
        <v>20200111150605338</v>
      </c>
      <c r="B1046" t="str">
        <f>"1578726365327062"</f>
        <v>1578726365327062</v>
      </c>
      <c r="C1046" t="s">
        <v>37</v>
      </c>
      <c r="D1046">
        <v>4.6284799999999997</v>
      </c>
      <c r="E1046">
        <v>0.53610360000000001</v>
      </c>
      <c r="F1046" t="s">
        <v>38</v>
      </c>
      <c r="G1046">
        <v>-186.8964</v>
      </c>
      <c r="H1046">
        <v>1.0328120000000001</v>
      </c>
      <c r="I1046">
        <v>183.4247</v>
      </c>
      <c r="J1046">
        <v>-186.89269999999999</v>
      </c>
      <c r="K1046">
        <v>1.1034729999999999</v>
      </c>
      <c r="L1046">
        <v>184.0478</v>
      </c>
      <c r="M1046">
        <v>9.080365E-2</v>
      </c>
      <c r="N1046">
        <v>0</v>
      </c>
      <c r="O1046">
        <v>-0.99577689999999996</v>
      </c>
      <c r="P1046">
        <v>7.1981329999999996E-2</v>
      </c>
      <c r="Q1046">
        <v>9.8997849999999998E-2</v>
      </c>
      <c r="R1046">
        <v>-0.99248099999999995</v>
      </c>
      <c r="S1046">
        <v>8.1466670000000005E-2</v>
      </c>
      <c r="T1046">
        <v>-0.22927329999999899</v>
      </c>
      <c r="U1046">
        <v>-3.0404049999999998</v>
      </c>
      <c r="V1046">
        <v>1.843245E-2</v>
      </c>
      <c r="W1046">
        <v>0.11245429999999999</v>
      </c>
      <c r="X1046">
        <v>0.99348590000000003</v>
      </c>
      <c r="Y1046">
        <v>6.4179760000000002E-2</v>
      </c>
      <c r="Z1046">
        <v>7.4639189999999994E-2</v>
      </c>
      <c r="AA1046">
        <v>0.99514319999999901</v>
      </c>
      <c r="AB1046">
        <v>31</v>
      </c>
      <c r="AC1046">
        <v>-3.70000000000914E-3</v>
      </c>
      <c r="AD1046">
        <v>-7.0660999999999793E-2</v>
      </c>
      <c r="AE1046">
        <v>-0.62309999999999299</v>
      </c>
      <c r="AF1046">
        <v>5.9504440097311498E-2</v>
      </c>
      <c r="AG1046">
        <v>-7.0660999999999793E-2</v>
      </c>
      <c r="AH1046">
        <v>0.61231523002195898</v>
      </c>
      <c r="AI1046">
        <v>96.552202160982802</v>
      </c>
      <c r="AJ1046">
        <v>84.449458290368895</v>
      </c>
      <c r="AK1046">
        <v>0.61924445595349398</v>
      </c>
    </row>
    <row r="1047" spans="1:37" x14ac:dyDescent="0.2">
      <c r="A1047" t="str">
        <f>"20200111150605360"</f>
        <v>20200111150605360</v>
      </c>
      <c r="B1047" t="str">
        <f>"1578726365357691"</f>
        <v>1578726365357691</v>
      </c>
      <c r="C1047" t="s">
        <v>37</v>
      </c>
      <c r="D1047">
        <v>4.6468339999999904</v>
      </c>
      <c r="E1047">
        <v>0.54392109999999905</v>
      </c>
      <c r="F1047" t="s">
        <v>39</v>
      </c>
      <c r="G1047">
        <v>-189.35769999999999</v>
      </c>
      <c r="H1047" s="1">
        <v>-1.946849E-6</v>
      </c>
      <c r="I1047">
        <v>73.905330000000006</v>
      </c>
      <c r="J1047">
        <v>-186.8665</v>
      </c>
      <c r="K1047">
        <v>1.103486</v>
      </c>
      <c r="L1047">
        <v>183.7619</v>
      </c>
      <c r="M1047">
        <v>9.094207E-2</v>
      </c>
      <c r="N1047">
        <v>0</v>
      </c>
      <c r="O1047">
        <v>-0.99576430000000005</v>
      </c>
      <c r="P1047">
        <v>7.1006959999999994E-2</v>
      </c>
      <c r="Q1047">
        <v>9.8652009999999998E-2</v>
      </c>
      <c r="R1047">
        <v>-0.99258519999999995</v>
      </c>
      <c r="S1047">
        <v>-6.7825319999999995E-2</v>
      </c>
      <c r="T1047">
        <v>-3.0362960000000001E-2</v>
      </c>
      <c r="U1047">
        <v>-3.0306549999999999</v>
      </c>
      <c r="V1047">
        <v>1.9546020000000001E-2</v>
      </c>
      <c r="W1047">
        <v>0.1121051</v>
      </c>
      <c r="X1047">
        <v>0.993504099999999</v>
      </c>
      <c r="Y1047">
        <v>0.1132079</v>
      </c>
      <c r="Z1047">
        <v>9.9223680000000009E-3</v>
      </c>
      <c r="AA1047">
        <v>0.99352169999999895</v>
      </c>
      <c r="AB1047">
        <v>31</v>
      </c>
      <c r="AC1047">
        <v>-2.4911999999999899</v>
      </c>
      <c r="AD1047">
        <v>-1.103487946849</v>
      </c>
      <c r="AE1047">
        <v>-109.856569999999</v>
      </c>
      <c r="AF1047">
        <v>12.471115504129401</v>
      </c>
      <c r="AG1047">
        <v>-1.103487946849</v>
      </c>
      <c r="AH1047">
        <v>109.163676764469</v>
      </c>
      <c r="AI1047">
        <v>90.575415753520701</v>
      </c>
      <c r="AJ1047">
        <v>83.482650539835205</v>
      </c>
      <c r="AK1047">
        <v>109.87927344273599</v>
      </c>
    </row>
    <row r="1048" spans="1:37" x14ac:dyDescent="0.2">
      <c r="A1048" t="str">
        <f>"20200111150605384"</f>
        <v>20200111150605384</v>
      </c>
      <c r="B1048" t="str">
        <f>"1578726365377211"</f>
        <v>1578726365377211</v>
      </c>
      <c r="C1048" t="s">
        <v>37</v>
      </c>
      <c r="D1048">
        <v>4.6632110000000004</v>
      </c>
      <c r="E1048">
        <v>0.54336329999999999</v>
      </c>
      <c r="F1048" t="s">
        <v>38</v>
      </c>
      <c r="G1048">
        <v>-186.90559999999999</v>
      </c>
      <c r="H1048">
        <v>1.0413269999999999</v>
      </c>
      <c r="I1048">
        <v>182.85910000000001</v>
      </c>
      <c r="J1048">
        <v>-186.83699999999999</v>
      </c>
      <c r="K1048">
        <v>1.1034919999999999</v>
      </c>
      <c r="L1048">
        <v>183.44059999999999</v>
      </c>
      <c r="M1048">
        <v>9.1094419999999995E-2</v>
      </c>
      <c r="N1048">
        <v>0</v>
      </c>
      <c r="O1048">
        <v>-0.99575069999999999</v>
      </c>
      <c r="P1048">
        <v>7.017487E-2</v>
      </c>
      <c r="Q1048">
        <v>9.8332290000000003E-2</v>
      </c>
      <c r="R1048">
        <v>-0.99267669999999997</v>
      </c>
      <c r="S1048">
        <v>-0.13180539999999999</v>
      </c>
      <c r="T1048">
        <v>-0.21024970000000001</v>
      </c>
      <c r="U1048">
        <v>-3.05271899999999</v>
      </c>
      <c r="V1048">
        <v>2.053224E-2</v>
      </c>
      <c r="W1048">
        <v>0.11178099999999901</v>
      </c>
      <c r="X1048">
        <v>0.99352070000000003</v>
      </c>
      <c r="Y1048">
        <v>0.13387370000000001</v>
      </c>
      <c r="Z1048">
        <v>6.7940699999999896E-2</v>
      </c>
      <c r="AA1048">
        <v>0.98866669999999901</v>
      </c>
      <c r="AB1048">
        <v>31</v>
      </c>
      <c r="AC1048">
        <v>-6.8599999999975098E-2</v>
      </c>
      <c r="AD1048">
        <v>-6.2164999999999797E-2</v>
      </c>
      <c r="AE1048">
        <v>-0.58149999999997704</v>
      </c>
      <c r="AF1048">
        <v>0.1199390437748</v>
      </c>
      <c r="AG1048">
        <v>-6.2164999999999797E-2</v>
      </c>
      <c r="AH1048">
        <v>0.56644735224634901</v>
      </c>
      <c r="AI1048">
        <v>96.128088438191796</v>
      </c>
      <c r="AJ1048">
        <v>78.0448207560909</v>
      </c>
      <c r="AK1048">
        <v>0.58233363659805204</v>
      </c>
    </row>
    <row r="1049" spans="1:37" x14ac:dyDescent="0.2">
      <c r="A1049" t="str">
        <f>"20200111150605406"</f>
        <v>20200111150605406</v>
      </c>
      <c r="B1049" t="str">
        <f>"1578726365397707"</f>
        <v>1578726365397707</v>
      </c>
      <c r="C1049" t="s">
        <v>37</v>
      </c>
      <c r="D1049">
        <v>4.6744859999999999</v>
      </c>
      <c r="E1049">
        <v>0.54279869999999997</v>
      </c>
      <c r="F1049" t="s">
        <v>38</v>
      </c>
      <c r="G1049">
        <v>-186.87360000000001</v>
      </c>
      <c r="H1049">
        <v>1.040629</v>
      </c>
      <c r="I1049">
        <v>182.5847</v>
      </c>
      <c r="J1049">
        <v>-186.8081</v>
      </c>
      <c r="K1049">
        <v>1.1034919999999999</v>
      </c>
      <c r="L1049">
        <v>183.12620000000001</v>
      </c>
      <c r="M1049">
        <v>9.1239570000000006E-2</v>
      </c>
      <c r="N1049">
        <v>0</v>
      </c>
      <c r="O1049">
        <v>-0.99573750000000005</v>
      </c>
      <c r="P1049">
        <v>6.9037570000000006E-2</v>
      </c>
      <c r="Q1049">
        <v>9.7485879999999997E-2</v>
      </c>
      <c r="R1049">
        <v>-0.9928399</v>
      </c>
      <c r="S1049">
        <v>-0.12960819999999901</v>
      </c>
      <c r="T1049">
        <v>-0.22440589999999899</v>
      </c>
      <c r="U1049">
        <v>-3.053528</v>
      </c>
      <c r="V1049">
        <v>2.1823160000000001E-2</v>
      </c>
      <c r="W1049">
        <v>0.1109323</v>
      </c>
      <c r="X1049">
        <v>0.99358829999999998</v>
      </c>
      <c r="Y1049">
        <v>0.13328299999999901</v>
      </c>
      <c r="Z1049">
        <v>7.2474919999999998E-2</v>
      </c>
      <c r="AA1049">
        <v>0.98842450000000004</v>
      </c>
      <c r="AB1049">
        <v>31</v>
      </c>
      <c r="AC1049">
        <v>-6.5500000000014297E-2</v>
      </c>
      <c r="AD1049">
        <v>-6.2862999999999794E-2</v>
      </c>
      <c r="AE1049">
        <v>-0.54150000000001297</v>
      </c>
      <c r="AF1049">
        <v>0.113134745620747</v>
      </c>
      <c r="AG1049">
        <v>-6.2862999999999794E-2</v>
      </c>
      <c r="AH1049">
        <v>0.52627392302338505</v>
      </c>
      <c r="AI1049">
        <v>96.660901709141498</v>
      </c>
      <c r="AJ1049">
        <v>77.867592066940901</v>
      </c>
      <c r="AK1049">
        <v>0.54195522830774001</v>
      </c>
    </row>
    <row r="1050" spans="1:37" x14ac:dyDescent="0.2">
      <c r="A1050" t="str">
        <f>"20200111150605427"</f>
        <v>20200111150605427</v>
      </c>
      <c r="B1050" t="str">
        <f>"1578726365417230"</f>
        <v>1578726365417230</v>
      </c>
      <c r="C1050" t="s">
        <v>37</v>
      </c>
      <c r="D1050">
        <v>4.6596310000000001</v>
      </c>
      <c r="E1050">
        <v>0.5419273</v>
      </c>
      <c r="F1050" t="s">
        <v>38</v>
      </c>
      <c r="G1050">
        <v>-186.8426</v>
      </c>
      <c r="H1050">
        <v>1.041261</v>
      </c>
      <c r="I1050">
        <v>182.309</v>
      </c>
      <c r="J1050">
        <v>-186.78030000000001</v>
      </c>
      <c r="K1050">
        <v>1.1034949999999999</v>
      </c>
      <c r="L1050">
        <v>182.82419999999999</v>
      </c>
      <c r="M1050">
        <v>9.1371869999999994E-2</v>
      </c>
      <c r="N1050">
        <v>0</v>
      </c>
      <c r="O1050">
        <v>-0.99572530000000004</v>
      </c>
      <c r="P1050">
        <v>6.7718159999999999E-2</v>
      </c>
      <c r="Q1050">
        <v>9.7073759999999995E-2</v>
      </c>
      <c r="R1050">
        <v>-0.99297119999999905</v>
      </c>
      <c r="S1050">
        <v>-0.12852479999999999</v>
      </c>
      <c r="T1050">
        <v>-0.23255599999999901</v>
      </c>
      <c r="U1050">
        <v>-3.0534059999999998</v>
      </c>
      <c r="V1050">
        <v>2.3280619999999998E-2</v>
      </c>
      <c r="W1050">
        <v>0.11051709999999999</v>
      </c>
      <c r="X1050">
        <v>0.99360149999999903</v>
      </c>
      <c r="Y1050">
        <v>0.13305799999999901</v>
      </c>
      <c r="Z1050">
        <v>7.5095529999999994E-2</v>
      </c>
      <c r="AA1050">
        <v>0.98825919999999901</v>
      </c>
      <c r="AB1050">
        <v>31</v>
      </c>
      <c r="AC1050">
        <v>-6.2299999999993298E-2</v>
      </c>
      <c r="AD1050">
        <v>-6.2234000000000102E-2</v>
      </c>
      <c r="AE1050">
        <v>-0.51519999999996402</v>
      </c>
      <c r="AF1050">
        <v>0.10757140035255</v>
      </c>
      <c r="AG1050">
        <v>-6.2234000000000102E-2</v>
      </c>
      <c r="AH1050">
        <v>0.50015850943474205</v>
      </c>
      <c r="AI1050">
        <v>96.935772969550101</v>
      </c>
      <c r="AJ1050">
        <v>77.862033489905997</v>
      </c>
      <c r="AK1050">
        <v>0.515367064808949</v>
      </c>
    </row>
    <row r="1051" spans="1:37" x14ac:dyDescent="0.2">
      <c r="A1051" t="str">
        <f>"20200111150605449"</f>
        <v>20200111150605449</v>
      </c>
      <c r="B1051" t="str">
        <f>"1578726365447484"</f>
        <v>1578726365447484</v>
      </c>
      <c r="C1051" t="s">
        <v>37</v>
      </c>
      <c r="D1051">
        <v>4.7106430000000001</v>
      </c>
      <c r="E1051">
        <v>0.53502819999999995</v>
      </c>
      <c r="F1051" t="s">
        <v>38</v>
      </c>
      <c r="G1051">
        <v>-186.81299999999999</v>
      </c>
      <c r="H1051">
        <v>1.041515</v>
      </c>
      <c r="I1051">
        <v>182.03360000000001</v>
      </c>
      <c r="J1051">
        <v>-186.7534</v>
      </c>
      <c r="K1051">
        <v>1.1034949999999999</v>
      </c>
      <c r="L1051">
        <v>182.53229999999999</v>
      </c>
      <c r="M1051">
        <v>9.1485479999999994E-2</v>
      </c>
      <c r="N1051">
        <v>0</v>
      </c>
      <c r="O1051">
        <v>-0.99571489999999996</v>
      </c>
      <c r="P1051">
        <v>6.7710989999999999E-2</v>
      </c>
      <c r="Q1051">
        <v>9.7601610000000005E-2</v>
      </c>
      <c r="R1051">
        <v>-0.99291969999999996</v>
      </c>
      <c r="S1051">
        <v>-0.12518309999999999</v>
      </c>
      <c r="T1051">
        <v>-0.23954210000000001</v>
      </c>
      <c r="U1051">
        <v>-3.0531619999999999</v>
      </c>
      <c r="V1051">
        <v>2.3397399999999999E-2</v>
      </c>
      <c r="W1051">
        <v>0.1110413</v>
      </c>
      <c r="X1051">
        <v>0.99354030000000004</v>
      </c>
      <c r="Y1051">
        <v>0.13208739999999999</v>
      </c>
      <c r="Z1051">
        <v>7.7349630000000003E-2</v>
      </c>
      <c r="AA1051">
        <v>0.98821559999999897</v>
      </c>
      <c r="AB1051">
        <v>31</v>
      </c>
      <c r="AC1051">
        <v>-5.9599999999989002E-2</v>
      </c>
      <c r="AD1051">
        <v>-6.1980000000000098E-2</v>
      </c>
      <c r="AE1051">
        <v>-0.49869999999998499</v>
      </c>
      <c r="AF1051">
        <v>0.103403276624512</v>
      </c>
      <c r="AG1051">
        <v>-6.1980000000000098E-2</v>
      </c>
      <c r="AH1051">
        <v>0.48378774236420202</v>
      </c>
      <c r="AI1051">
        <v>97.141053457004602</v>
      </c>
      <c r="AJ1051">
        <v>77.9353123190633</v>
      </c>
      <c r="AK1051">
        <v>0.49858232788430901</v>
      </c>
    </row>
    <row r="1052" spans="1:37" x14ac:dyDescent="0.2">
      <c r="A1052" t="str">
        <f>"20200111150605472"</f>
        <v>20200111150605472</v>
      </c>
      <c r="B1052" t="str">
        <f>"1578726365467003"</f>
        <v>1578726365467003</v>
      </c>
      <c r="C1052" t="s">
        <v>37</v>
      </c>
      <c r="D1052">
        <v>4.6139039999999998</v>
      </c>
      <c r="E1052">
        <v>0.53859780000000002</v>
      </c>
      <c r="F1052" t="s">
        <v>39</v>
      </c>
      <c r="G1052">
        <v>-188.58029999999999</v>
      </c>
      <c r="H1052" s="1">
        <v>-3.06516399999999E-6</v>
      </c>
      <c r="I1052">
        <v>106.19070000000001</v>
      </c>
      <c r="J1052">
        <v>-186.7244</v>
      </c>
      <c r="K1052">
        <v>1.103477</v>
      </c>
      <c r="L1052">
        <v>182.21799999999999</v>
      </c>
      <c r="M1052">
        <v>9.1577829999999999E-2</v>
      </c>
      <c r="N1052">
        <v>0</v>
      </c>
      <c r="O1052">
        <v>-0.995706599999999</v>
      </c>
      <c r="P1052">
        <v>6.7660910000000005E-2</v>
      </c>
      <c r="Q1052">
        <v>9.9060510000000004E-2</v>
      </c>
      <c r="R1052">
        <v>-0.99277899999999997</v>
      </c>
      <c r="S1052">
        <v>-7.2525019999999996E-2</v>
      </c>
      <c r="T1052">
        <v>-4.3806909999999998E-2</v>
      </c>
      <c r="U1052">
        <v>-3.030624</v>
      </c>
      <c r="V1052">
        <v>2.3530599999999999E-2</v>
      </c>
      <c r="W1052">
        <v>0.1124941</v>
      </c>
      <c r="X1052">
        <v>0.99337379999999997</v>
      </c>
      <c r="Y1052">
        <v>0.11538080000000001</v>
      </c>
      <c r="Z1052">
        <v>1.431178E-2</v>
      </c>
      <c r="AA1052">
        <v>0.99321819999999905</v>
      </c>
      <c r="AB1052">
        <v>31</v>
      </c>
      <c r="AC1052">
        <v>-1.8558999999999899</v>
      </c>
      <c r="AD1052">
        <v>-1.103480065164</v>
      </c>
      <c r="AE1052">
        <v>-76.027299999999897</v>
      </c>
      <c r="AF1052">
        <v>8.8092936082876996</v>
      </c>
      <c r="AG1052">
        <v>-1.103480065164</v>
      </c>
      <c r="AH1052">
        <v>75.521894100956899</v>
      </c>
      <c r="AI1052">
        <v>90.831474885047797</v>
      </c>
      <c r="AJ1052">
        <v>83.346768056618004</v>
      </c>
      <c r="AK1052">
        <v>76.041947704720101</v>
      </c>
    </row>
    <row r="1053" spans="1:37" x14ac:dyDescent="0.2">
      <c r="A1053" t="str">
        <f>"20200111150605495"</f>
        <v>20200111150605495</v>
      </c>
      <c r="B1053" t="str">
        <f>"1578726365487499"</f>
        <v>1578726365487499</v>
      </c>
      <c r="C1053" t="s">
        <v>37</v>
      </c>
      <c r="D1053">
        <v>4.7095320000000003</v>
      </c>
      <c r="E1053">
        <v>0.53948609999999997</v>
      </c>
      <c r="F1053" t="s">
        <v>38</v>
      </c>
      <c r="G1053">
        <v>-186.7484</v>
      </c>
      <c r="H1053">
        <v>1.0456209999999999</v>
      </c>
      <c r="I1053">
        <v>181.4803</v>
      </c>
      <c r="J1053">
        <v>-186.69540000000001</v>
      </c>
      <c r="K1053">
        <v>1.1034539999999999</v>
      </c>
      <c r="L1053">
        <v>181.9034</v>
      </c>
      <c r="M1053">
        <v>9.1627669999999994E-2</v>
      </c>
      <c r="N1053">
        <v>0</v>
      </c>
      <c r="O1053">
        <v>-0.99570179999999997</v>
      </c>
      <c r="P1053">
        <v>6.623416E-2</v>
      </c>
      <c r="Q1053">
        <v>0.1008153</v>
      </c>
      <c r="R1053">
        <v>-0.99269799999999997</v>
      </c>
      <c r="S1053">
        <v>-9.9105830000000006E-2</v>
      </c>
      <c r="T1053">
        <v>-0.2394831</v>
      </c>
      <c r="U1053">
        <v>-3.0524900000000001</v>
      </c>
      <c r="V1053">
        <v>2.5001349999999999E-2</v>
      </c>
      <c r="W1053">
        <v>0.1142413</v>
      </c>
      <c r="X1053">
        <v>0.99313839999999998</v>
      </c>
      <c r="Y1053">
        <v>0.1238025</v>
      </c>
      <c r="Z1053">
        <v>7.7399979999999993E-2</v>
      </c>
      <c r="AA1053">
        <v>0.98928369999999999</v>
      </c>
      <c r="AB1053">
        <v>31</v>
      </c>
      <c r="AC1053">
        <v>-5.2999999999997202E-2</v>
      </c>
      <c r="AD1053">
        <v>-5.7833000000000197E-2</v>
      </c>
      <c r="AE1053">
        <v>-0.42310000000000503</v>
      </c>
      <c r="AF1053">
        <v>8.9894582206832302E-2</v>
      </c>
      <c r="AG1053">
        <v>-5.7833000000000197E-2</v>
      </c>
      <c r="AH1053">
        <v>0.40894059899742402</v>
      </c>
      <c r="AI1053">
        <v>97.864144063136095</v>
      </c>
      <c r="AJ1053">
        <v>77.602250604413697</v>
      </c>
      <c r="AK1053">
        <v>0.42267967221941599</v>
      </c>
    </row>
    <row r="1054" spans="1:37" x14ac:dyDescent="0.2">
      <c r="A1054" t="str">
        <f>"20200111150605516"</f>
        <v>20200111150605516</v>
      </c>
      <c r="B1054" t="str">
        <f>"1578726365507022"</f>
        <v>1578726365507022</v>
      </c>
      <c r="C1054" t="s">
        <v>37</v>
      </c>
      <c r="D1054">
        <v>4.7195220000000004</v>
      </c>
      <c r="E1054">
        <v>0.53983970000000003</v>
      </c>
      <c r="F1054" t="s">
        <v>38</v>
      </c>
      <c r="G1054">
        <v>-186.73050000000001</v>
      </c>
      <c r="H1054">
        <v>1.0286549999999901</v>
      </c>
      <c r="I1054">
        <v>180.93549999999999</v>
      </c>
      <c r="J1054">
        <v>-186.6669</v>
      </c>
      <c r="K1054">
        <v>1.1034010000000001</v>
      </c>
      <c r="L1054">
        <v>181.59440000000001</v>
      </c>
      <c r="M1054">
        <v>9.160343E-2</v>
      </c>
      <c r="N1054">
        <v>0</v>
      </c>
      <c r="O1054">
        <v>-0.99570400000000003</v>
      </c>
      <c r="P1054">
        <v>6.4007090000000003E-2</v>
      </c>
      <c r="Q1054">
        <v>0.1011258</v>
      </c>
      <c r="R1054">
        <v>-0.99281239999999904</v>
      </c>
      <c r="S1054">
        <v>-0.1103058</v>
      </c>
      <c r="T1054">
        <v>-0.236067999999999</v>
      </c>
      <c r="U1054">
        <v>-3.0534059999999998</v>
      </c>
      <c r="V1054">
        <v>2.7218309999999999E-2</v>
      </c>
      <c r="W1054">
        <v>0.11454589999999901</v>
      </c>
      <c r="X1054">
        <v>0.99304499999999996</v>
      </c>
      <c r="Y1054">
        <v>0.12739549999999999</v>
      </c>
      <c r="Z1054">
        <v>7.6258039999999999E-2</v>
      </c>
      <c r="AA1054">
        <v>0.98891609999999996</v>
      </c>
      <c r="AB1054">
        <v>31</v>
      </c>
      <c r="AC1054">
        <v>-6.3600000000008095E-2</v>
      </c>
      <c r="AD1054">
        <v>-7.4746000000000201E-2</v>
      </c>
      <c r="AE1054">
        <v>-0.65890000000001603</v>
      </c>
      <c r="AF1054">
        <v>0.12213829312506901</v>
      </c>
      <c r="AG1054">
        <v>-7.4746000000000201E-2</v>
      </c>
      <c r="AH1054">
        <v>0.64211572430835195</v>
      </c>
      <c r="AI1054">
        <v>96.5237462553157</v>
      </c>
      <c r="AJ1054">
        <v>79.230294640311897</v>
      </c>
      <c r="AK1054">
        <v>0.65788853962319904</v>
      </c>
    </row>
    <row r="1055" spans="1:37" x14ac:dyDescent="0.2">
      <c r="A1055" t="str">
        <f>"20200111150605539"</f>
        <v>20200111150605539</v>
      </c>
      <c r="B1055" t="str">
        <f>"1578726365527519"</f>
        <v>1578726365527519</v>
      </c>
      <c r="C1055" t="s">
        <v>37</v>
      </c>
      <c r="D1055">
        <v>4.7425990000000002</v>
      </c>
      <c r="E1055">
        <v>0.54040559999999904</v>
      </c>
      <c r="F1055" t="s">
        <v>38</v>
      </c>
      <c r="G1055">
        <v>-186.7037</v>
      </c>
      <c r="H1055">
        <v>1.0316149999999999</v>
      </c>
      <c r="I1055">
        <v>180.6591</v>
      </c>
      <c r="J1055">
        <v>-186.6396</v>
      </c>
      <c r="K1055">
        <v>1.103335</v>
      </c>
      <c r="L1055">
        <v>181.2971</v>
      </c>
      <c r="M1055">
        <v>9.1510869999999994E-2</v>
      </c>
      <c r="N1055">
        <v>0</v>
      </c>
      <c r="O1055">
        <v>-0.99571270000000001</v>
      </c>
      <c r="P1055">
        <v>6.3619549999999997E-2</v>
      </c>
      <c r="Q1055">
        <v>9.9507830000000005E-2</v>
      </c>
      <c r="R1055">
        <v>-0.99300119999999903</v>
      </c>
      <c r="S1055">
        <v>-0.11991880000000001</v>
      </c>
      <c r="T1055">
        <v>-0.23438129999999999</v>
      </c>
      <c r="U1055">
        <v>-3.0533600000000001</v>
      </c>
      <c r="V1055">
        <v>2.7544039999999999E-2</v>
      </c>
      <c r="W1055">
        <v>0.1129238</v>
      </c>
      <c r="X1055">
        <v>0.99322180000000004</v>
      </c>
      <c r="Y1055">
        <v>0.1304139</v>
      </c>
      <c r="Z1055">
        <v>7.5698959999999996E-2</v>
      </c>
      <c r="AA1055">
        <v>0.98856559999999905</v>
      </c>
      <c r="AB1055">
        <v>31</v>
      </c>
      <c r="AC1055">
        <v>-6.4099999999996202E-2</v>
      </c>
      <c r="AD1055">
        <v>-7.1720000000000006E-2</v>
      </c>
      <c r="AE1055">
        <v>-0.63800000000000501</v>
      </c>
      <c r="AF1055">
        <v>0.120710087735257</v>
      </c>
      <c r="AG1055">
        <v>-7.1720000000000006E-2</v>
      </c>
      <c r="AH1055">
        <v>0.62167857561641005</v>
      </c>
      <c r="AI1055">
        <v>96.461218059913094</v>
      </c>
      <c r="AJ1055">
        <v>79.011721817121199</v>
      </c>
      <c r="AK1055">
        <v>0.637337379306676</v>
      </c>
    </row>
    <row r="1056" spans="1:37" x14ac:dyDescent="0.2">
      <c r="A1056" t="str">
        <f>"20200111150605561"</f>
        <v>20200111150605561</v>
      </c>
      <c r="B1056" t="str">
        <f>"1578726365557771"</f>
        <v>1578726365557771</v>
      </c>
      <c r="C1056" t="s">
        <v>37</v>
      </c>
      <c r="D1056">
        <v>4.7188400000000001</v>
      </c>
      <c r="E1056">
        <v>0.54106350000000003</v>
      </c>
      <c r="F1056" t="s">
        <v>38</v>
      </c>
      <c r="G1056">
        <v>-186.67760000000001</v>
      </c>
      <c r="H1056">
        <v>1.0295859999999999</v>
      </c>
      <c r="I1056">
        <v>180.38509999999999</v>
      </c>
      <c r="J1056">
        <v>-186.6113</v>
      </c>
      <c r="K1056">
        <v>1.1032549999999901</v>
      </c>
      <c r="L1056">
        <v>180.9872</v>
      </c>
      <c r="M1056">
        <v>9.1325000000000003E-2</v>
      </c>
      <c r="N1056">
        <v>0</v>
      </c>
      <c r="O1056">
        <v>-0.99572969999999905</v>
      </c>
      <c r="P1056">
        <v>6.5311099999999997E-2</v>
      </c>
      <c r="Q1056">
        <v>9.6149670000000007E-2</v>
      </c>
      <c r="R1056">
        <v>-0.99322219999999894</v>
      </c>
      <c r="S1056">
        <v>-0.12710569999999999</v>
      </c>
      <c r="T1056">
        <v>-0.24704409999999999</v>
      </c>
      <c r="U1056">
        <v>-3.0540310000000002</v>
      </c>
      <c r="V1056">
        <v>2.571124E-2</v>
      </c>
      <c r="W1056">
        <v>0.1095645</v>
      </c>
      <c r="X1056">
        <v>0.99364710000000001</v>
      </c>
      <c r="Y1056">
        <v>0.13252929999999999</v>
      </c>
      <c r="Z1056">
        <v>7.9732410000000004E-2</v>
      </c>
      <c r="AA1056">
        <v>0.98796700000000004</v>
      </c>
      <c r="AB1056">
        <v>31</v>
      </c>
      <c r="AC1056">
        <v>-6.6300000000012405E-2</v>
      </c>
      <c r="AD1056">
        <v>-7.3668999999999707E-2</v>
      </c>
      <c r="AE1056">
        <v>-0.60210000000000696</v>
      </c>
      <c r="AF1056">
        <v>0.11925083979861401</v>
      </c>
      <c r="AG1056">
        <v>-7.3668999999999707E-2</v>
      </c>
      <c r="AH1056">
        <v>0.58487712303690298</v>
      </c>
      <c r="AI1056">
        <v>97.035705628154204</v>
      </c>
      <c r="AJ1056">
        <v>78.475897598291994</v>
      </c>
      <c r="AK1056">
        <v>0.60143921838004499</v>
      </c>
    </row>
    <row r="1057" spans="1:37" x14ac:dyDescent="0.2">
      <c r="A1057" t="str">
        <f>"20200111150605595"</f>
        <v>20200111150605595</v>
      </c>
      <c r="B1057" t="str">
        <f>"1578726365587053"</f>
        <v>1578726365587053</v>
      </c>
      <c r="C1057" t="s">
        <v>37</v>
      </c>
      <c r="D1057">
        <v>4.6390139999999898</v>
      </c>
      <c r="E1057">
        <v>0.54123690000000002</v>
      </c>
      <c r="F1057" t="s">
        <v>38</v>
      </c>
      <c r="G1057">
        <v>-186.6481</v>
      </c>
      <c r="H1057">
        <v>1.0266879999999901</v>
      </c>
      <c r="I1057">
        <v>180.1122</v>
      </c>
      <c r="J1057">
        <v>-186.5686</v>
      </c>
      <c r="K1057">
        <v>1.1031500000000001</v>
      </c>
      <c r="L1057">
        <v>180.51750000000001</v>
      </c>
      <c r="M1057">
        <v>9.0861670000000005E-2</v>
      </c>
      <c r="N1057">
        <v>0</v>
      </c>
      <c r="O1057">
        <v>-0.9957722</v>
      </c>
      <c r="P1057">
        <v>6.7405569999999998E-2</v>
      </c>
      <c r="Q1057">
        <v>9.1528449999999997E-2</v>
      </c>
      <c r="R1057">
        <v>-0.99351889999999998</v>
      </c>
      <c r="S1057">
        <v>-0.12857060000000001</v>
      </c>
      <c r="T1057">
        <v>-0.26734089999999999</v>
      </c>
      <c r="U1057">
        <v>-3.0547939999999998</v>
      </c>
      <c r="V1057">
        <v>2.3216540000000001E-2</v>
      </c>
      <c r="W1057">
        <v>0.1049422</v>
      </c>
      <c r="X1057">
        <v>0.99420730000000002</v>
      </c>
      <c r="Y1057">
        <v>0.13250770000000001</v>
      </c>
      <c r="Z1057">
        <v>8.6218710000000004E-2</v>
      </c>
      <c r="AA1057">
        <v>0.987425</v>
      </c>
      <c r="AB1057">
        <v>31</v>
      </c>
      <c r="AC1057">
        <v>-7.9499999999995893E-2</v>
      </c>
      <c r="AD1057">
        <v>-7.6462000000000196E-2</v>
      </c>
      <c r="AE1057">
        <v>-0.40530000000001098</v>
      </c>
      <c r="AF1057">
        <v>0.112156813899735</v>
      </c>
      <c r="AG1057">
        <v>-7.6462000000000196E-2</v>
      </c>
      <c r="AH1057">
        <v>0.38326372996576202</v>
      </c>
      <c r="AI1057">
        <v>100.83935951142701</v>
      </c>
      <c r="AJ1057">
        <v>73.688617414310002</v>
      </c>
      <c r="AK1057">
        <v>0.40659153342809301</v>
      </c>
    </row>
    <row r="1058" spans="1:37" x14ac:dyDescent="0.2">
      <c r="A1058" t="str">
        <f>"20200111150605618"</f>
        <v>20200111150605618</v>
      </c>
      <c r="B1058" t="str">
        <f>"1578726365607564"</f>
        <v>1578726365607564</v>
      </c>
      <c r="C1058" t="s">
        <v>37</v>
      </c>
      <c r="D1058">
        <v>4.7305199999999896</v>
      </c>
      <c r="E1058">
        <v>0.54135419999999901</v>
      </c>
      <c r="F1058" t="s">
        <v>38</v>
      </c>
      <c r="G1058">
        <v>-186.60669999999999</v>
      </c>
      <c r="H1058">
        <v>1.012108</v>
      </c>
      <c r="I1058">
        <v>179.5694</v>
      </c>
      <c r="J1058">
        <v>-186.541</v>
      </c>
      <c r="K1058">
        <v>1.103094</v>
      </c>
      <c r="L1058">
        <v>180.21039999999999</v>
      </c>
      <c r="M1058">
        <v>9.0441499999999994E-2</v>
      </c>
      <c r="N1058">
        <v>0</v>
      </c>
      <c r="O1058">
        <v>-0.99581049999999904</v>
      </c>
      <c r="P1058">
        <v>6.8888030000000003E-2</v>
      </c>
      <c r="Q1058">
        <v>9.2488719999999996E-2</v>
      </c>
      <c r="R1058">
        <v>-0.99332830000000005</v>
      </c>
      <c r="S1058">
        <v>-0.1224976</v>
      </c>
      <c r="T1058">
        <v>-0.29342199999999902</v>
      </c>
      <c r="U1058">
        <v>-3.054932</v>
      </c>
      <c r="V1058">
        <v>2.1322529999999999E-2</v>
      </c>
      <c r="W1058">
        <v>0.1058972</v>
      </c>
      <c r="X1058">
        <v>0.99414840000000004</v>
      </c>
      <c r="Y1058">
        <v>0.13009689999999999</v>
      </c>
      <c r="Z1058">
        <v>9.4576999999999994E-2</v>
      </c>
      <c r="AA1058">
        <v>0.98698030000000003</v>
      </c>
      <c r="AB1058">
        <v>31</v>
      </c>
      <c r="AC1058">
        <v>-6.5699999999992501E-2</v>
      </c>
      <c r="AD1058">
        <v>-9.0985999999999997E-2</v>
      </c>
      <c r="AE1058">
        <v>-0.64099999999999102</v>
      </c>
      <c r="AF1058">
        <v>0.12099646978888499</v>
      </c>
      <c r="AG1058">
        <v>-9.0985999999999997E-2</v>
      </c>
      <c r="AH1058">
        <v>0.62006675285692903</v>
      </c>
      <c r="AI1058">
        <v>98.195356742227801</v>
      </c>
      <c r="AJ1058">
        <v>78.958362392036506</v>
      </c>
      <c r="AK1058">
        <v>0.63828001370551202</v>
      </c>
    </row>
    <row r="1059" spans="1:37" x14ac:dyDescent="0.2">
      <c r="A1059" t="str">
        <f>"20200111150605638"</f>
        <v>20200111150605638</v>
      </c>
      <c r="B1059" t="str">
        <f>"1578726365627067"</f>
        <v>1578726365627067</v>
      </c>
      <c r="C1059" t="s">
        <v>37</v>
      </c>
      <c r="D1059">
        <v>4.7200639999999998</v>
      </c>
      <c r="E1059">
        <v>0.54118369999999905</v>
      </c>
      <c r="F1059" t="s">
        <v>38</v>
      </c>
      <c r="G1059">
        <v>-186.577</v>
      </c>
      <c r="H1059">
        <v>1.016437</v>
      </c>
      <c r="I1059">
        <v>179.29349999999999</v>
      </c>
      <c r="J1059">
        <v>-186.5154</v>
      </c>
      <c r="K1059">
        <v>1.1030500000000001</v>
      </c>
      <c r="L1059">
        <v>179.92330000000001</v>
      </c>
      <c r="M1059">
        <v>8.9981179999999994E-2</v>
      </c>
      <c r="N1059">
        <v>0</v>
      </c>
      <c r="O1059">
        <v>-0.99585219999999897</v>
      </c>
      <c r="P1059">
        <v>7.0372920000000005E-2</v>
      </c>
      <c r="Q1059">
        <v>9.6703499999999998E-2</v>
      </c>
      <c r="R1059">
        <v>-0.99282250000000005</v>
      </c>
      <c r="S1059">
        <v>-0.1192932</v>
      </c>
      <c r="T1059">
        <v>-0.28879759999999999</v>
      </c>
      <c r="U1059">
        <v>-3.0552830000000002</v>
      </c>
      <c r="V1059">
        <v>1.935802E-2</v>
      </c>
      <c r="W1059">
        <v>0.1101039</v>
      </c>
      <c r="X1059">
        <v>0.99373159999999905</v>
      </c>
      <c r="Y1059">
        <v>0.1286059</v>
      </c>
      <c r="Z1059">
        <v>9.3106079999999994E-2</v>
      </c>
      <c r="AA1059">
        <v>0.98731539999999995</v>
      </c>
      <c r="AB1059">
        <v>31</v>
      </c>
      <c r="AC1059">
        <v>-6.1599999999998503E-2</v>
      </c>
      <c r="AD1059">
        <v>-8.6612999999999996E-2</v>
      </c>
      <c r="AE1059">
        <v>-0.62980000000001701</v>
      </c>
      <c r="AF1059">
        <v>0.115854966842058</v>
      </c>
      <c r="AG1059">
        <v>-8.6612999999999996E-2</v>
      </c>
      <c r="AH1059">
        <v>0.610268732149432</v>
      </c>
      <c r="AI1059">
        <v>97.937891678178502</v>
      </c>
      <c r="AJ1059">
        <v>79.2507405585757</v>
      </c>
      <c r="AK1059">
        <v>0.62717789386285805</v>
      </c>
    </row>
    <row r="1060" spans="1:37" x14ac:dyDescent="0.2">
      <c r="A1060" t="str">
        <f>"20200111150605661"</f>
        <v>20200111150605661</v>
      </c>
      <c r="B1060" t="str">
        <f>"1578726365657323"</f>
        <v>1578726365657323</v>
      </c>
      <c r="C1060" t="s">
        <v>37</v>
      </c>
      <c r="D1060">
        <v>4.6946500000000002</v>
      </c>
      <c r="E1060">
        <v>0.54087089999999904</v>
      </c>
      <c r="F1060" t="s">
        <v>38</v>
      </c>
      <c r="G1060">
        <v>-186.54910000000001</v>
      </c>
      <c r="H1060">
        <v>1.019414</v>
      </c>
      <c r="I1060">
        <v>179.01820000000001</v>
      </c>
      <c r="J1060">
        <v>-186.48830000000001</v>
      </c>
      <c r="K1060">
        <v>1.103011</v>
      </c>
      <c r="L1060">
        <v>179.6172</v>
      </c>
      <c r="M1060">
        <v>8.9403560000000007E-2</v>
      </c>
      <c r="N1060">
        <v>0</v>
      </c>
      <c r="O1060">
        <v>-0.99590440000000002</v>
      </c>
      <c r="P1060">
        <v>7.1104879999999995E-2</v>
      </c>
      <c r="Q1060">
        <v>0.102159</v>
      </c>
      <c r="R1060">
        <v>-0.99222399999999999</v>
      </c>
      <c r="S1060">
        <v>-0.11378479999999901</v>
      </c>
      <c r="T1060">
        <v>-0.28256209999999998</v>
      </c>
      <c r="U1060">
        <v>-3.057312</v>
      </c>
      <c r="V1060">
        <v>1.8021579999999999E-2</v>
      </c>
      <c r="W1060">
        <v>0.1155482</v>
      </c>
      <c r="X1060">
        <v>0.99313839999999998</v>
      </c>
      <c r="Y1060">
        <v>0.12623570000000001</v>
      </c>
      <c r="Z1060">
        <v>9.1077450000000004E-2</v>
      </c>
      <c r="AA1060">
        <v>0.98781039999999998</v>
      </c>
      <c r="AB1060">
        <v>31</v>
      </c>
      <c r="AC1060">
        <v>-6.0800000000000402E-2</v>
      </c>
      <c r="AD1060">
        <v>-8.3596999999999894E-2</v>
      </c>
      <c r="AE1060">
        <v>-0.59899999999998899</v>
      </c>
      <c r="AF1060">
        <v>0.111955719209062</v>
      </c>
      <c r="AG1060">
        <v>-8.3596999999999894E-2</v>
      </c>
      <c r="AH1060">
        <v>0.57998334380025496</v>
      </c>
      <c r="AI1060">
        <v>98.055249572206904</v>
      </c>
      <c r="AJ1060">
        <v>79.074422916572601</v>
      </c>
      <c r="AK1060">
        <v>0.59657624873803305</v>
      </c>
    </row>
    <row r="1061" spans="1:37" x14ac:dyDescent="0.2">
      <c r="A1061" t="str">
        <f>"20200111150605684"</f>
        <v>20200111150605684</v>
      </c>
      <c r="B1061" t="str">
        <f>"1578726365677819"</f>
        <v>1578726365677819</v>
      </c>
      <c r="C1061" t="s">
        <v>37</v>
      </c>
      <c r="D1061">
        <v>4.7355489999999998</v>
      </c>
      <c r="E1061">
        <v>0.54067959999999904</v>
      </c>
      <c r="F1061" t="s">
        <v>38</v>
      </c>
      <c r="G1061">
        <v>-186.52</v>
      </c>
      <c r="H1061">
        <v>1.026683</v>
      </c>
      <c r="I1061">
        <v>178.74119999999999</v>
      </c>
      <c r="J1061">
        <v>-186.46090000000001</v>
      </c>
      <c r="K1061">
        <v>1.1029519999999999</v>
      </c>
      <c r="L1061">
        <v>179.30350000000001</v>
      </c>
      <c r="M1061">
        <v>8.8718149999999996E-2</v>
      </c>
      <c r="N1061">
        <v>0</v>
      </c>
      <c r="O1061">
        <v>-0.99596569999999995</v>
      </c>
      <c r="P1061">
        <v>7.0842959999999996E-2</v>
      </c>
      <c r="Q1061">
        <v>0.10480059999999999</v>
      </c>
      <c r="R1061">
        <v>-0.99196679999999904</v>
      </c>
      <c r="S1061">
        <v>-0.1096039</v>
      </c>
      <c r="T1061">
        <v>-0.26667740000000001</v>
      </c>
      <c r="U1061">
        <v>-3.0588229999999998</v>
      </c>
      <c r="V1061">
        <v>1.7598039999999999E-2</v>
      </c>
      <c r="W1061">
        <v>0.118182199999999</v>
      </c>
      <c r="X1061">
        <v>0.99283600000000005</v>
      </c>
      <c r="Y1061">
        <v>0.1242027</v>
      </c>
      <c r="Z1061">
        <v>8.5976230000000001E-2</v>
      </c>
      <c r="AA1061">
        <v>0.98852499999999999</v>
      </c>
      <c r="AB1061">
        <v>31</v>
      </c>
      <c r="AC1061">
        <v>-5.9100000000000798E-2</v>
      </c>
      <c r="AD1061">
        <v>-7.6269000000000101E-2</v>
      </c>
      <c r="AE1061">
        <v>-0.56230000000002101</v>
      </c>
      <c r="AF1061">
        <v>0.10681400949277101</v>
      </c>
      <c r="AG1061">
        <v>-7.6269000000000101E-2</v>
      </c>
      <c r="AH1061">
        <v>0.54492289305842001</v>
      </c>
      <c r="AI1061">
        <v>97.820593013618506</v>
      </c>
      <c r="AJ1061">
        <v>78.909680773710804</v>
      </c>
      <c r="AK1061">
        <v>0.56050615729363795</v>
      </c>
    </row>
    <row r="1062" spans="1:37" x14ac:dyDescent="0.2">
      <c r="A1062" t="str">
        <f>"20200111150605707"</f>
        <v>20200111150605707</v>
      </c>
      <c r="B1062" t="str">
        <f>"1578726365697341"</f>
        <v>1578726365697341</v>
      </c>
      <c r="C1062" t="s">
        <v>37</v>
      </c>
      <c r="D1062">
        <v>4.6571259999999999</v>
      </c>
      <c r="E1062">
        <v>0.54110829999999999</v>
      </c>
      <c r="F1062" t="s">
        <v>38</v>
      </c>
      <c r="G1062">
        <v>-186.4906</v>
      </c>
      <c r="H1062">
        <v>1.030089</v>
      </c>
      <c r="I1062">
        <v>178.46619999999999</v>
      </c>
      <c r="J1062">
        <v>-186.43340000000001</v>
      </c>
      <c r="K1062">
        <v>1.102875</v>
      </c>
      <c r="L1062">
        <v>178.98589999999999</v>
      </c>
      <c r="M1062">
        <v>8.7934999999999999E-2</v>
      </c>
      <c r="N1062">
        <v>0</v>
      </c>
      <c r="O1062">
        <v>-0.99603509999999995</v>
      </c>
      <c r="P1062">
        <v>7.0044590000000004E-2</v>
      </c>
      <c r="Q1062">
        <v>0.10481799999999999</v>
      </c>
      <c r="R1062">
        <v>-0.99202199999999996</v>
      </c>
      <c r="S1062">
        <v>-0.10792539999999901</v>
      </c>
      <c r="T1062">
        <v>-0.26634179999999902</v>
      </c>
      <c r="U1062">
        <v>-3.0601349999999998</v>
      </c>
      <c r="V1062">
        <v>1.7637389999999999E-2</v>
      </c>
      <c r="W1062">
        <v>0.11819499999999999</v>
      </c>
      <c r="X1062">
        <v>0.99283369999999904</v>
      </c>
      <c r="Y1062">
        <v>0.12286619999999999</v>
      </c>
      <c r="Z1062">
        <v>8.5849399999999895E-2</v>
      </c>
      <c r="AA1062">
        <v>0.98870309999999995</v>
      </c>
      <c r="AB1062">
        <v>31</v>
      </c>
      <c r="AC1062">
        <v>-5.7199999999994498E-2</v>
      </c>
      <c r="AD1062">
        <v>-7.2786000000000003E-2</v>
      </c>
      <c r="AE1062">
        <v>-0.51970000000000005</v>
      </c>
      <c r="AF1062">
        <v>0.10073016444666</v>
      </c>
      <c r="AG1062">
        <v>-7.2786000000000003E-2</v>
      </c>
      <c r="AH1062">
        <v>0.50290954324066095</v>
      </c>
      <c r="AI1062">
        <v>98.076980707918494</v>
      </c>
      <c r="AJ1062">
        <v>78.6738275092316</v>
      </c>
      <c r="AK1062">
        <v>0.51803704163696795</v>
      </c>
    </row>
    <row r="1063" spans="1:37" x14ac:dyDescent="0.2">
      <c r="A1063" t="str">
        <f>"20200111150605728"</f>
        <v>20200111150605728</v>
      </c>
      <c r="B1063" t="str">
        <f>"1578726365716859"</f>
        <v>1578726365716859</v>
      </c>
      <c r="C1063" t="s">
        <v>37</v>
      </c>
      <c r="D1063">
        <v>4.7173169999999898</v>
      </c>
      <c r="E1063">
        <v>0.54121339999999996</v>
      </c>
      <c r="F1063" t="s">
        <v>38</v>
      </c>
      <c r="G1063">
        <v>-186.46289999999999</v>
      </c>
      <c r="H1063">
        <v>1.0329600000000001</v>
      </c>
      <c r="I1063">
        <v>178.19149999999999</v>
      </c>
      <c r="J1063">
        <v>-186.40860000000001</v>
      </c>
      <c r="K1063">
        <v>1.102805</v>
      </c>
      <c r="L1063">
        <v>178.69470000000001</v>
      </c>
      <c r="M1063">
        <v>8.7143990000000005E-2</v>
      </c>
      <c r="N1063">
        <v>0</v>
      </c>
      <c r="O1063">
        <v>-0.99610449999999995</v>
      </c>
      <c r="P1063">
        <v>6.822193E-2</v>
      </c>
      <c r="Q1063">
        <v>0.10285229999999999</v>
      </c>
      <c r="R1063">
        <v>-0.99235419999999996</v>
      </c>
      <c r="S1063">
        <v>-0.1131287</v>
      </c>
      <c r="T1063">
        <v>-0.269403</v>
      </c>
      <c r="U1063">
        <v>-3.060562</v>
      </c>
      <c r="V1063">
        <v>1.870803E-2</v>
      </c>
      <c r="W1063">
        <v>0.116226</v>
      </c>
      <c r="X1063">
        <v>0.9930466</v>
      </c>
      <c r="Y1063">
        <v>0.1237487</v>
      </c>
      <c r="Z1063">
        <v>8.6818210000000007E-2</v>
      </c>
      <c r="AA1063">
        <v>0.98850839999999995</v>
      </c>
      <c r="AB1063">
        <v>31</v>
      </c>
      <c r="AC1063">
        <v>-5.42999999999835E-2</v>
      </c>
      <c r="AD1063">
        <v>-6.9844999999999893E-2</v>
      </c>
      <c r="AE1063">
        <v>-0.50320000000002096</v>
      </c>
      <c r="AF1063">
        <v>9.6117751171412996E-2</v>
      </c>
      <c r="AG1063">
        <v>-6.9844999999999893E-2</v>
      </c>
      <c r="AH1063">
        <v>0.487273288847759</v>
      </c>
      <c r="AI1063">
        <v>98.004932683670702</v>
      </c>
      <c r="AJ1063">
        <v>78.841300311412894</v>
      </c>
      <c r="AK1063">
        <v>0.50154980225273804</v>
      </c>
    </row>
    <row r="1064" spans="1:37" x14ac:dyDescent="0.2">
      <c r="A1064" t="str">
        <f>"20200111150605750"</f>
        <v>20200111150605750</v>
      </c>
      <c r="B1064" t="str">
        <f>"1578726365747115"</f>
        <v>1578726365747115</v>
      </c>
      <c r="C1064" t="s">
        <v>37</v>
      </c>
      <c r="D1064">
        <v>4.7329030000000003</v>
      </c>
      <c r="E1064">
        <v>0.54136589999999996</v>
      </c>
      <c r="F1064" t="s">
        <v>38</v>
      </c>
      <c r="G1064">
        <v>-186.43889999999999</v>
      </c>
      <c r="H1064">
        <v>1.0343309999999999</v>
      </c>
      <c r="I1064">
        <v>177.91739999999999</v>
      </c>
      <c r="J1064">
        <v>-186.3837</v>
      </c>
      <c r="K1064">
        <v>1.1027389999999999</v>
      </c>
      <c r="L1064">
        <v>178.4006</v>
      </c>
      <c r="M1064">
        <v>8.6283960000000007E-2</v>
      </c>
      <c r="N1064">
        <v>0</v>
      </c>
      <c r="O1064">
        <v>-0.9961795</v>
      </c>
      <c r="P1064">
        <v>6.4384239999999995E-2</v>
      </c>
      <c r="Q1064">
        <v>0.10100189999999901</v>
      </c>
      <c r="R1064">
        <v>-0.99280079999999904</v>
      </c>
      <c r="S1064">
        <v>-0.11956789999999901</v>
      </c>
      <c r="T1064">
        <v>-0.26943990000000001</v>
      </c>
      <c r="U1064">
        <v>-3.05927999999999</v>
      </c>
      <c r="V1064">
        <v>2.1724489999999999E-2</v>
      </c>
      <c r="W1064">
        <v>0.11436830000000001</v>
      </c>
      <c r="X1064">
        <v>0.99320079999999999</v>
      </c>
      <c r="Y1064">
        <v>0.1249847</v>
      </c>
      <c r="Z1064">
        <v>8.6865689999999995E-2</v>
      </c>
      <c r="AA1064">
        <v>0.98834869999999997</v>
      </c>
      <c r="AB1064">
        <v>31</v>
      </c>
      <c r="AC1064">
        <v>-5.5199999999984997E-2</v>
      </c>
      <c r="AD1064">
        <v>-6.8407999999999997E-2</v>
      </c>
      <c r="AE1064">
        <v>-0.48320000000001001</v>
      </c>
      <c r="AF1064">
        <v>9.4814419752952503E-2</v>
      </c>
      <c r="AG1064">
        <v>-6.8407999999999997E-2</v>
      </c>
      <c r="AH1064">
        <v>0.46738720894900898</v>
      </c>
      <c r="AI1064">
        <v>98.162876025364099</v>
      </c>
      <c r="AJ1064">
        <v>78.532561641338603</v>
      </c>
      <c r="AK1064">
        <v>0.481788575773891</v>
      </c>
    </row>
    <row r="1065" spans="1:37" x14ac:dyDescent="0.2">
      <c r="A1065" t="str">
        <f>"20200111150605774"</f>
        <v>20200111150605774</v>
      </c>
      <c r="B1065" t="str">
        <f>"1578726365767611"</f>
        <v>1578726365767611</v>
      </c>
      <c r="C1065" t="s">
        <v>37</v>
      </c>
      <c r="D1065">
        <v>4.745393</v>
      </c>
      <c r="E1065">
        <v>0.54164109999999999</v>
      </c>
      <c r="F1065" t="s">
        <v>38</v>
      </c>
      <c r="G1065">
        <v>-186.41679999999999</v>
      </c>
      <c r="H1065">
        <v>1.036014</v>
      </c>
      <c r="I1065">
        <v>177.6431</v>
      </c>
      <c r="J1065">
        <v>-186.35659999999999</v>
      </c>
      <c r="K1065">
        <v>1.102692</v>
      </c>
      <c r="L1065">
        <v>178.07470000000001</v>
      </c>
      <c r="M1065">
        <v>8.5274450000000002E-2</v>
      </c>
      <c r="N1065">
        <v>0</v>
      </c>
      <c r="O1065">
        <v>-0.99626650000000005</v>
      </c>
      <c r="P1065">
        <v>5.8698960000000001E-2</v>
      </c>
      <c r="Q1065">
        <v>9.9569249999999998E-2</v>
      </c>
      <c r="R1065">
        <v>-0.99329789999999996</v>
      </c>
      <c r="S1065">
        <v>-0.1325684</v>
      </c>
      <c r="T1065">
        <v>-0.26948430000000001</v>
      </c>
      <c r="U1065">
        <v>-3.0577549999999998</v>
      </c>
      <c r="V1065">
        <v>2.6434570000000001E-2</v>
      </c>
      <c r="W1065">
        <v>0.11292329999999901</v>
      </c>
      <c r="X1065">
        <v>0.99325200000000002</v>
      </c>
      <c r="Y1065">
        <v>0.12819259999999999</v>
      </c>
      <c r="Z1065">
        <v>8.6908760000000002E-2</v>
      </c>
      <c r="AA1065">
        <v>0.98793399999999998</v>
      </c>
      <c r="AB1065">
        <v>31</v>
      </c>
      <c r="AC1065">
        <v>-6.0200000000008899E-2</v>
      </c>
      <c r="AD1065">
        <v>-6.6678000000000001E-2</v>
      </c>
      <c r="AE1065">
        <v>-0.43160000000000298</v>
      </c>
      <c r="AF1065">
        <v>9.4574319540919202E-2</v>
      </c>
      <c r="AG1065">
        <v>-6.6678000000000001E-2</v>
      </c>
      <c r="AH1065">
        <v>0.41517367416465201</v>
      </c>
      <c r="AI1065">
        <v>98.899744875427103</v>
      </c>
      <c r="AJ1065">
        <v>77.167304854977004</v>
      </c>
      <c r="AK1065">
        <v>0.43099818714236399</v>
      </c>
    </row>
    <row r="1066" spans="1:37" x14ac:dyDescent="0.2">
      <c r="A1066" t="str">
        <f>"20200111150605795"</f>
        <v>20200111150605795</v>
      </c>
      <c r="B1066" t="str">
        <f>"1578726365787134"</f>
        <v>1578726365787134</v>
      </c>
      <c r="C1066" t="s">
        <v>37</v>
      </c>
      <c r="D1066">
        <v>4.7309960000000002</v>
      </c>
      <c r="E1066">
        <v>0.54159460000000004</v>
      </c>
      <c r="F1066" t="s">
        <v>38</v>
      </c>
      <c r="G1066">
        <v>-186.40520000000001</v>
      </c>
      <c r="H1066">
        <v>1.016605</v>
      </c>
      <c r="I1066">
        <v>177.10319999999999</v>
      </c>
      <c r="J1066">
        <v>-186.33199999999999</v>
      </c>
      <c r="K1066">
        <v>1.1026629999999999</v>
      </c>
      <c r="L1066">
        <v>177.77440000000001</v>
      </c>
      <c r="M1066">
        <v>8.4307569999999998E-2</v>
      </c>
      <c r="N1066">
        <v>0</v>
      </c>
      <c r="O1066">
        <v>-0.99634889999999998</v>
      </c>
      <c r="P1066">
        <v>5.4349740000000001E-2</v>
      </c>
      <c r="Q1066">
        <v>9.9691550000000004E-2</v>
      </c>
      <c r="R1066">
        <v>-0.99353320000000001</v>
      </c>
      <c r="S1066">
        <v>-0.15231320000000001</v>
      </c>
      <c r="T1066">
        <v>-0.27088699999999999</v>
      </c>
      <c r="U1066">
        <v>-3.0564119999999999</v>
      </c>
      <c r="V1066">
        <v>2.9831259999999998E-2</v>
      </c>
      <c r="W1066">
        <v>0.1130337</v>
      </c>
      <c r="X1066">
        <v>0.993143199999999</v>
      </c>
      <c r="Y1066">
        <v>0.13361319999999999</v>
      </c>
      <c r="Z1066">
        <v>8.7361850000000005E-2</v>
      </c>
      <c r="AA1066">
        <v>0.98717549999999898</v>
      </c>
      <c r="AB1066">
        <v>31</v>
      </c>
      <c r="AC1066">
        <v>-7.3200000000014101E-2</v>
      </c>
      <c r="AD1066">
        <v>-8.6057999999999898E-2</v>
      </c>
      <c r="AE1066">
        <v>-0.671200000000027</v>
      </c>
      <c r="AF1066">
        <v>0.12746099214600101</v>
      </c>
      <c r="AG1066">
        <v>-8.6057999999999898E-2</v>
      </c>
      <c r="AH1066">
        <v>0.65204501701059503</v>
      </c>
      <c r="AI1066">
        <v>97.380433884185194</v>
      </c>
      <c r="AJ1066">
        <v>78.939363849754798</v>
      </c>
      <c r="AK1066">
        <v>0.66993655527310203</v>
      </c>
    </row>
    <row r="1067" spans="1:37" x14ac:dyDescent="0.2">
      <c r="A1067" t="str">
        <f>"20200111150605817"</f>
        <v>20200111150605817</v>
      </c>
      <c r="B1067" t="str">
        <f>"1578726365807627"</f>
        <v>1578726365807627</v>
      </c>
      <c r="C1067" t="s">
        <v>37</v>
      </c>
      <c r="D1067">
        <v>4.453036</v>
      </c>
      <c r="E1067">
        <v>0.54157080000000002</v>
      </c>
      <c r="F1067" t="s">
        <v>38</v>
      </c>
      <c r="G1067">
        <v>-186.38329999999999</v>
      </c>
      <c r="H1067">
        <v>1.0206409999999999</v>
      </c>
      <c r="I1067">
        <v>176.82830000000001</v>
      </c>
      <c r="J1067">
        <v>-186.30799999999999</v>
      </c>
      <c r="K1067">
        <v>1.102654</v>
      </c>
      <c r="L1067">
        <v>177.47799999999901</v>
      </c>
      <c r="M1067">
        <v>8.3335090000000001E-2</v>
      </c>
      <c r="N1067">
        <v>0</v>
      </c>
      <c r="O1067">
        <v>-0.99643060000000006</v>
      </c>
      <c r="P1067">
        <v>5.2475620000000001E-2</v>
      </c>
      <c r="Q1067">
        <v>0.101373899999999</v>
      </c>
      <c r="R1067">
        <v>-0.9934636</v>
      </c>
      <c r="S1067">
        <v>-0.16571040000000001</v>
      </c>
      <c r="T1067">
        <v>-0.26482139999999998</v>
      </c>
      <c r="U1067">
        <v>-3.055161</v>
      </c>
      <c r="V1067">
        <v>3.0730609999999998E-2</v>
      </c>
      <c r="W1067">
        <v>0.114708899999999</v>
      </c>
      <c r="X1067">
        <v>0.99292369999999996</v>
      </c>
      <c r="Y1067">
        <v>0.13699159999999999</v>
      </c>
      <c r="Z1067">
        <v>8.5436020000000001E-2</v>
      </c>
      <c r="AA1067">
        <v>0.98688099999999901</v>
      </c>
      <c r="AB1067">
        <v>31</v>
      </c>
      <c r="AC1067">
        <v>-7.5299999999998493E-2</v>
      </c>
      <c r="AD1067">
        <v>-8.20130000000001E-2</v>
      </c>
      <c r="AE1067">
        <v>-0.64969999999996697</v>
      </c>
      <c r="AF1067">
        <v>0.127185957067905</v>
      </c>
      <c r="AG1067">
        <v>-8.20130000000001E-2</v>
      </c>
      <c r="AH1067">
        <v>0.63123877938928596</v>
      </c>
      <c r="AI1067">
        <v>97.258359090042902</v>
      </c>
      <c r="AJ1067">
        <v>78.608208383360306</v>
      </c>
      <c r="AK1067">
        <v>0.64912617914328097</v>
      </c>
    </row>
    <row r="1068" spans="1:37" x14ac:dyDescent="0.2">
      <c r="A1068" t="str">
        <f>"20200111150605839"</f>
        <v>20200111150605839</v>
      </c>
      <c r="B1068" t="str">
        <f>"1578726365836907"</f>
        <v>1578726365836907</v>
      </c>
      <c r="C1068" t="s">
        <v>37</v>
      </c>
      <c r="D1068">
        <v>4.7879800000000001</v>
      </c>
      <c r="E1068">
        <v>0.54157080000000002</v>
      </c>
      <c r="F1068" t="s">
        <v>38</v>
      </c>
      <c r="G1068">
        <v>-186.35980000000001</v>
      </c>
      <c r="H1068">
        <v>1.0241910000000001</v>
      </c>
      <c r="I1068">
        <v>176.55410000000001</v>
      </c>
      <c r="J1068">
        <v>-186.28389999999999</v>
      </c>
      <c r="K1068">
        <v>1.1026479999999901</v>
      </c>
      <c r="L1068">
        <v>177.17789999999999</v>
      </c>
      <c r="M1068">
        <v>8.2343299999999994E-2</v>
      </c>
      <c r="N1068">
        <v>0</v>
      </c>
      <c r="O1068">
        <v>-0.99651290000000003</v>
      </c>
      <c r="P1068">
        <v>5.179069E-2</v>
      </c>
      <c r="Q1068">
        <v>0.103162899999999</v>
      </c>
      <c r="R1068">
        <v>-0.99331519999999995</v>
      </c>
      <c r="S1068">
        <v>-0.17109679999999999</v>
      </c>
      <c r="T1068">
        <v>-0.25949629999999901</v>
      </c>
      <c r="U1068">
        <v>-3.0552519999999999</v>
      </c>
      <c r="V1068">
        <v>3.041775E-2</v>
      </c>
      <c r="W1068">
        <v>0.1164931</v>
      </c>
      <c r="X1068">
        <v>0.99272559999999999</v>
      </c>
      <c r="Y1068">
        <v>0.13774690000000001</v>
      </c>
      <c r="Z1068">
        <v>8.3729970000000001E-2</v>
      </c>
      <c r="AA1068">
        <v>0.98692199999999997</v>
      </c>
      <c r="AB1068">
        <v>31</v>
      </c>
      <c r="AC1068">
        <v>-7.5900000000018494E-2</v>
      </c>
      <c r="AD1068">
        <v>-7.8456999999999694E-2</v>
      </c>
      <c r="AE1068">
        <v>-0.62379999999998803</v>
      </c>
      <c r="AF1068">
        <v>0.12506313068466199</v>
      </c>
      <c r="AG1068">
        <v>-7.8456999999999694E-2</v>
      </c>
      <c r="AH1068">
        <v>0.60598469374430997</v>
      </c>
      <c r="AI1068">
        <v>97.226431621825796</v>
      </c>
      <c r="AJ1068">
        <v>78.339014198539999</v>
      </c>
      <c r="AK1068">
        <v>0.62370965725891503</v>
      </c>
    </row>
    <row r="1069" spans="1:37" x14ac:dyDescent="0.2">
      <c r="A1069" t="str">
        <f>"20200111150605863"</f>
        <v>20200111150605863</v>
      </c>
      <c r="B1069" t="str">
        <f>"1578726365857404"</f>
        <v>1578726365857404</v>
      </c>
      <c r="C1069" t="s">
        <v>37</v>
      </c>
      <c r="D1069">
        <v>4.8501649999999996</v>
      </c>
      <c r="E1069">
        <v>0.44190360000000001</v>
      </c>
      <c r="F1069" t="s">
        <v>38</v>
      </c>
      <c r="G1069">
        <v>-186.3349</v>
      </c>
      <c r="H1069">
        <v>1.028052</v>
      </c>
      <c r="I1069">
        <v>176.2801</v>
      </c>
      <c r="J1069">
        <v>-186.25960000000001</v>
      </c>
      <c r="K1069">
        <v>1.102649</v>
      </c>
      <c r="L1069">
        <v>176.86959999999999</v>
      </c>
      <c r="M1069">
        <v>8.1325170000000002E-2</v>
      </c>
      <c r="N1069">
        <v>0</v>
      </c>
      <c r="O1069">
        <v>-0.99659679999999995</v>
      </c>
      <c r="P1069">
        <v>5.2132789999999998E-2</v>
      </c>
      <c r="Q1069">
        <v>0.10387159999999999</v>
      </c>
      <c r="R1069">
        <v>-0.99322369999999904</v>
      </c>
      <c r="S1069">
        <v>-0.17335510000000001</v>
      </c>
      <c r="T1069">
        <v>-0.25393119999999902</v>
      </c>
      <c r="U1069">
        <v>-3.0556030000000001</v>
      </c>
      <c r="V1069">
        <v>2.9056660000000002E-2</v>
      </c>
      <c r="W1069">
        <v>0.117202</v>
      </c>
      <c r="X1069">
        <v>0.99268289999999904</v>
      </c>
      <c r="Y1069">
        <v>0.13746429999999901</v>
      </c>
      <c r="Z1069">
        <v>8.1947690000000004E-2</v>
      </c>
      <c r="AA1069">
        <v>0.98711099999999996</v>
      </c>
      <c r="AB1069">
        <v>31</v>
      </c>
      <c r="AC1069">
        <v>-7.5299999999998493E-2</v>
      </c>
      <c r="AD1069">
        <v>-7.4596999999999997E-2</v>
      </c>
      <c r="AE1069">
        <v>-0.58949999999998604</v>
      </c>
      <c r="AF1069">
        <v>0.121088193949215</v>
      </c>
      <c r="AG1069">
        <v>-7.4596999999999997E-2</v>
      </c>
      <c r="AH1069">
        <v>0.57240385956539797</v>
      </c>
      <c r="AI1069">
        <v>97.266046801296397</v>
      </c>
      <c r="AJ1069">
        <v>78.055558174818898</v>
      </c>
      <c r="AK1069">
        <v>0.58980780053187398</v>
      </c>
    </row>
    <row r="1070" spans="1:37" x14ac:dyDescent="0.2">
      <c r="A1070" t="str">
        <f>"20200111150605886"</f>
        <v>20200111150605886</v>
      </c>
      <c r="B1070" t="str">
        <f>"1578726365876923"</f>
        <v>1578726365876923</v>
      </c>
      <c r="C1070" t="s">
        <v>37</v>
      </c>
      <c r="D1070">
        <v>4.794683</v>
      </c>
      <c r="E1070">
        <v>0.4324289</v>
      </c>
      <c r="F1070" t="s">
        <v>78</v>
      </c>
      <c r="G1070">
        <v>-178.357</v>
      </c>
      <c r="H1070" s="1">
        <v>-7.6203699999999902E-6</v>
      </c>
      <c r="I1070">
        <v>138.7244</v>
      </c>
      <c r="J1070">
        <v>-186.23339999999999</v>
      </c>
      <c r="K1070">
        <v>1.102646</v>
      </c>
      <c r="L1070">
        <v>176.53440000000001</v>
      </c>
      <c r="M1070">
        <v>8.0223710000000004E-2</v>
      </c>
      <c r="N1070">
        <v>0</v>
      </c>
      <c r="O1070">
        <v>-0.99668590000000001</v>
      </c>
      <c r="P1070">
        <v>5.239547E-2</v>
      </c>
      <c r="Q1070">
        <v>0.104640699999999</v>
      </c>
      <c r="R1070">
        <v>-0.99312919999999905</v>
      </c>
      <c r="S1070">
        <v>0.62088009999999905</v>
      </c>
      <c r="T1070">
        <v>-8.6631890000000003E-2</v>
      </c>
      <c r="U1070">
        <v>-2.9969329999999998</v>
      </c>
      <c r="V1070">
        <v>2.7691029999999998E-2</v>
      </c>
      <c r="W1070">
        <v>0.117974299999999</v>
      </c>
      <c r="X1070">
        <v>0.99263049999999997</v>
      </c>
      <c r="Y1070">
        <v>-0.1235658</v>
      </c>
      <c r="Z1070">
        <v>2.83440999999999E-2</v>
      </c>
      <c r="AA1070">
        <v>0.99193149999999997</v>
      </c>
      <c r="AB1070">
        <v>31</v>
      </c>
      <c r="AC1070">
        <v>7.8763999999999896</v>
      </c>
      <c r="AD1070">
        <v>-1.1026536203699999</v>
      </c>
      <c r="AE1070">
        <v>-37.81</v>
      </c>
      <c r="AF1070">
        <v>-4.8135516755038896</v>
      </c>
      <c r="AG1070">
        <v>-1.1026536203699999</v>
      </c>
      <c r="AH1070">
        <v>38.288833582743898</v>
      </c>
      <c r="AI1070">
        <v>91.636689661695797</v>
      </c>
      <c r="AJ1070">
        <v>97.165453557305099</v>
      </c>
      <c r="AK1070">
        <v>38.605969769795003</v>
      </c>
    </row>
    <row r="1071" spans="1:37" x14ac:dyDescent="0.2">
      <c r="A1071" t="str">
        <f>"20200111150605907"</f>
        <v>20200111150605907</v>
      </c>
      <c r="B1071" t="str">
        <f>"1578726365897421"</f>
        <v>1578726365897421</v>
      </c>
      <c r="C1071" t="s">
        <v>37</v>
      </c>
      <c r="D1071">
        <v>4.8680099999999999</v>
      </c>
      <c r="E1071">
        <v>0.42882730000000002</v>
      </c>
      <c r="F1071" t="s">
        <v>78</v>
      </c>
      <c r="G1071">
        <v>-180.70849999999999</v>
      </c>
      <c r="H1071" s="1">
        <v>-1.228146E-5</v>
      </c>
      <c r="I1071">
        <v>152.7749</v>
      </c>
      <c r="J1071">
        <v>-186.2122</v>
      </c>
      <c r="K1071">
        <v>1.102649</v>
      </c>
      <c r="L1071">
        <v>176.25829999999999</v>
      </c>
      <c r="M1071">
        <v>7.9321680000000006E-2</v>
      </c>
      <c r="N1071">
        <v>0</v>
      </c>
      <c r="O1071">
        <v>-0.99675800000000003</v>
      </c>
      <c r="P1071">
        <v>5.2495519999999997E-2</v>
      </c>
      <c r="Q1071">
        <v>0.105731899999999</v>
      </c>
      <c r="R1071">
        <v>-0.99300809999999995</v>
      </c>
      <c r="S1071">
        <v>0.69729609999999997</v>
      </c>
      <c r="T1071">
        <v>-0.13916419999999999</v>
      </c>
      <c r="U1071">
        <v>-2.9986269999999999</v>
      </c>
      <c r="V1071">
        <v>2.668454E-2</v>
      </c>
      <c r="W1071">
        <v>0.11907139999999999</v>
      </c>
      <c r="X1071">
        <v>0.9925271</v>
      </c>
      <c r="Y1071">
        <v>-0.14828160000000001</v>
      </c>
      <c r="Z1071">
        <v>4.5282169999999997E-2</v>
      </c>
      <c r="AA1071">
        <v>0.98790789999999995</v>
      </c>
      <c r="AB1071">
        <v>31</v>
      </c>
      <c r="AC1071">
        <v>5.5037000000000003</v>
      </c>
      <c r="AD1071">
        <v>-1.1026612814600001</v>
      </c>
      <c r="AE1071">
        <v>-23.4833999999999</v>
      </c>
      <c r="AF1071">
        <v>-3.6158861273241598</v>
      </c>
      <c r="AG1071">
        <v>-1.1026612814600001</v>
      </c>
      <c r="AH1071">
        <v>23.796260948167099</v>
      </c>
      <c r="AI1071">
        <v>92.622984384543798</v>
      </c>
      <c r="AJ1071">
        <v>98.640106664495704</v>
      </c>
      <c r="AK1071">
        <v>24.0946576962751</v>
      </c>
    </row>
    <row r="1072" spans="1:37" x14ac:dyDescent="0.2">
      <c r="A1072" t="str">
        <f>"20200111150605929"</f>
        <v>20200111150605929</v>
      </c>
      <c r="B1072" t="str">
        <f>"1578726365916939"</f>
        <v>1578726365916939</v>
      </c>
      <c r="C1072" t="s">
        <v>37</v>
      </c>
      <c r="D1072">
        <v>4.9533050000000003</v>
      </c>
      <c r="E1072">
        <v>0.4272147</v>
      </c>
      <c r="F1072" t="s">
        <v>78</v>
      </c>
      <c r="G1072">
        <v>-180.85419999999999</v>
      </c>
      <c r="H1072" s="1">
        <v>-1.2564009999999999E-5</v>
      </c>
      <c r="I1072">
        <v>154.1371</v>
      </c>
      <c r="J1072">
        <v>-186.18950000000001</v>
      </c>
      <c r="K1072">
        <v>1.1026559999999901</v>
      </c>
      <c r="L1072">
        <v>175.96039999999999</v>
      </c>
      <c r="M1072">
        <v>7.8352060000000001E-2</v>
      </c>
      <c r="N1072">
        <v>0</v>
      </c>
      <c r="O1072">
        <v>-0.99683449999999996</v>
      </c>
      <c r="P1072">
        <v>5.3952340000000001E-2</v>
      </c>
      <c r="Q1072">
        <v>0.105771399999999</v>
      </c>
      <c r="R1072">
        <v>-0.99292599999999998</v>
      </c>
      <c r="S1072">
        <v>0.72630309999999998</v>
      </c>
      <c r="T1072">
        <v>-0.14947160000000001</v>
      </c>
      <c r="U1072">
        <v>-2.9986570000000001</v>
      </c>
      <c r="V1072">
        <v>2.4258890000000002E-2</v>
      </c>
      <c r="W1072">
        <v>0.119131999999999</v>
      </c>
      <c r="X1072">
        <v>0.99258199999999996</v>
      </c>
      <c r="Y1072">
        <v>-0.1582441</v>
      </c>
      <c r="Z1072">
        <v>4.8542139999999998E-2</v>
      </c>
      <c r="AA1072">
        <v>0.98620609999999997</v>
      </c>
      <c r="AB1072">
        <v>30</v>
      </c>
      <c r="AC1072">
        <v>5.3353000000000099</v>
      </c>
      <c r="AD1072">
        <v>-1.10266856400999</v>
      </c>
      <c r="AE1072">
        <v>-21.8232999999999</v>
      </c>
      <c r="AF1072">
        <v>-3.6001660759061198</v>
      </c>
      <c r="AG1072">
        <v>-1.10266856400999</v>
      </c>
      <c r="AH1072">
        <v>22.120977743173398</v>
      </c>
      <c r="AI1072">
        <v>92.816673309424601</v>
      </c>
      <c r="AJ1072">
        <v>99.243782959280196</v>
      </c>
      <c r="AK1072">
        <v>22.439133897058898</v>
      </c>
    </row>
    <row r="1073" spans="1:37" x14ac:dyDescent="0.2">
      <c r="A1073" t="str">
        <f>"20200111150605952"</f>
        <v>20200111150605952</v>
      </c>
      <c r="B1073" t="str">
        <f>"1578726365947194"</f>
        <v>1578726365947194</v>
      </c>
      <c r="C1073" t="s">
        <v>37</v>
      </c>
      <c r="D1073">
        <v>5.0105879999999896</v>
      </c>
      <c r="E1073">
        <v>0.4250062</v>
      </c>
      <c r="F1073" t="s">
        <v>78</v>
      </c>
      <c r="G1073">
        <v>-181.08359999999999</v>
      </c>
      <c r="H1073" s="1">
        <v>-1.30937799999999E-5</v>
      </c>
      <c r="I1073">
        <v>155.35679999999999</v>
      </c>
      <c r="J1073">
        <v>-186.16679999999999</v>
      </c>
      <c r="K1073">
        <v>1.1026609999999999</v>
      </c>
      <c r="L1073">
        <v>175.65809999999999</v>
      </c>
      <c r="M1073">
        <v>7.7369859999999999E-2</v>
      </c>
      <c r="N1073">
        <v>0</v>
      </c>
      <c r="O1073">
        <v>-0.99691090000000004</v>
      </c>
      <c r="P1073">
        <v>5.559567E-2</v>
      </c>
      <c r="Q1073">
        <v>0.105154399999999</v>
      </c>
      <c r="R1073">
        <v>-0.99290100000000003</v>
      </c>
      <c r="S1073">
        <v>0.742981</v>
      </c>
      <c r="T1073">
        <v>-0.16045209999999999</v>
      </c>
      <c r="U1073">
        <v>-2.9980769999999999</v>
      </c>
      <c r="V1073">
        <v>2.1637460000000001E-2</v>
      </c>
      <c r="W1073">
        <v>0.11854629999999999</v>
      </c>
      <c r="X1073">
        <v>0.9927127</v>
      </c>
      <c r="Y1073">
        <v>-0.16439019999999999</v>
      </c>
      <c r="Z1073">
        <v>5.2054099999999902E-2</v>
      </c>
      <c r="AA1073">
        <v>0.98502089999999998</v>
      </c>
      <c r="AB1073">
        <v>30</v>
      </c>
      <c r="AC1073">
        <v>5.0831999999999997</v>
      </c>
      <c r="AD1073">
        <v>-1.1026740937799999</v>
      </c>
      <c r="AE1073">
        <v>-20.301300000000001</v>
      </c>
      <c r="AF1073">
        <v>-3.4874264650823998</v>
      </c>
      <c r="AG1073">
        <v>-1.1026740937799999</v>
      </c>
      <c r="AH1073">
        <v>20.576634061176399</v>
      </c>
      <c r="AI1073">
        <v>93.024420490982493</v>
      </c>
      <c r="AJ1073">
        <v>99.619352562567698</v>
      </c>
      <c r="AK1073">
        <v>20.899184261449399</v>
      </c>
    </row>
    <row r="1074" spans="1:37" x14ac:dyDescent="0.2">
      <c r="A1074" t="str">
        <f>"20200111150605975"</f>
        <v>20200111150605975</v>
      </c>
      <c r="B1074" t="str">
        <f>"1578726365967691"</f>
        <v>1578726365967691</v>
      </c>
      <c r="C1074" t="s">
        <v>37</v>
      </c>
      <c r="D1074">
        <v>5.0034619999999999</v>
      </c>
      <c r="E1074">
        <v>0.42414439999999998</v>
      </c>
      <c r="F1074" t="s">
        <v>78</v>
      </c>
      <c r="G1074">
        <v>-181.3852</v>
      </c>
      <c r="H1074" s="1">
        <v>-1.3791659999999999E-5</v>
      </c>
      <c r="I1074">
        <v>156.92250000000001</v>
      </c>
      <c r="J1074">
        <v>-186.1431</v>
      </c>
      <c r="K1074">
        <v>1.1026739999999999</v>
      </c>
      <c r="L1074">
        <v>175.33799999999999</v>
      </c>
      <c r="M1074">
        <v>7.633086E-2</v>
      </c>
      <c r="N1074">
        <v>0</v>
      </c>
      <c r="O1074">
        <v>-0.99699059999999995</v>
      </c>
      <c r="P1074">
        <v>5.7426390000000001E-2</v>
      </c>
      <c r="Q1074">
        <v>0.1052071</v>
      </c>
      <c r="R1074">
        <v>-0.99279110000000004</v>
      </c>
      <c r="S1074">
        <v>0.76496889999999995</v>
      </c>
      <c r="T1074">
        <v>-0.17640620000000001</v>
      </c>
      <c r="U1074">
        <v>-2.9973139999999998</v>
      </c>
      <c r="V1074">
        <v>1.8767140000000002E-2</v>
      </c>
      <c r="W1074">
        <v>0.1186391</v>
      </c>
      <c r="X1074">
        <v>0.99276010000000003</v>
      </c>
      <c r="Y1074">
        <v>-0.17219849999999901</v>
      </c>
      <c r="Z1074">
        <v>5.714578E-2</v>
      </c>
      <c r="AA1074">
        <v>0.98340329999999998</v>
      </c>
      <c r="AB1074">
        <v>30</v>
      </c>
      <c r="AC1074">
        <v>4.7579000000000002</v>
      </c>
      <c r="AD1074">
        <v>-1.10268779166</v>
      </c>
      <c r="AE1074">
        <v>-18.415499999999899</v>
      </c>
      <c r="AF1074">
        <v>-3.32703433608927</v>
      </c>
      <c r="AG1074">
        <v>-1.10268779166</v>
      </c>
      <c r="AH1074">
        <v>18.662246918325199</v>
      </c>
      <c r="AI1074">
        <v>93.329109565386304</v>
      </c>
      <c r="AJ1074">
        <v>100.108277810453</v>
      </c>
      <c r="AK1074">
        <v>18.988537012627699</v>
      </c>
    </row>
    <row r="1075" spans="1:37" x14ac:dyDescent="0.2">
      <c r="A1075" t="str">
        <f>"20200111150605996"</f>
        <v>20200111150605996</v>
      </c>
      <c r="B1075" t="str">
        <f>"1578726365987213"</f>
        <v>1578726365987213</v>
      </c>
      <c r="C1075" t="s">
        <v>37</v>
      </c>
      <c r="D1075">
        <v>4.9908359999999998</v>
      </c>
      <c r="E1075">
        <v>0.42367290000000002</v>
      </c>
      <c r="F1075" t="s">
        <v>78</v>
      </c>
      <c r="G1075">
        <v>-181.48429999999999</v>
      </c>
      <c r="H1075" s="1">
        <v>-1.400041E-5</v>
      </c>
      <c r="I1075">
        <v>157.39070000000001</v>
      </c>
      <c r="J1075">
        <v>-186.12180000000001</v>
      </c>
      <c r="K1075">
        <v>1.102684</v>
      </c>
      <c r="L1075">
        <v>175.04509999999999</v>
      </c>
      <c r="M1075">
        <v>7.5380470000000005E-2</v>
      </c>
      <c r="N1075">
        <v>0</v>
      </c>
      <c r="O1075">
        <v>-0.99706240000000002</v>
      </c>
      <c r="P1075">
        <v>5.8330439999999997E-2</v>
      </c>
      <c r="Q1075">
        <v>0.1063443</v>
      </c>
      <c r="R1075">
        <v>-0.99261710000000003</v>
      </c>
      <c r="S1075">
        <v>0.77778630000000004</v>
      </c>
      <c r="T1075">
        <v>-0.18409339999999999</v>
      </c>
      <c r="U1075">
        <v>-2.996292</v>
      </c>
      <c r="V1075">
        <v>1.690672E-2</v>
      </c>
      <c r="W1075">
        <v>0.1198109</v>
      </c>
      <c r="X1075">
        <v>0.9926528</v>
      </c>
      <c r="Y1075">
        <v>-0.177124799999999</v>
      </c>
      <c r="Z1075">
        <v>5.9595790000000003E-2</v>
      </c>
      <c r="AA1075">
        <v>0.98238239999999999</v>
      </c>
      <c r="AB1075">
        <v>30</v>
      </c>
      <c r="AC1075">
        <v>4.6375000000000099</v>
      </c>
      <c r="AD1075">
        <v>-1.10269800041</v>
      </c>
      <c r="AE1075">
        <v>-17.6543999999999</v>
      </c>
      <c r="AF1075">
        <v>-3.2814081299926898</v>
      </c>
      <c r="AG1075">
        <v>-1.10269800041</v>
      </c>
      <c r="AH1075">
        <v>17.888487042173001</v>
      </c>
      <c r="AI1075">
        <v>93.469666358786498</v>
      </c>
      <c r="AJ1075">
        <v>100.394597199049</v>
      </c>
      <c r="AK1075">
        <v>18.220360887031902</v>
      </c>
    </row>
    <row r="1076" spans="1:37" x14ac:dyDescent="0.2">
      <c r="A1076" t="str">
        <f>"20200111150606018"</f>
        <v>20200111150606018</v>
      </c>
      <c r="B1076" t="str">
        <f>"1578726366007706"</f>
        <v>1578726366007706</v>
      </c>
      <c r="C1076" t="s">
        <v>37</v>
      </c>
      <c r="D1076">
        <v>4.969633</v>
      </c>
      <c r="E1076">
        <v>0.42342390000000002</v>
      </c>
      <c r="F1076" t="s">
        <v>78</v>
      </c>
      <c r="G1076">
        <v>-181.52199999999999</v>
      </c>
      <c r="H1076" s="1">
        <v>-1.404291E-5</v>
      </c>
      <c r="I1076">
        <v>157.48570000000001</v>
      </c>
      <c r="J1076">
        <v>-186.1009</v>
      </c>
      <c r="K1076">
        <v>1.1026940000000001</v>
      </c>
      <c r="L1076">
        <v>174.75630000000001</v>
      </c>
      <c r="M1076">
        <v>7.4443460000000003E-2</v>
      </c>
      <c r="N1076">
        <v>0</v>
      </c>
      <c r="O1076">
        <v>-0.99713249999999998</v>
      </c>
      <c r="P1076">
        <v>5.8000179999999998E-2</v>
      </c>
      <c r="Q1076">
        <v>0.1079133</v>
      </c>
      <c r="R1076">
        <v>-0.99246719999999899</v>
      </c>
      <c r="S1076">
        <v>0.7849121</v>
      </c>
      <c r="T1076">
        <v>-0.18816459999999999</v>
      </c>
      <c r="U1076">
        <v>-2.9963380000000002</v>
      </c>
      <c r="V1076">
        <v>1.629355E-2</v>
      </c>
      <c r="W1076">
        <v>0.1214103</v>
      </c>
      <c r="X1076">
        <v>0.99246869999999998</v>
      </c>
      <c r="Y1076">
        <v>-0.18021309999999999</v>
      </c>
      <c r="Z1076">
        <v>6.0879219999999998E-2</v>
      </c>
      <c r="AA1076">
        <v>0.9817418</v>
      </c>
      <c r="AB1076">
        <v>30</v>
      </c>
      <c r="AC1076">
        <v>4.5788999999999698</v>
      </c>
      <c r="AD1076">
        <v>-1.10270804291</v>
      </c>
      <c r="AE1076">
        <v>-17.270600000000002</v>
      </c>
      <c r="AF1076">
        <v>-3.2679427601051101</v>
      </c>
      <c r="AG1076">
        <v>-1.10270804291</v>
      </c>
      <c r="AH1076">
        <v>17.496925272885399</v>
      </c>
      <c r="AI1076">
        <v>93.545038280820293</v>
      </c>
      <c r="AJ1076">
        <v>100.57937750652</v>
      </c>
      <c r="AK1076">
        <v>17.833614577986101</v>
      </c>
    </row>
    <row r="1077" spans="1:37" x14ac:dyDescent="0.2">
      <c r="A1077" t="str">
        <f>"20200111150606040"</f>
        <v>20200111150606040</v>
      </c>
      <c r="B1077" t="str">
        <f>"1578726366036987"</f>
        <v>1578726366036987</v>
      </c>
      <c r="C1077" t="s">
        <v>37</v>
      </c>
      <c r="D1077">
        <v>5.0339470000000004</v>
      </c>
      <c r="E1077">
        <v>0.42319200000000001</v>
      </c>
      <c r="F1077" t="s">
        <v>78</v>
      </c>
      <c r="G1077">
        <v>-181.58269999999999</v>
      </c>
      <c r="H1077" s="1">
        <v>-1.4060969999999999E-5</v>
      </c>
      <c r="I1077">
        <v>157.52529999999999</v>
      </c>
      <c r="J1077">
        <v>-186.0789</v>
      </c>
      <c r="K1077">
        <v>1.1026989999999901</v>
      </c>
      <c r="L1077">
        <v>174.4468</v>
      </c>
      <c r="M1077">
        <v>7.3440160000000004E-2</v>
      </c>
      <c r="N1077">
        <v>0</v>
      </c>
      <c r="O1077">
        <v>-0.9972065</v>
      </c>
      <c r="P1077">
        <v>5.6982379999999999E-2</v>
      </c>
      <c r="Q1077">
        <v>0.1070837</v>
      </c>
      <c r="R1077">
        <v>-0.99261619999999995</v>
      </c>
      <c r="S1077">
        <v>0.78604130000000005</v>
      </c>
      <c r="T1077">
        <v>-0.19184039999999999</v>
      </c>
      <c r="U1077">
        <v>-2.9976959999999999</v>
      </c>
      <c r="V1077">
        <v>1.6317640000000001E-2</v>
      </c>
      <c r="W1077">
        <v>0.12061330000000001</v>
      </c>
      <c r="X1077">
        <v>0.99256549999999999</v>
      </c>
      <c r="Y1077">
        <v>-0.18142149999999899</v>
      </c>
      <c r="Z1077">
        <v>6.2033850000000001E-2</v>
      </c>
      <c r="AA1077">
        <v>0.98144690000000001</v>
      </c>
      <c r="AB1077">
        <v>30</v>
      </c>
      <c r="AC1077">
        <v>4.4962000000000097</v>
      </c>
      <c r="AD1077">
        <v>-1.10271306096999</v>
      </c>
      <c r="AE1077">
        <v>-16.921500000000002</v>
      </c>
      <c r="AF1077">
        <v>-3.2284173505728502</v>
      </c>
      <c r="AG1077">
        <v>-1.10271306096999</v>
      </c>
      <c r="AH1077">
        <v>17.1380494709455</v>
      </c>
      <c r="AI1077">
        <v>93.618044145911497</v>
      </c>
      <c r="AJ1077">
        <v>100.668199107253</v>
      </c>
      <c r="AK1077">
        <v>17.474306691622601</v>
      </c>
    </row>
    <row r="1078" spans="1:37" x14ac:dyDescent="0.2">
      <c r="A1078" t="str">
        <f>"20200111150606064"</f>
        <v>20200111150606064</v>
      </c>
      <c r="B1078" t="str">
        <f>"1578726366057483"</f>
        <v>1578726366057483</v>
      </c>
      <c r="C1078" t="s">
        <v>37</v>
      </c>
      <c r="D1078">
        <v>5.0518960000000002</v>
      </c>
      <c r="E1078">
        <v>0.42301149999999998</v>
      </c>
      <c r="F1078" t="s">
        <v>78</v>
      </c>
      <c r="G1078">
        <v>-181.7441</v>
      </c>
      <c r="H1078" s="1">
        <v>-1.421836E-5</v>
      </c>
      <c r="I1078">
        <v>157.87690000000001</v>
      </c>
      <c r="J1078">
        <v>-186.0574</v>
      </c>
      <c r="K1078">
        <v>1.1026959999999999</v>
      </c>
      <c r="L1078">
        <v>174.1386</v>
      </c>
      <c r="M1078">
        <v>7.2441389999999994E-2</v>
      </c>
      <c r="N1078">
        <v>0</v>
      </c>
      <c r="O1078">
        <v>-0.99727889999999997</v>
      </c>
      <c r="P1078">
        <v>5.3962990000000002E-2</v>
      </c>
      <c r="Q1078">
        <v>0.10542449999999901</v>
      </c>
      <c r="R1078">
        <v>-0.99296229999999996</v>
      </c>
      <c r="S1078">
        <v>0.78453059999999997</v>
      </c>
      <c r="T1078">
        <v>-0.19957040000000001</v>
      </c>
      <c r="U1078">
        <v>-2.99884</v>
      </c>
      <c r="V1078">
        <v>1.8355150000000001E-2</v>
      </c>
      <c r="W1078">
        <v>0.1189805</v>
      </c>
      <c r="X1078">
        <v>0.99272689999999997</v>
      </c>
      <c r="Y1078">
        <v>-0.181812</v>
      </c>
      <c r="Z1078">
        <v>6.4508109999999994E-2</v>
      </c>
      <c r="AA1078">
        <v>0.98121510000000001</v>
      </c>
      <c r="AB1078">
        <v>30</v>
      </c>
      <c r="AC1078">
        <v>4.3132999999999901</v>
      </c>
      <c r="AD1078">
        <v>-1.1027102183599999</v>
      </c>
      <c r="AE1078">
        <v>-16.261699999999902</v>
      </c>
      <c r="AF1078">
        <v>-3.1104725152830599</v>
      </c>
      <c r="AG1078">
        <v>-1.1027102183599999</v>
      </c>
      <c r="AH1078">
        <v>16.460742600736999</v>
      </c>
      <c r="AI1078">
        <v>93.766084445800004</v>
      </c>
      <c r="AJ1078">
        <v>100.700614721929</v>
      </c>
      <c r="AK1078">
        <v>16.788301166637599</v>
      </c>
    </row>
    <row r="1079" spans="1:37" x14ac:dyDescent="0.2">
      <c r="A1079" t="str">
        <f>"20200111150606086"</f>
        <v>20200111150606086</v>
      </c>
      <c r="B1079" t="str">
        <f>"1578726366077018"</f>
        <v>1578726366077018</v>
      </c>
      <c r="C1079" t="s">
        <v>37</v>
      </c>
      <c r="D1079">
        <v>5.0445330000000004</v>
      </c>
      <c r="E1079">
        <v>0.42290290000000003</v>
      </c>
      <c r="F1079" t="s">
        <v>78</v>
      </c>
      <c r="G1079">
        <v>-181.95650000000001</v>
      </c>
      <c r="H1079" s="1">
        <v>-1.4416249999999999E-5</v>
      </c>
      <c r="I1079">
        <v>158.3186</v>
      </c>
      <c r="J1079">
        <v>-186.03559999999999</v>
      </c>
      <c r="K1079">
        <v>1.102708</v>
      </c>
      <c r="L1079">
        <v>173.82339999999999</v>
      </c>
      <c r="M1079">
        <v>7.1418780000000001E-2</v>
      </c>
      <c r="N1079">
        <v>0</v>
      </c>
      <c r="O1079">
        <v>-0.99735249999999998</v>
      </c>
      <c r="P1079">
        <v>5.1030039999999999E-2</v>
      </c>
      <c r="Q1079">
        <v>0.1053431</v>
      </c>
      <c r="R1079">
        <v>-0.99312630000000002</v>
      </c>
      <c r="S1079">
        <v>0.77796940000000003</v>
      </c>
      <c r="T1079">
        <v>-0.20919389999999999</v>
      </c>
      <c r="U1079">
        <v>-3.0011899999999998</v>
      </c>
      <c r="V1079">
        <v>2.0272419999999999E-2</v>
      </c>
      <c r="W1079">
        <v>0.11892079999999999</v>
      </c>
      <c r="X1079">
        <v>0.99269680000000005</v>
      </c>
      <c r="Y1079">
        <v>-0.1805717</v>
      </c>
      <c r="Z1079">
        <v>6.75872E-2</v>
      </c>
      <c r="AA1079">
        <v>0.98123689999999997</v>
      </c>
      <c r="AB1079">
        <v>30</v>
      </c>
      <c r="AC1079">
        <v>4.07909999999998</v>
      </c>
      <c r="AD1079">
        <v>-1.10272241625</v>
      </c>
      <c r="AE1079">
        <v>-15.5047999999999</v>
      </c>
      <c r="AF1079">
        <v>-2.9473009745502599</v>
      </c>
      <c r="AG1079">
        <v>-1.10272241625</v>
      </c>
      <c r="AH1079">
        <v>15.6823612087447</v>
      </c>
      <c r="AI1079">
        <v>93.953211646281403</v>
      </c>
      <c r="AJ1079">
        <v>100.64385910229601</v>
      </c>
      <c r="AK1079">
        <v>15.994968985384901</v>
      </c>
    </row>
    <row r="1080" spans="1:37" x14ac:dyDescent="0.2">
      <c r="A1080" t="str">
        <f>"20200111150606108"</f>
        <v>20200111150606108</v>
      </c>
      <c r="B1080" t="str">
        <f>"1578726366097502"</f>
        <v>1578726366097502</v>
      </c>
      <c r="C1080" t="s">
        <v>37</v>
      </c>
      <c r="D1080">
        <v>5.1088190000000004</v>
      </c>
      <c r="E1080">
        <v>0.42280390000000001</v>
      </c>
      <c r="F1080" t="s">
        <v>78</v>
      </c>
      <c r="G1080">
        <v>-182.05850000000001</v>
      </c>
      <c r="H1080" s="1">
        <v>-1.441222E-5</v>
      </c>
      <c r="I1080">
        <v>158.30779999999999</v>
      </c>
      <c r="J1080">
        <v>-186.0163</v>
      </c>
      <c r="K1080">
        <v>1.1027129999999901</v>
      </c>
      <c r="L1080">
        <v>173.53970000000001</v>
      </c>
      <c r="M1080">
        <v>7.0497920000000006E-2</v>
      </c>
      <c r="N1080">
        <v>0</v>
      </c>
      <c r="O1080">
        <v>-0.99741780000000002</v>
      </c>
      <c r="P1080">
        <v>4.8514519999999998E-2</v>
      </c>
      <c r="Q1080">
        <v>0.1056376</v>
      </c>
      <c r="R1080">
        <v>-0.99322089999999996</v>
      </c>
      <c r="S1080">
        <v>0.76998900000000003</v>
      </c>
      <c r="T1080">
        <v>-0.21349090000000001</v>
      </c>
      <c r="U1080">
        <v>-3.00386</v>
      </c>
      <c r="V1080">
        <v>2.1870750000000001E-2</v>
      </c>
      <c r="W1080">
        <v>0.1192323</v>
      </c>
      <c r="X1080">
        <v>0.99262549999999905</v>
      </c>
      <c r="Y1080">
        <v>-0.17879979999999901</v>
      </c>
      <c r="Z1080">
        <v>6.8950209999999998E-2</v>
      </c>
      <c r="AA1080">
        <v>0.98146650000000002</v>
      </c>
      <c r="AB1080">
        <v>30</v>
      </c>
      <c r="AC1080">
        <v>3.95779999999999</v>
      </c>
      <c r="AD1080">
        <v>-1.1027274122199999</v>
      </c>
      <c r="AE1080">
        <v>-15.2319</v>
      </c>
      <c r="AF1080">
        <v>-2.8599910752434199</v>
      </c>
      <c r="AG1080">
        <v>-1.1027274122199999</v>
      </c>
      <c r="AH1080">
        <v>15.3974409609513</v>
      </c>
      <c r="AI1080">
        <v>94.027732124712799</v>
      </c>
      <c r="AJ1080">
        <v>100.52246170576601</v>
      </c>
      <c r="AK1080">
        <v>15.6995778555385</v>
      </c>
    </row>
    <row r="1081" spans="1:37" x14ac:dyDescent="0.2">
      <c r="A1081" t="str">
        <f>"20200111150606130"</f>
        <v>20200111150606130</v>
      </c>
      <c r="B1081" t="str">
        <f>"1578726366127755"</f>
        <v>1578726366127755</v>
      </c>
      <c r="C1081" t="s">
        <v>37</v>
      </c>
      <c r="D1081">
        <v>5.1459900000000003</v>
      </c>
      <c r="E1081">
        <v>0.42253669999999999</v>
      </c>
      <c r="F1081" t="s">
        <v>78</v>
      </c>
      <c r="G1081">
        <v>-182.14009999999999</v>
      </c>
      <c r="H1081" s="1">
        <v>-1.439057E-5</v>
      </c>
      <c r="I1081">
        <v>158.2577</v>
      </c>
      <c r="J1081">
        <v>-185.9958</v>
      </c>
      <c r="K1081">
        <v>1.1027089999999999</v>
      </c>
      <c r="L1081">
        <v>173.23419999999999</v>
      </c>
      <c r="M1081">
        <v>6.9505650000000002E-2</v>
      </c>
      <c r="N1081">
        <v>0</v>
      </c>
      <c r="O1081">
        <v>-0.99748689999999995</v>
      </c>
      <c r="P1081">
        <v>4.6357669999999997E-2</v>
      </c>
      <c r="Q1081">
        <v>0.105416</v>
      </c>
      <c r="R1081">
        <v>-0.99334699999999998</v>
      </c>
      <c r="S1081">
        <v>0.76254270000000002</v>
      </c>
      <c r="T1081">
        <v>-0.2169307</v>
      </c>
      <c r="U1081">
        <v>-3.0063019999999998</v>
      </c>
      <c r="V1081">
        <v>2.3041349999999999E-2</v>
      </c>
      <c r="W1081">
        <v>0.1190283</v>
      </c>
      <c r="X1081">
        <v>0.99262340000000004</v>
      </c>
      <c r="Y1081">
        <v>-0.1772852</v>
      </c>
      <c r="Z1081">
        <v>7.0038820000000002E-2</v>
      </c>
      <c r="AA1081">
        <v>0.98166419999999999</v>
      </c>
      <c r="AB1081">
        <v>30</v>
      </c>
      <c r="AC1081">
        <v>3.8557000000000099</v>
      </c>
      <c r="AD1081">
        <v>-1.10272339057</v>
      </c>
      <c r="AE1081">
        <v>-14.9764999999999</v>
      </c>
      <c r="AF1081">
        <v>-2.7911324992020501</v>
      </c>
      <c r="AG1081">
        <v>-1.10272339057</v>
      </c>
      <c r="AH1081">
        <v>15.131357485183999</v>
      </c>
      <c r="AI1081">
        <v>94.099244232808203</v>
      </c>
      <c r="AJ1081">
        <v>100.451307819234</v>
      </c>
      <c r="AK1081">
        <v>15.426094737445601</v>
      </c>
    </row>
    <row r="1082" spans="1:37" x14ac:dyDescent="0.2">
      <c r="A1082" t="str">
        <f>"20200111150606154"</f>
        <v>20200111150606154</v>
      </c>
      <c r="B1082" t="str">
        <f>"1578726366147275"</f>
        <v>1578726366147275</v>
      </c>
      <c r="C1082" t="s">
        <v>37</v>
      </c>
      <c r="D1082">
        <v>5.103847</v>
      </c>
      <c r="E1082">
        <v>0.4223151</v>
      </c>
      <c r="F1082" t="s">
        <v>78</v>
      </c>
      <c r="G1082">
        <v>-182.2045</v>
      </c>
      <c r="H1082" s="1">
        <v>-1.436276E-5</v>
      </c>
      <c r="I1082">
        <v>158.19399999999999</v>
      </c>
      <c r="J1082">
        <v>-185.97630000000001</v>
      </c>
      <c r="K1082">
        <v>1.1027020000000001</v>
      </c>
      <c r="L1082">
        <v>172.9385</v>
      </c>
      <c r="M1082">
        <v>6.8544720000000003E-2</v>
      </c>
      <c r="N1082">
        <v>0</v>
      </c>
      <c r="O1082">
        <v>-0.99755309999999897</v>
      </c>
      <c r="P1082">
        <v>4.4243749999999998E-2</v>
      </c>
      <c r="Q1082">
        <v>0.10500809999999999</v>
      </c>
      <c r="R1082">
        <v>-0.9934868</v>
      </c>
      <c r="S1082">
        <v>0.75828549999999995</v>
      </c>
      <c r="T1082">
        <v>-0.220548299999999</v>
      </c>
      <c r="U1082">
        <v>-3.00808699999999</v>
      </c>
      <c r="V1082">
        <v>2.4200960000000001E-2</v>
      </c>
      <c r="W1082">
        <v>0.1186353</v>
      </c>
      <c r="X1082">
        <v>0.99264289999999999</v>
      </c>
      <c r="Y1082">
        <v>-0.1767686</v>
      </c>
      <c r="Z1082">
        <v>7.1182629999999997E-2</v>
      </c>
      <c r="AA1082">
        <v>0.98167499999999996</v>
      </c>
      <c r="AB1082">
        <v>30</v>
      </c>
      <c r="AC1082">
        <v>3.77180000000001</v>
      </c>
      <c r="AD1082">
        <v>-1.1027163627600001</v>
      </c>
      <c r="AE1082">
        <v>-14.7445</v>
      </c>
      <c r="AF1082">
        <v>-2.73780106777946</v>
      </c>
      <c r="AG1082">
        <v>-1.1027163627600001</v>
      </c>
      <c r="AH1082">
        <v>14.890206570545001</v>
      </c>
      <c r="AI1082">
        <v>94.165813705304103</v>
      </c>
      <c r="AJ1082">
        <v>100.41837598172501</v>
      </c>
      <c r="AK1082">
        <v>15.179914024029801</v>
      </c>
    </row>
    <row r="1083" spans="1:37" x14ac:dyDescent="0.2">
      <c r="A1083" t="str">
        <f>"20200111150606176"</f>
        <v>20200111150606176</v>
      </c>
      <c r="B1083" t="str">
        <f>"1578726366167770"</f>
        <v>1578726366167770</v>
      </c>
      <c r="C1083" t="s">
        <v>37</v>
      </c>
      <c r="D1083">
        <v>5.1231450000000001</v>
      </c>
      <c r="E1083">
        <v>0.413549</v>
      </c>
      <c r="F1083" t="s">
        <v>78</v>
      </c>
      <c r="G1083">
        <v>-182.25700000000001</v>
      </c>
      <c r="H1083" s="1">
        <v>-1.431912E-5</v>
      </c>
      <c r="I1083">
        <v>158.0949</v>
      </c>
      <c r="J1083">
        <v>-185.95570000000001</v>
      </c>
      <c r="K1083">
        <v>1.1026989999999901</v>
      </c>
      <c r="L1083">
        <v>172.62190000000001</v>
      </c>
      <c r="M1083">
        <v>6.7516179999999995E-2</v>
      </c>
      <c r="N1083">
        <v>0</v>
      </c>
      <c r="O1083">
        <v>-0.99762309999999998</v>
      </c>
      <c r="P1083">
        <v>4.2919579999999999E-2</v>
      </c>
      <c r="Q1083">
        <v>0.10447149999999999</v>
      </c>
      <c r="R1083">
        <v>-0.99360159999999997</v>
      </c>
      <c r="S1083">
        <v>0.75413509999999995</v>
      </c>
      <c r="T1083">
        <v>-0.22359009999999899</v>
      </c>
      <c r="U1083">
        <v>-3.009735</v>
      </c>
      <c r="V1083">
        <v>2.450335E-2</v>
      </c>
      <c r="W1083">
        <v>0.118114</v>
      </c>
      <c r="X1083">
        <v>0.99269769999999902</v>
      </c>
      <c r="Y1083">
        <v>-0.17636579999999999</v>
      </c>
      <c r="Z1083">
        <v>7.2143230000000003E-2</v>
      </c>
      <c r="AA1083">
        <v>0.98167739999999903</v>
      </c>
      <c r="AB1083">
        <v>30</v>
      </c>
      <c r="AC1083">
        <v>3.6987000000000001</v>
      </c>
      <c r="AD1083">
        <v>-1.10271331911999</v>
      </c>
      <c r="AE1083">
        <v>-14.526999999999999</v>
      </c>
      <c r="AF1083">
        <v>-2.6947760133378398</v>
      </c>
      <c r="AG1083">
        <v>-1.10271331911999</v>
      </c>
      <c r="AH1083">
        <v>14.664240105567499</v>
      </c>
      <c r="AI1083">
        <v>94.229838857031893</v>
      </c>
      <c r="AJ1083">
        <v>100.412791695384</v>
      </c>
      <c r="AK1083">
        <v>14.9505094327906</v>
      </c>
    </row>
    <row r="1084" spans="1:37" x14ac:dyDescent="0.2">
      <c r="A1084" t="str">
        <f>"20200111150606197"</f>
        <v>20200111150606197</v>
      </c>
      <c r="B1084" t="str">
        <f>"1578726366187293"</f>
        <v>1578726366187293</v>
      </c>
      <c r="C1084" t="s">
        <v>37</v>
      </c>
      <c r="D1084">
        <v>5.0353190000000003</v>
      </c>
      <c r="E1084">
        <v>0.4138</v>
      </c>
      <c r="F1084" t="s">
        <v>79</v>
      </c>
      <c r="G1084">
        <v>-167.89089999999999</v>
      </c>
      <c r="H1084">
        <v>0.30567030000000001</v>
      </c>
      <c r="I1084">
        <v>106.7192</v>
      </c>
      <c r="J1084">
        <v>-185.93770000000001</v>
      </c>
      <c r="K1084">
        <v>1.1027049999999901</v>
      </c>
      <c r="L1084">
        <v>172.34190000000001</v>
      </c>
      <c r="M1084">
        <v>6.6605689999999995E-2</v>
      </c>
      <c r="N1084">
        <v>0</v>
      </c>
      <c r="O1084">
        <v>-0.99768440000000003</v>
      </c>
      <c r="P1084">
        <v>4.2258699999999899E-2</v>
      </c>
      <c r="Q1084">
        <v>0.10412970000000001</v>
      </c>
      <c r="R1084">
        <v>-0.9936661</v>
      </c>
      <c r="S1084">
        <v>0.81898499999999996</v>
      </c>
      <c r="T1084">
        <v>-3.6133650000000003E-2</v>
      </c>
      <c r="U1084">
        <v>-2.987762</v>
      </c>
      <c r="V1084">
        <v>2.4258559999999998E-2</v>
      </c>
      <c r="W1084">
        <v>0.1177849</v>
      </c>
      <c r="X1084">
        <v>0.99274280000000004</v>
      </c>
      <c r="Y1084">
        <v>-0.19951369999999999</v>
      </c>
      <c r="Z1084">
        <v>1.171522E-2</v>
      </c>
      <c r="AA1084">
        <v>0.97982499999999995</v>
      </c>
      <c r="AB1084">
        <v>30</v>
      </c>
      <c r="AC1084">
        <v>18.046800000000001</v>
      </c>
      <c r="AD1084">
        <v>-0.79703469999999899</v>
      </c>
      <c r="AE1084">
        <v>-65.622699999999995</v>
      </c>
      <c r="AF1084">
        <v>-13.633587980786</v>
      </c>
      <c r="AG1084">
        <v>-0.79703469999999899</v>
      </c>
      <c r="AH1084">
        <v>66.669938930513894</v>
      </c>
      <c r="AI1084">
        <v>90.671048761316101</v>
      </c>
      <c r="AJ1084">
        <v>101.55728906019399</v>
      </c>
      <c r="AK1084">
        <v>68.054321997513796</v>
      </c>
    </row>
    <row r="1085" spans="1:37" x14ac:dyDescent="0.2">
      <c r="A1085" t="str">
        <f>"20200111150606219"</f>
        <v>20200111150606219</v>
      </c>
      <c r="B1085" t="str">
        <f>"1578726366207787"</f>
        <v>1578726366207787</v>
      </c>
      <c r="C1085" t="s">
        <v>37</v>
      </c>
      <c r="D1085">
        <v>5.0776459999999997</v>
      </c>
      <c r="E1085">
        <v>0.42010619999999999</v>
      </c>
      <c r="F1085" t="s">
        <v>79</v>
      </c>
      <c r="G1085">
        <v>-168.01679999999999</v>
      </c>
      <c r="H1085">
        <v>7.0205690000000001E-2</v>
      </c>
      <c r="I1085">
        <v>106.5929</v>
      </c>
      <c r="J1085">
        <v>-185.91909999999999</v>
      </c>
      <c r="K1085">
        <v>1.102706</v>
      </c>
      <c r="L1085">
        <v>172.0472</v>
      </c>
      <c r="M1085">
        <v>6.5647739999999996E-2</v>
      </c>
      <c r="N1085">
        <v>0</v>
      </c>
      <c r="O1085">
        <v>-0.99774739999999995</v>
      </c>
      <c r="P1085">
        <v>4.121872E-2</v>
      </c>
      <c r="Q1085">
        <v>0.1031376</v>
      </c>
      <c r="R1085">
        <v>-0.99381269999999999</v>
      </c>
      <c r="S1085">
        <v>0.81480410000000003</v>
      </c>
      <c r="T1085">
        <v>-4.6943779999999997E-2</v>
      </c>
      <c r="U1085">
        <v>-2.9893800000000001</v>
      </c>
      <c r="V1085">
        <v>2.4348910000000001E-2</v>
      </c>
      <c r="W1085">
        <v>0.1168042</v>
      </c>
      <c r="X1085">
        <v>0.99285639999999997</v>
      </c>
      <c r="Y1085">
        <v>-0.19903180000000001</v>
      </c>
      <c r="Z1085">
        <v>1.521637E-2</v>
      </c>
      <c r="AA1085">
        <v>0.97987489999999999</v>
      </c>
      <c r="AB1085">
        <v>30</v>
      </c>
      <c r="AC1085">
        <v>17.902299999999901</v>
      </c>
      <c r="AD1085">
        <v>-1.0325003100000001</v>
      </c>
      <c r="AE1085">
        <v>-65.454300000000003</v>
      </c>
      <c r="AF1085">
        <v>-13.563198622339099</v>
      </c>
      <c r="AG1085">
        <v>-1.0325003100000001</v>
      </c>
      <c r="AH1085">
        <v>66.473047194462396</v>
      </c>
      <c r="AI1085">
        <v>90.871919591208297</v>
      </c>
      <c r="AJ1085">
        <v>101.532362141348</v>
      </c>
      <c r="AK1085">
        <v>67.850515230736406</v>
      </c>
    </row>
    <row r="1086" spans="1:37" x14ac:dyDescent="0.2">
      <c r="A1086" t="str">
        <f>"20200111150606242"</f>
        <v>20200111150606242</v>
      </c>
      <c r="B1086" t="str">
        <f>"1578726366237068"</f>
        <v>1578726366237068</v>
      </c>
      <c r="C1086" t="s">
        <v>37</v>
      </c>
      <c r="D1086">
        <v>5.1676409999999997</v>
      </c>
      <c r="E1086">
        <v>0.41833480000000001</v>
      </c>
      <c r="F1086" t="s">
        <v>39</v>
      </c>
      <c r="G1086">
        <v>-183.01560000000001</v>
      </c>
      <c r="H1086" s="1">
        <v>-2.2062199999999999E-6</v>
      </c>
      <c r="I1086">
        <v>160.55029999999999</v>
      </c>
      <c r="J1086">
        <v>-185.8997</v>
      </c>
      <c r="K1086">
        <v>1.1027049999999901</v>
      </c>
      <c r="L1086">
        <v>171.73519999999999</v>
      </c>
      <c r="M1086">
        <v>6.4633159999999995E-2</v>
      </c>
      <c r="N1086">
        <v>0</v>
      </c>
      <c r="O1086">
        <v>-0.99781359999999997</v>
      </c>
      <c r="P1086">
        <v>3.8799119999999999E-2</v>
      </c>
      <c r="Q1086">
        <v>0.10249519999999999</v>
      </c>
      <c r="R1086">
        <v>-0.99397659999999999</v>
      </c>
      <c r="S1086">
        <v>0.7619629</v>
      </c>
      <c r="T1086">
        <v>-0.28937979999999902</v>
      </c>
      <c r="U1086">
        <v>-3.0171049999999999</v>
      </c>
      <c r="V1086">
        <v>2.5761200000000001E-2</v>
      </c>
      <c r="W1086">
        <v>0.1161691</v>
      </c>
      <c r="X1086">
        <v>0.99289530000000004</v>
      </c>
      <c r="Y1086">
        <v>-0.1806162</v>
      </c>
      <c r="Z1086">
        <v>9.2947260000000004E-2</v>
      </c>
      <c r="AA1086">
        <v>0.97915200000000002</v>
      </c>
      <c r="AB1086">
        <v>30</v>
      </c>
      <c r="AC1086">
        <v>2.8840999999999801</v>
      </c>
      <c r="AD1086">
        <v>-1.1027072062199901</v>
      </c>
      <c r="AE1086">
        <v>-11.184900000000001</v>
      </c>
      <c r="AF1086">
        <v>-2.1356205190325399</v>
      </c>
      <c r="AG1086">
        <v>-1.1027072062199901</v>
      </c>
      <c r="AH1086">
        <v>11.2454464623774</v>
      </c>
      <c r="AI1086">
        <v>95.502681099510895</v>
      </c>
      <c r="AJ1086">
        <v>100.75297914357</v>
      </c>
      <c r="AK1086">
        <v>11.4994306086066</v>
      </c>
    </row>
    <row r="1087" spans="1:37" x14ac:dyDescent="0.2">
      <c r="A1087" t="str">
        <f>"20200111150606265"</f>
        <v>20200111150606265</v>
      </c>
      <c r="B1087" t="str">
        <f>"1578726366257567"</f>
        <v>1578726366257567</v>
      </c>
      <c r="C1087" t="s">
        <v>37</v>
      </c>
      <c r="D1087">
        <v>5.1143519999999896</v>
      </c>
      <c r="E1087">
        <v>0.41805169999999903</v>
      </c>
      <c r="F1087" t="s">
        <v>39</v>
      </c>
      <c r="G1087">
        <v>-182.85759999999999</v>
      </c>
      <c r="H1087" s="1">
        <v>-1.9593960000000001E-6</v>
      </c>
      <c r="I1087">
        <v>159.798</v>
      </c>
      <c r="J1087">
        <v>-185.88140000000001</v>
      </c>
      <c r="K1087">
        <v>1.1026989999999901</v>
      </c>
      <c r="L1087">
        <v>171.43459999999999</v>
      </c>
      <c r="M1087">
        <v>6.3655470000000006E-2</v>
      </c>
      <c r="N1087">
        <v>0</v>
      </c>
      <c r="O1087">
        <v>-0.9978766</v>
      </c>
      <c r="P1087">
        <v>3.4617130000000003E-2</v>
      </c>
      <c r="Q1087">
        <v>0.10229009999999999</v>
      </c>
      <c r="R1087">
        <v>-0.99415239999999905</v>
      </c>
      <c r="S1087">
        <v>0.76884459999999999</v>
      </c>
      <c r="T1087">
        <v>-0.27868809999999999</v>
      </c>
      <c r="U1087">
        <v>-3.01689099999999</v>
      </c>
      <c r="V1087">
        <v>2.897067E-2</v>
      </c>
      <c r="W1087">
        <v>0.1159641</v>
      </c>
      <c r="X1087">
        <v>0.99283080000000001</v>
      </c>
      <c r="Y1087">
        <v>-0.18377160000000001</v>
      </c>
      <c r="Z1087">
        <v>8.9505290000000001E-2</v>
      </c>
      <c r="AA1087">
        <v>0.97888549999999996</v>
      </c>
      <c r="AB1087">
        <v>30</v>
      </c>
      <c r="AC1087">
        <v>3.02380000000002</v>
      </c>
      <c r="AD1087">
        <v>-1.10270095939599</v>
      </c>
      <c r="AE1087">
        <v>-11.6365999999999</v>
      </c>
      <c r="AF1087">
        <v>-2.2578700243330099</v>
      </c>
      <c r="AG1087">
        <v>-1.10270095939599</v>
      </c>
      <c r="AH1087">
        <v>11.7070190198133</v>
      </c>
      <c r="AI1087">
        <v>95.284084479887895</v>
      </c>
      <c r="AJ1087">
        <v>100.916296655514</v>
      </c>
      <c r="AK1087">
        <v>11.9736469291067</v>
      </c>
    </row>
    <row r="1088" spans="1:37" x14ac:dyDescent="0.2">
      <c r="A1088" t="str">
        <f>"20200111150606287"</f>
        <v>20200111150606287</v>
      </c>
      <c r="B1088" t="str">
        <f>"1578726366277090"</f>
        <v>1578726366277090</v>
      </c>
      <c r="C1088" t="s">
        <v>37</v>
      </c>
      <c r="D1088">
        <v>5.2627040000000003</v>
      </c>
      <c r="E1088">
        <v>0.41777920000000002</v>
      </c>
      <c r="F1088" t="s">
        <v>78</v>
      </c>
      <c r="G1088">
        <v>-182.9006</v>
      </c>
      <c r="H1088" s="1">
        <v>-1.495713E-5</v>
      </c>
      <c r="I1088">
        <v>159.56880000000001</v>
      </c>
      <c r="J1088">
        <v>-185.86269999999999</v>
      </c>
      <c r="K1088">
        <v>1.102695</v>
      </c>
      <c r="L1088">
        <v>171.12379999999999</v>
      </c>
      <c r="M1088">
        <v>6.2644469999999994E-2</v>
      </c>
      <c r="N1088">
        <v>0</v>
      </c>
      <c r="O1088">
        <v>-0.9979403</v>
      </c>
      <c r="P1088">
        <v>2.8586480000000001E-2</v>
      </c>
      <c r="Q1088">
        <v>0.101601</v>
      </c>
      <c r="R1088">
        <v>-0.99441489999999999</v>
      </c>
      <c r="S1088">
        <v>0.75868230000000003</v>
      </c>
      <c r="T1088">
        <v>-0.28066459999999999</v>
      </c>
      <c r="U1088">
        <v>-3.0200960000000001</v>
      </c>
      <c r="V1088">
        <v>3.3996699999999998E-2</v>
      </c>
      <c r="W1088">
        <v>0.1152706</v>
      </c>
      <c r="X1088">
        <v>0.99275219999999897</v>
      </c>
      <c r="Y1088">
        <v>-0.18140909999999999</v>
      </c>
      <c r="Z1088">
        <v>9.0107839999999995E-2</v>
      </c>
      <c r="AA1088">
        <v>0.9792708</v>
      </c>
      <c r="AB1088">
        <v>30</v>
      </c>
      <c r="AC1088">
        <v>2.9620999999999902</v>
      </c>
      <c r="AD1088">
        <v>-1.1027099571300001</v>
      </c>
      <c r="AE1088">
        <v>-11.5549999999999</v>
      </c>
      <c r="AF1088">
        <v>-2.2134399750899898</v>
      </c>
      <c r="AG1088">
        <v>-1.1027099571300001</v>
      </c>
      <c r="AH1088">
        <v>11.6185897794492</v>
      </c>
      <c r="AI1088">
        <v>95.326421205977098</v>
      </c>
      <c r="AJ1088">
        <v>100.78608359733001</v>
      </c>
      <c r="AK1088">
        <v>11.878843135423701</v>
      </c>
    </row>
    <row r="1089" spans="1:37" x14ac:dyDescent="0.2">
      <c r="A1089" t="str">
        <f>"20200111150606309"</f>
        <v>20200111150606309</v>
      </c>
      <c r="B1089" t="str">
        <f>"1578726366297579"</f>
        <v>1578726366297579</v>
      </c>
      <c r="C1089" t="s">
        <v>37</v>
      </c>
      <c r="D1089">
        <v>5.0565730000000002</v>
      </c>
      <c r="E1089">
        <v>0.47277209999999997</v>
      </c>
      <c r="F1089" t="s">
        <v>78</v>
      </c>
      <c r="G1089">
        <v>-182.94139999999999</v>
      </c>
      <c r="H1089" s="1">
        <v>-1.480638E-5</v>
      </c>
      <c r="I1089">
        <v>159.2174</v>
      </c>
      <c r="J1089">
        <v>-185.84649999999999</v>
      </c>
      <c r="K1089">
        <v>1.102695</v>
      </c>
      <c r="L1089">
        <v>170.85</v>
      </c>
      <c r="M1089">
        <v>6.175394E-2</v>
      </c>
      <c r="N1089">
        <v>0</v>
      </c>
      <c r="O1089">
        <v>-0.99799559999999998</v>
      </c>
      <c r="P1089">
        <v>1.9459859999999999E-2</v>
      </c>
      <c r="Q1089">
        <v>9.9372810000000006E-2</v>
      </c>
      <c r="R1089">
        <v>-0.99486010000000002</v>
      </c>
      <c r="S1089">
        <v>0.74200440000000001</v>
      </c>
      <c r="T1089">
        <v>-0.28008159999999999</v>
      </c>
      <c r="U1089">
        <v>-3.0241389999999999</v>
      </c>
      <c r="V1089">
        <v>4.2241430000000003E-2</v>
      </c>
      <c r="W1089">
        <v>0.1130295</v>
      </c>
      <c r="X1089">
        <v>0.9926933</v>
      </c>
      <c r="Y1089">
        <v>-0.17689189999999999</v>
      </c>
      <c r="Z1089">
        <v>8.9909680000000006E-2</v>
      </c>
      <c r="AA1089">
        <v>0.98011510000000002</v>
      </c>
      <c r="AB1089">
        <v>30</v>
      </c>
      <c r="AC1089">
        <v>2.9051</v>
      </c>
      <c r="AD1089">
        <v>-1.10270980638</v>
      </c>
      <c r="AE1089">
        <v>-11.632599999999901</v>
      </c>
      <c r="AF1089">
        <v>-2.1628323730281802</v>
      </c>
      <c r="AG1089">
        <v>-1.10270980638</v>
      </c>
      <c r="AH1089">
        <v>11.690924623070799</v>
      </c>
      <c r="AI1089">
        <v>95.298912392069894</v>
      </c>
      <c r="AJ1089">
        <v>100.48127177553199</v>
      </c>
      <c r="AK1089">
        <v>11.9403321282629</v>
      </c>
    </row>
    <row r="1090" spans="1:37" x14ac:dyDescent="0.2">
      <c r="A1090" t="str">
        <f>"20200111150606332"</f>
        <v>20200111150606332</v>
      </c>
      <c r="B1090" t="str">
        <f>"1578726366327836"</f>
        <v>1578726366327836</v>
      </c>
      <c r="C1090" t="s">
        <v>37</v>
      </c>
      <c r="D1090">
        <v>5.1648949999999996</v>
      </c>
      <c r="E1090">
        <v>0.47277209999999997</v>
      </c>
      <c r="F1090" t="s">
        <v>78</v>
      </c>
      <c r="G1090">
        <v>-182.69880000000001</v>
      </c>
      <c r="H1090" s="1">
        <v>-7.603404E-6</v>
      </c>
      <c r="I1090">
        <v>136.5146</v>
      </c>
      <c r="J1090">
        <v>-185.82820000000001</v>
      </c>
      <c r="K1090">
        <v>1.102692</v>
      </c>
      <c r="L1090">
        <v>170.5342</v>
      </c>
      <c r="M1090">
        <v>6.0720450000000002E-2</v>
      </c>
      <c r="N1090">
        <v>0</v>
      </c>
      <c r="O1090">
        <v>-0.99805900000000003</v>
      </c>
      <c r="P1090">
        <v>8.673676E-3</v>
      </c>
      <c r="Q1090">
        <v>9.6306030000000001E-2</v>
      </c>
      <c r="R1090">
        <v>-0.99531389999999997</v>
      </c>
      <c r="S1090">
        <v>0.27684019999999998</v>
      </c>
      <c r="T1090">
        <v>-9.6981529999999996E-2</v>
      </c>
      <c r="U1090">
        <v>-3.01975999999999</v>
      </c>
      <c r="V1090">
        <v>5.199989E-2</v>
      </c>
      <c r="W1090">
        <v>0.1099456</v>
      </c>
      <c r="X1090">
        <v>0.99257640000000003</v>
      </c>
      <c r="Y1090">
        <v>-3.06055999999999E-2</v>
      </c>
      <c r="Z1090">
        <v>3.1935949999999998E-2</v>
      </c>
      <c r="AA1090">
        <v>0.99902119999999905</v>
      </c>
      <c r="AB1090">
        <v>30</v>
      </c>
      <c r="AC1090">
        <v>3.1294</v>
      </c>
      <c r="AD1090">
        <v>-1.102699603404</v>
      </c>
      <c r="AE1090">
        <v>-34.019599999999997</v>
      </c>
      <c r="AF1090">
        <v>-1.0566407308818799</v>
      </c>
      <c r="AG1090">
        <v>-1.102699603404</v>
      </c>
      <c r="AH1090">
        <v>34.111313976577499</v>
      </c>
      <c r="AI1090">
        <v>91.850640561311593</v>
      </c>
      <c r="AJ1090">
        <v>91.7742412943782</v>
      </c>
      <c r="AK1090">
        <v>34.145485459400902</v>
      </c>
    </row>
    <row r="1091" spans="1:37" x14ac:dyDescent="0.2">
      <c r="A1091" t="str">
        <f>"20200111150606357"</f>
        <v>20200111150606357</v>
      </c>
      <c r="B1091" t="str">
        <f>"1578726366347355"</f>
        <v>1578726366347355</v>
      </c>
      <c r="C1091" t="s">
        <v>37</v>
      </c>
      <c r="D1091">
        <v>5.0843980000000002</v>
      </c>
      <c r="E1091">
        <v>0.58764450000000001</v>
      </c>
      <c r="F1091" t="s">
        <v>78</v>
      </c>
      <c r="G1091">
        <v>-183.2586</v>
      </c>
      <c r="H1091" s="1">
        <v>-8.3963499999999997E-6</v>
      </c>
      <c r="I1091">
        <v>138.9228</v>
      </c>
      <c r="J1091">
        <v>-185.81</v>
      </c>
      <c r="K1091">
        <v>1.1026689999999999</v>
      </c>
      <c r="L1091">
        <v>170.21619999999999</v>
      </c>
      <c r="M1091">
        <v>5.963475E-2</v>
      </c>
      <c r="N1091">
        <v>0</v>
      </c>
      <c r="O1091">
        <v>-0.99812440000000002</v>
      </c>
      <c r="P1091">
        <v>2.781463E-4</v>
      </c>
      <c r="Q1091">
        <v>9.4073539999999997E-2</v>
      </c>
      <c r="R1091">
        <v>-0.99556520000000004</v>
      </c>
      <c r="S1091">
        <v>0.24566650000000001</v>
      </c>
      <c r="T1091">
        <v>-0.10542360000000001</v>
      </c>
      <c r="U1091">
        <v>-3.0222020000000001</v>
      </c>
      <c r="V1091">
        <v>5.9314770000000003E-2</v>
      </c>
      <c r="W1091">
        <v>0.1076969</v>
      </c>
      <c r="X1091">
        <v>0.99241279999999998</v>
      </c>
      <c r="Y1091">
        <v>-2.1382519999999999E-2</v>
      </c>
      <c r="Z1091">
        <v>3.4707710000000003E-2</v>
      </c>
      <c r="AA1091">
        <v>0.99916879999999997</v>
      </c>
      <c r="AB1091">
        <v>30</v>
      </c>
      <c r="AC1091">
        <v>2.5514000000000001</v>
      </c>
      <c r="AD1091">
        <v>-1.1026773963500001</v>
      </c>
      <c r="AE1091">
        <v>-31.293399999999899</v>
      </c>
      <c r="AF1091">
        <v>-0.67966730757635396</v>
      </c>
      <c r="AG1091">
        <v>-1.1026773963500001</v>
      </c>
      <c r="AH1091">
        <v>31.3511925573961</v>
      </c>
      <c r="AI1091">
        <v>92.013891667140797</v>
      </c>
      <c r="AJ1091">
        <v>91.241929445185903</v>
      </c>
      <c r="AK1091">
        <v>31.377940019388401</v>
      </c>
    </row>
    <row r="1092" spans="1:37" x14ac:dyDescent="0.2">
      <c r="A1092" t="str">
        <f>"20200111150606378"</f>
        <v>20200111150606378</v>
      </c>
      <c r="B1092" t="str">
        <f>"1578726366366875"</f>
        <v>1578726366366875</v>
      </c>
      <c r="C1092" t="s">
        <v>37</v>
      </c>
      <c r="D1092">
        <v>4.8431809999999897</v>
      </c>
      <c r="E1092">
        <v>0.58303559999999999</v>
      </c>
      <c r="F1092" t="s">
        <v>78</v>
      </c>
      <c r="G1092">
        <v>-188.7884</v>
      </c>
      <c r="H1092" s="1">
        <v>-1.394953E-5</v>
      </c>
      <c r="I1092">
        <v>157.2201</v>
      </c>
      <c r="J1092">
        <v>-185.7938</v>
      </c>
      <c r="K1092">
        <v>1.1026260000000001</v>
      </c>
      <c r="L1092">
        <v>169.92529999999999</v>
      </c>
      <c r="M1092">
        <v>5.8558390000000002E-2</v>
      </c>
      <c r="N1092">
        <v>0</v>
      </c>
      <c r="O1092">
        <v>-0.99818830000000003</v>
      </c>
      <c r="P1092">
        <v>-4.0899559999999996E-3</v>
      </c>
      <c r="Q1092">
        <v>9.5361689999999999E-2</v>
      </c>
      <c r="R1092">
        <v>-0.99543459999999995</v>
      </c>
      <c r="S1092">
        <v>-0.69621279999999997</v>
      </c>
      <c r="T1092">
        <v>-0.25775959999999998</v>
      </c>
      <c r="U1092">
        <v>-3.0379179999999999</v>
      </c>
      <c r="V1092">
        <v>6.261129E-2</v>
      </c>
      <c r="W1092">
        <v>0.108968699999999</v>
      </c>
      <c r="X1092">
        <v>0.99207140000000005</v>
      </c>
      <c r="Y1092">
        <v>0.27933390000000002</v>
      </c>
      <c r="Z1092">
        <v>8.1591960000000005E-2</v>
      </c>
      <c r="AA1092">
        <v>0.95672109999999899</v>
      </c>
      <c r="AB1092">
        <v>30</v>
      </c>
      <c r="AC1092">
        <v>-2.9945999999999899</v>
      </c>
      <c r="AD1092">
        <v>-1.1026399495300001</v>
      </c>
      <c r="AE1092">
        <v>-12.7051999999999</v>
      </c>
      <c r="AF1092">
        <v>3.7070755561506599</v>
      </c>
      <c r="AG1092">
        <v>-1.1026399495300001</v>
      </c>
      <c r="AH1092">
        <v>12.419399268771601</v>
      </c>
      <c r="AI1092">
        <v>94.862706428734</v>
      </c>
      <c r="AJ1092">
        <v>73.380123354602901</v>
      </c>
      <c r="AK1092">
        <v>13.007678587452601</v>
      </c>
    </row>
    <row r="1093" spans="1:37" x14ac:dyDescent="0.2">
      <c r="A1093" t="str">
        <f>"20200111150606402"</f>
        <v>20200111150606402</v>
      </c>
      <c r="B1093" t="str">
        <f>"1578726366397130"</f>
        <v>1578726366397130</v>
      </c>
      <c r="C1093" t="s">
        <v>37</v>
      </c>
      <c r="D1093">
        <v>5.0437779999999997</v>
      </c>
      <c r="E1093">
        <v>0.58055409999999996</v>
      </c>
      <c r="F1093" t="s">
        <v>78</v>
      </c>
      <c r="G1093">
        <v>-188.8974</v>
      </c>
      <c r="H1093" s="1">
        <v>-1.3416909999999999E-5</v>
      </c>
      <c r="I1093">
        <v>155.9786</v>
      </c>
      <c r="J1093">
        <v>-185.77719999999999</v>
      </c>
      <c r="K1093">
        <v>1.1025609999999999</v>
      </c>
      <c r="L1093">
        <v>169.61969999999999</v>
      </c>
      <c r="M1093">
        <v>5.731779E-2</v>
      </c>
      <c r="N1093">
        <v>0</v>
      </c>
      <c r="O1093">
        <v>-0.99826000000000004</v>
      </c>
      <c r="P1093">
        <v>-8.4483200000000005E-3</v>
      </c>
      <c r="Q1093">
        <v>9.8108340000000002E-2</v>
      </c>
      <c r="R1093">
        <v>-0.99513999999999903</v>
      </c>
      <c r="S1093">
        <v>-0.67515559999999997</v>
      </c>
      <c r="T1093">
        <v>-0.2398689</v>
      </c>
      <c r="U1093">
        <v>-3.0339809999999998</v>
      </c>
      <c r="V1093">
        <v>6.5738569999999996E-2</v>
      </c>
      <c r="W1093">
        <v>0.1116924</v>
      </c>
      <c r="X1093">
        <v>0.99156610000000001</v>
      </c>
      <c r="Y1093">
        <v>0.27217950000000002</v>
      </c>
      <c r="Z1093">
        <v>7.6205399999999895E-2</v>
      </c>
      <c r="AA1093">
        <v>0.95922419999999997</v>
      </c>
      <c r="AB1093">
        <v>30</v>
      </c>
      <c r="AC1093">
        <v>-3.1202000000000099</v>
      </c>
      <c r="AD1093">
        <v>-1.10257441691</v>
      </c>
      <c r="AE1093">
        <v>-13.6410999999999</v>
      </c>
      <c r="AF1093">
        <v>3.8729775757813401</v>
      </c>
      <c r="AG1093">
        <v>-1.10257441691</v>
      </c>
      <c r="AH1093">
        <v>13.356886495120699</v>
      </c>
      <c r="AI1093">
        <v>94.533020603890506</v>
      </c>
      <c r="AJ1093">
        <v>73.829896612794499</v>
      </c>
      <c r="AK1093">
        <v>13.950700430116999</v>
      </c>
    </row>
    <row r="1094" spans="1:37" x14ac:dyDescent="0.2">
      <c r="A1094" t="str">
        <f>"20200111150606420"</f>
        <v>20200111150606420</v>
      </c>
      <c r="B1094" t="str">
        <f>"1578726366417627"</f>
        <v>1578726366417627</v>
      </c>
      <c r="C1094" t="s">
        <v>37</v>
      </c>
      <c r="D1094">
        <v>5.8323089999999898</v>
      </c>
      <c r="E1094">
        <v>0.58036080000000001</v>
      </c>
      <c r="F1094" t="s">
        <v>78</v>
      </c>
      <c r="G1094">
        <v>-188.8546</v>
      </c>
      <c r="H1094" s="1">
        <v>-1.328896E-5</v>
      </c>
      <c r="I1094">
        <v>155.68029999999999</v>
      </c>
      <c r="J1094">
        <v>-185.76349999999999</v>
      </c>
      <c r="K1094">
        <v>1.102473</v>
      </c>
      <c r="L1094">
        <v>169.35919999999999</v>
      </c>
      <c r="M1094">
        <v>5.61018E-2</v>
      </c>
      <c r="N1094">
        <v>0</v>
      </c>
      <c r="O1094">
        <v>-0.99832919999999903</v>
      </c>
      <c r="P1094">
        <v>-1.2661210000000001E-2</v>
      </c>
      <c r="Q1094">
        <v>0.10176389999999901</v>
      </c>
      <c r="R1094">
        <v>-0.99472830000000001</v>
      </c>
      <c r="S1094">
        <v>-0.66952509999999998</v>
      </c>
      <c r="T1094">
        <v>-0.23987220000000001</v>
      </c>
      <c r="U1094">
        <v>-3.0326080000000002</v>
      </c>
      <c r="V1094">
        <v>6.8751339999999994E-2</v>
      </c>
      <c r="W1094">
        <v>0.115319</v>
      </c>
      <c r="X1094">
        <v>0.99094640000000001</v>
      </c>
      <c r="Y1094">
        <v>0.26939970000000002</v>
      </c>
      <c r="Z1094">
        <v>7.6293540000000007E-2</v>
      </c>
      <c r="AA1094">
        <v>0.96000160000000001</v>
      </c>
      <c r="AB1094">
        <v>30</v>
      </c>
      <c r="AC1094">
        <v>-3.0911000000000102</v>
      </c>
      <c r="AD1094">
        <v>-1.10248628896</v>
      </c>
      <c r="AE1094">
        <v>-13.678900000000001</v>
      </c>
      <c r="AF1094">
        <v>3.8300440257345199</v>
      </c>
      <c r="AG1094">
        <v>-1.10248628896</v>
      </c>
      <c r="AH1094">
        <v>13.401095743765399</v>
      </c>
      <c r="AI1094">
        <v>94.522747585407302</v>
      </c>
      <c r="AJ1094">
        <v>74.050020847833594</v>
      </c>
      <c r="AK1094">
        <v>13.981204540023599</v>
      </c>
    </row>
    <row r="1095" spans="1:37" x14ac:dyDescent="0.2">
      <c r="A1095" t="str">
        <f>"20200111150606443"</f>
        <v>20200111150606443</v>
      </c>
      <c r="B1095" t="str">
        <f>"1578726366437147"</f>
        <v>1578726366437147</v>
      </c>
      <c r="C1095" t="s">
        <v>37</v>
      </c>
      <c r="D1095">
        <v>5.1121559999999997</v>
      </c>
      <c r="E1095">
        <v>0.579870199999999</v>
      </c>
      <c r="F1095" t="s">
        <v>78</v>
      </c>
      <c r="G1095">
        <v>-189.02850000000001</v>
      </c>
      <c r="H1095" s="1">
        <v>-1.2929239999999999E-5</v>
      </c>
      <c r="I1095">
        <v>154.85</v>
      </c>
      <c r="J1095">
        <v>-185.74799999999999</v>
      </c>
      <c r="K1095">
        <v>1.102301</v>
      </c>
      <c r="L1095">
        <v>169.05260000000001</v>
      </c>
      <c r="M1095">
        <v>5.4380369999999997E-2</v>
      </c>
      <c r="N1095">
        <v>0</v>
      </c>
      <c r="O1095">
        <v>-0.99842410000000004</v>
      </c>
      <c r="P1095">
        <v>-1.6754060000000001E-2</v>
      </c>
      <c r="Q1095">
        <v>0.1048631</v>
      </c>
      <c r="R1095">
        <v>-0.99434539999999905</v>
      </c>
      <c r="S1095">
        <v>-0.68202209999999996</v>
      </c>
      <c r="T1095">
        <v>-0.23029520000000001</v>
      </c>
      <c r="U1095">
        <v>-3.0307919999999999</v>
      </c>
      <c r="V1095">
        <v>7.1170789999999998E-2</v>
      </c>
      <c r="W1095">
        <v>0.1183825</v>
      </c>
      <c r="X1095">
        <v>0.99041420000000002</v>
      </c>
      <c r="Y1095">
        <v>0.27168120000000001</v>
      </c>
      <c r="Z1095">
        <v>7.3261980000000004E-2</v>
      </c>
      <c r="AA1095">
        <v>0.95959470000000002</v>
      </c>
      <c r="AB1095">
        <v>30</v>
      </c>
      <c r="AC1095">
        <v>-3.2805000000000102</v>
      </c>
      <c r="AD1095">
        <v>-1.1023139292399999</v>
      </c>
      <c r="AE1095">
        <v>-14.2026</v>
      </c>
      <c r="AF1095">
        <v>4.0250434743430397</v>
      </c>
      <c r="AG1095">
        <v>-1.1023139292399999</v>
      </c>
      <c r="AH1095">
        <v>13.923542966281699</v>
      </c>
      <c r="AI1095">
        <v>94.349253693970894</v>
      </c>
      <c r="AJ1095">
        <v>73.8763783706015</v>
      </c>
      <c r="AK1095">
        <v>14.5355123646482</v>
      </c>
    </row>
    <row r="1096" spans="1:37" x14ac:dyDescent="0.2">
      <c r="A1096" t="str">
        <f>"20200111150606467"</f>
        <v>20200111150606467</v>
      </c>
      <c r="B1096" t="str">
        <f>"1578726366457643"</f>
        <v>1578726366457643</v>
      </c>
      <c r="C1096" t="s">
        <v>37</v>
      </c>
      <c r="D1096">
        <v>5.0812019999999896</v>
      </c>
      <c r="E1096">
        <v>0.57894060000000003</v>
      </c>
      <c r="F1096" t="s">
        <v>78</v>
      </c>
      <c r="G1096">
        <v>-189.40280000000001</v>
      </c>
      <c r="H1096" s="1">
        <v>-1.2177899999999901E-5</v>
      </c>
      <c r="I1096">
        <v>153.1003</v>
      </c>
      <c r="J1096">
        <v>-185.73339999999999</v>
      </c>
      <c r="K1096">
        <v>1.1020479999999999</v>
      </c>
      <c r="L1096">
        <v>168.745</v>
      </c>
      <c r="M1096">
        <v>5.2257629999999999E-2</v>
      </c>
      <c r="N1096">
        <v>0</v>
      </c>
      <c r="O1096">
        <v>-0.99853709999999996</v>
      </c>
      <c r="P1096">
        <v>-2.2754139999999999E-2</v>
      </c>
      <c r="Q1096">
        <v>0.1073591</v>
      </c>
      <c r="R1096">
        <v>-0.99396019999999896</v>
      </c>
      <c r="S1096">
        <v>-0.69360350000000004</v>
      </c>
      <c r="T1096">
        <v>-0.209196299999999</v>
      </c>
      <c r="U1096">
        <v>-3.0274200000000002</v>
      </c>
      <c r="V1096">
        <v>7.5121549999999995E-2</v>
      </c>
      <c r="W1096">
        <v>0.12082999999999899</v>
      </c>
      <c r="X1096">
        <v>0.98982669999999995</v>
      </c>
      <c r="Y1096">
        <v>0.27345949999999902</v>
      </c>
      <c r="Z1096">
        <v>6.6621340000000001E-2</v>
      </c>
      <c r="AA1096">
        <v>0.95957359999999903</v>
      </c>
      <c r="AB1096">
        <v>30</v>
      </c>
      <c r="AC1096">
        <v>-3.66940000000002</v>
      </c>
      <c r="AD1096">
        <v>-1.1020601779000001</v>
      </c>
      <c r="AE1096">
        <v>-15.6447</v>
      </c>
      <c r="AF1096">
        <v>4.4610366920326401</v>
      </c>
      <c r="AG1096">
        <v>-1.1020601779000001</v>
      </c>
      <c r="AH1096">
        <v>15.359304788692199</v>
      </c>
      <c r="AI1096">
        <v>93.941704345529004</v>
      </c>
      <c r="AJ1096">
        <v>73.804313345411302</v>
      </c>
      <c r="AK1096">
        <v>16.0319564805834</v>
      </c>
    </row>
    <row r="1097" spans="1:37" x14ac:dyDescent="0.2">
      <c r="A1097" t="str">
        <f>"20200111150606489"</f>
        <v>20200111150606489</v>
      </c>
      <c r="B1097" t="str">
        <f>"1578726366486922"</f>
        <v>1578726366486922</v>
      </c>
      <c r="C1097" t="s">
        <v>37</v>
      </c>
      <c r="D1097">
        <v>5.0954499999999996</v>
      </c>
      <c r="E1097">
        <v>0.57708590000000004</v>
      </c>
      <c r="F1097" t="s">
        <v>78</v>
      </c>
      <c r="G1097">
        <v>-189.45939999999999</v>
      </c>
      <c r="H1097" s="1">
        <v>-1.2041469999999999E-5</v>
      </c>
      <c r="I1097">
        <v>152.78120000000001</v>
      </c>
      <c r="J1097">
        <v>-185.7201</v>
      </c>
      <c r="K1097">
        <v>1.1017299999999901</v>
      </c>
      <c r="L1097">
        <v>168.44049999999999</v>
      </c>
      <c r="M1097">
        <v>4.9687799999999997E-2</v>
      </c>
      <c r="N1097">
        <v>0</v>
      </c>
      <c r="O1097">
        <v>-0.998668</v>
      </c>
      <c r="P1097">
        <v>-3.2527220000000003E-2</v>
      </c>
      <c r="Q1097">
        <v>0.1082018</v>
      </c>
      <c r="R1097">
        <v>-0.99359690000000001</v>
      </c>
      <c r="S1097">
        <v>-0.70594789999999996</v>
      </c>
      <c r="T1097">
        <v>-0.20880589999999899</v>
      </c>
      <c r="U1097">
        <v>-3.0246430000000002</v>
      </c>
      <c r="V1097">
        <v>8.2415710000000003E-2</v>
      </c>
      <c r="W1097">
        <v>0.121604399999999</v>
      </c>
      <c r="X1097">
        <v>0.98915119999999901</v>
      </c>
      <c r="Y1097">
        <v>0.274895</v>
      </c>
      <c r="Z1097">
        <v>6.6526279999999993E-2</v>
      </c>
      <c r="AA1097">
        <v>0.95916999999999997</v>
      </c>
      <c r="AB1097">
        <v>30</v>
      </c>
      <c r="AC1097">
        <v>-3.7392999999999801</v>
      </c>
      <c r="AD1097">
        <v>-1.1017420414700001</v>
      </c>
      <c r="AE1097">
        <v>-15.659299999999901</v>
      </c>
      <c r="AF1097">
        <v>4.4917962775778202</v>
      </c>
      <c r="AG1097">
        <v>-1.1017420414700001</v>
      </c>
      <c r="AH1097">
        <v>15.382102708275101</v>
      </c>
      <c r="AI1097">
        <v>93.933096013398497</v>
      </c>
      <c r="AJ1097">
        <v>73.721432677910101</v>
      </c>
      <c r="AK1097">
        <v>16.062352039882899</v>
      </c>
    </row>
    <row r="1098" spans="1:37" x14ac:dyDescent="0.2">
      <c r="A1098" t="str">
        <f>"20200111150606510"</f>
        <v>20200111150606510</v>
      </c>
      <c r="B1098" t="str">
        <f>"1578726366507419"</f>
        <v>1578726366507419</v>
      </c>
      <c r="C1098" t="s">
        <v>37</v>
      </c>
      <c r="D1098">
        <v>5.105969</v>
      </c>
      <c r="E1098">
        <v>0.5759088</v>
      </c>
      <c r="F1098" t="s">
        <v>78</v>
      </c>
      <c r="G1098">
        <v>-189.2698</v>
      </c>
      <c r="H1098" s="1">
        <v>-1.23678E-5</v>
      </c>
      <c r="I1098">
        <v>153.5453</v>
      </c>
      <c r="J1098">
        <v>-185.70949999999999</v>
      </c>
      <c r="K1098">
        <v>1.1014090000000001</v>
      </c>
      <c r="L1098">
        <v>168.17019999999999</v>
      </c>
      <c r="M1098">
        <v>4.6944989999999999E-2</v>
      </c>
      <c r="N1098">
        <v>0</v>
      </c>
      <c r="O1098">
        <v>-0.99879989999999996</v>
      </c>
      <c r="P1098">
        <v>-4.5121359999999999E-2</v>
      </c>
      <c r="Q1098">
        <v>0.1086733</v>
      </c>
      <c r="R1098">
        <v>-0.99305279999999996</v>
      </c>
      <c r="S1098">
        <v>-0.71971130000000005</v>
      </c>
      <c r="T1098">
        <v>-0.22338339999999901</v>
      </c>
      <c r="U1098">
        <v>-3.0200809999999998</v>
      </c>
      <c r="V1098">
        <v>9.2352439999999994E-2</v>
      </c>
      <c r="W1098">
        <v>0.121984</v>
      </c>
      <c r="X1098">
        <v>0.98822619999999906</v>
      </c>
      <c r="Y1098">
        <v>0.27664050000000001</v>
      </c>
      <c r="Z1098">
        <v>7.121073E-2</v>
      </c>
      <c r="AA1098">
        <v>0.95833140000000006</v>
      </c>
      <c r="AB1098">
        <v>30</v>
      </c>
      <c r="AC1098">
        <v>-3.56030000000001</v>
      </c>
      <c r="AD1098">
        <v>-1.1014213678</v>
      </c>
      <c r="AE1098">
        <v>-14.624899999999901</v>
      </c>
      <c r="AF1098">
        <v>4.2204085416203796</v>
      </c>
      <c r="AG1098">
        <v>-1.1014213678</v>
      </c>
      <c r="AH1098">
        <v>14.3647025240346</v>
      </c>
      <c r="AI1098">
        <v>94.207448448967995</v>
      </c>
      <c r="AJ1098">
        <v>73.626995499497497</v>
      </c>
      <c r="AK1098">
        <v>15.012316806264</v>
      </c>
    </row>
    <row r="1099" spans="1:37" x14ac:dyDescent="0.2">
      <c r="A1099" t="str">
        <f>"20200111150606533"</f>
        <v>20200111150606533</v>
      </c>
      <c r="B1099" t="str">
        <f>"1578726366526939"</f>
        <v>1578726366526939</v>
      </c>
      <c r="C1099" t="s">
        <v>37</v>
      </c>
      <c r="D1099">
        <v>5.1547190000000001</v>
      </c>
      <c r="E1099">
        <v>0.57441969999999898</v>
      </c>
      <c r="F1099" t="s">
        <v>78</v>
      </c>
      <c r="G1099">
        <v>-189.27430000000001</v>
      </c>
      <c r="H1099" s="1">
        <v>-1.24719E-5</v>
      </c>
      <c r="I1099">
        <v>153.78790000000001</v>
      </c>
      <c r="J1099">
        <v>-185.69909999999999</v>
      </c>
      <c r="K1099">
        <v>1.1010279999999999</v>
      </c>
      <c r="L1099">
        <v>167.87370000000001</v>
      </c>
      <c r="M1099">
        <v>4.3426109999999997E-2</v>
      </c>
      <c r="N1099">
        <v>0</v>
      </c>
      <c r="O1099">
        <v>-0.99895859999999903</v>
      </c>
      <c r="P1099">
        <v>-5.903883E-2</v>
      </c>
      <c r="Q1099">
        <v>0.1107889</v>
      </c>
      <c r="R1099">
        <v>-0.9920892</v>
      </c>
      <c r="S1099">
        <v>-0.74662779999999995</v>
      </c>
      <c r="T1099">
        <v>-0.230688</v>
      </c>
      <c r="U1099">
        <v>-3.0123289999999998</v>
      </c>
      <c r="V1099">
        <v>0.1028594</v>
      </c>
      <c r="W1099">
        <v>0.12397569999999999</v>
      </c>
      <c r="X1099">
        <v>0.98693969999999898</v>
      </c>
      <c r="Y1099">
        <v>0.2818502</v>
      </c>
      <c r="Z1099">
        <v>7.3594080000000006E-2</v>
      </c>
      <c r="AA1099">
        <v>0.95663180000000003</v>
      </c>
      <c r="AB1099">
        <v>30</v>
      </c>
      <c r="AC1099">
        <v>-3.5752000000000201</v>
      </c>
      <c r="AD1099">
        <v>-1.1010404719</v>
      </c>
      <c r="AE1099">
        <v>-14.085800000000001</v>
      </c>
      <c r="AF1099">
        <v>4.1597004170059604</v>
      </c>
      <c r="AG1099">
        <v>-1.1010404719</v>
      </c>
      <c r="AH1099">
        <v>13.837804981933401</v>
      </c>
      <c r="AI1099">
        <v>94.357473474233402</v>
      </c>
      <c r="AJ1099">
        <v>73.269008452480193</v>
      </c>
      <c r="AK1099">
        <v>14.4913851787199</v>
      </c>
    </row>
    <row r="1100" spans="1:37" x14ac:dyDescent="0.2">
      <c r="A1100" t="str">
        <f>"20200111150606556"</f>
        <v>20200111150606556</v>
      </c>
      <c r="B1100" t="str">
        <f>"1578726366547437"</f>
        <v>1578726366547437</v>
      </c>
      <c r="C1100" t="s">
        <v>37</v>
      </c>
      <c r="D1100">
        <v>5.1515409999999999</v>
      </c>
      <c r="E1100">
        <v>0.57341769999999903</v>
      </c>
      <c r="F1100" t="s">
        <v>78</v>
      </c>
      <c r="G1100">
        <v>-189.35220000000001</v>
      </c>
      <c r="H1100" s="1">
        <v>-1.2453530000000001E-5</v>
      </c>
      <c r="I1100">
        <v>153.74369999999999</v>
      </c>
      <c r="J1100">
        <v>-185.69</v>
      </c>
      <c r="K1100">
        <v>1.100608</v>
      </c>
      <c r="L1100">
        <v>167.5547</v>
      </c>
      <c r="M1100">
        <v>3.8979319999999998E-2</v>
      </c>
      <c r="N1100">
        <v>0</v>
      </c>
      <c r="O1100">
        <v>-0.99914099999999995</v>
      </c>
      <c r="P1100">
        <v>-7.439308E-2</v>
      </c>
      <c r="Q1100">
        <v>0.112821699999999</v>
      </c>
      <c r="R1100">
        <v>-0.99082669999999995</v>
      </c>
      <c r="S1100">
        <v>-0.77658079999999996</v>
      </c>
      <c r="T1100">
        <v>-0.2340652</v>
      </c>
      <c r="U1100">
        <v>-3.0038450000000001</v>
      </c>
      <c r="V1100">
        <v>0.11389769999999901</v>
      </c>
      <c r="W1100">
        <v>0.1258563</v>
      </c>
      <c r="X1100">
        <v>0.98548849999999999</v>
      </c>
      <c r="Y1100">
        <v>0.28714859999999998</v>
      </c>
      <c r="Z1100">
        <v>7.4739949999999999E-2</v>
      </c>
      <c r="AA1100">
        <v>0.95496579999999998</v>
      </c>
      <c r="AB1100">
        <v>30</v>
      </c>
      <c r="AC1100">
        <v>-3.6622000000000101</v>
      </c>
      <c r="AD1100">
        <v>-1.1006204535299999</v>
      </c>
      <c r="AE1100">
        <v>-13.811</v>
      </c>
      <c r="AF1100">
        <v>4.1730519094902201</v>
      </c>
      <c r="AG1100">
        <v>-1.1006204535299999</v>
      </c>
      <c r="AH1100">
        <v>13.5771768261973</v>
      </c>
      <c r="AI1100">
        <v>94.430799477352394</v>
      </c>
      <c r="AJ1100">
        <v>72.914778228694999</v>
      </c>
      <c r="AK1100">
        <v>14.246594617376299</v>
      </c>
    </row>
    <row r="1101" spans="1:37" x14ac:dyDescent="0.2">
      <c r="A1101" t="str">
        <f>"20200111150606577"</f>
        <v>20200111150606577</v>
      </c>
      <c r="B1101" t="str">
        <f>"1578726366566954"</f>
        <v>1578726366566954</v>
      </c>
      <c r="C1101" t="s">
        <v>37</v>
      </c>
      <c r="D1101">
        <v>4.0849719999999996</v>
      </c>
      <c r="E1101">
        <v>0.5727894</v>
      </c>
      <c r="F1101" t="s">
        <v>78</v>
      </c>
      <c r="G1101">
        <v>-189.5942</v>
      </c>
      <c r="H1101" s="1">
        <v>-1.223792E-5</v>
      </c>
      <c r="I1101">
        <v>153.23679999999999</v>
      </c>
      <c r="J1101">
        <v>-185.68360000000001</v>
      </c>
      <c r="K1101">
        <v>1.100274</v>
      </c>
      <c r="L1101">
        <v>167.2732</v>
      </c>
      <c r="M1101">
        <v>3.4634770000000002E-2</v>
      </c>
      <c r="N1101">
        <v>0</v>
      </c>
      <c r="O1101">
        <v>-0.99930049999999904</v>
      </c>
      <c r="P1101">
        <v>-9.121862E-2</v>
      </c>
      <c r="Q1101">
        <v>0.1134623</v>
      </c>
      <c r="R1101">
        <v>-0.98934599999999995</v>
      </c>
      <c r="S1101">
        <v>-0.81603999999999999</v>
      </c>
      <c r="T1101">
        <v>-0.230048799999999</v>
      </c>
      <c r="U1101">
        <v>-2.9927060000000001</v>
      </c>
      <c r="V1101">
        <v>0.12648010000000001</v>
      </c>
      <c r="W1101">
        <v>0.12632409999999999</v>
      </c>
      <c r="X1101">
        <v>0.98389280000000001</v>
      </c>
      <c r="Y1101">
        <v>0.29561729999999897</v>
      </c>
      <c r="Z1101">
        <v>7.3526960000000002E-2</v>
      </c>
      <c r="AA1101">
        <v>0.95247269999999995</v>
      </c>
      <c r="AB1101">
        <v>29</v>
      </c>
      <c r="AC1101">
        <v>-3.9105999999999801</v>
      </c>
      <c r="AD1101">
        <v>-1.10028623792</v>
      </c>
      <c r="AE1101">
        <v>-14.0364</v>
      </c>
      <c r="AF1101">
        <v>4.36953368833605</v>
      </c>
      <c r="AG1101">
        <v>-1.10028623792</v>
      </c>
      <c r="AH1101">
        <v>13.8137535117935</v>
      </c>
      <c r="AI1101">
        <v>94.342863954634893</v>
      </c>
      <c r="AJ1101">
        <v>72.4469190717641</v>
      </c>
      <c r="AK1101">
        <v>14.530080541533399</v>
      </c>
    </row>
    <row r="1102" spans="1:37" x14ac:dyDescent="0.2">
      <c r="A1102" t="str">
        <f>"20200111150606678"</f>
        <v>20200111150606678</v>
      </c>
      <c r="B1102" t="str">
        <f>"1578726366667486"</f>
        <v>1578726366667486</v>
      </c>
      <c r="C1102" t="s">
        <v>37</v>
      </c>
      <c r="D1102">
        <v>4.9077380000000002</v>
      </c>
      <c r="E1102">
        <v>0.68657709999999905</v>
      </c>
      <c r="F1102" t="s">
        <v>78</v>
      </c>
      <c r="G1102">
        <v>-189.8605</v>
      </c>
      <c r="H1102" s="1">
        <v>-1.20819499999999E-5</v>
      </c>
      <c r="I1102">
        <v>152.86850000000001</v>
      </c>
      <c r="J1102">
        <v>-185.67699999999999</v>
      </c>
      <c r="K1102">
        <v>1.0987959999999899</v>
      </c>
      <c r="L1102">
        <v>165.94929999999999</v>
      </c>
      <c r="M1102">
        <v>8.8154789999999993E-3</v>
      </c>
      <c r="N1102">
        <v>0</v>
      </c>
      <c r="O1102">
        <v>-0.99985859999999904</v>
      </c>
      <c r="P1102">
        <v>-0.18307399999999999</v>
      </c>
      <c r="Q1102">
        <v>0.11473510000000001</v>
      </c>
      <c r="R1102">
        <v>-0.97638119999999995</v>
      </c>
      <c r="S1102">
        <v>-0.86375429999999997</v>
      </c>
      <c r="T1102">
        <v>-0.2275276</v>
      </c>
      <c r="U1102">
        <v>-2.978745</v>
      </c>
      <c r="V1102">
        <v>0.19318740000000001</v>
      </c>
      <c r="W1102">
        <v>0.12641159999999901</v>
      </c>
      <c r="X1102">
        <v>0.97298439999999997</v>
      </c>
      <c r="Y1102">
        <v>0.28621199999999902</v>
      </c>
      <c r="Z1102">
        <v>7.306783E-2</v>
      </c>
      <c r="AA1102">
        <v>0.95537629999999996</v>
      </c>
      <c r="AB1102">
        <v>29</v>
      </c>
      <c r="AC1102">
        <v>-4.18349999999998</v>
      </c>
      <c r="AD1102">
        <v>-1.0988080819499999</v>
      </c>
      <c r="AE1102">
        <v>-13.080799999999901</v>
      </c>
      <c r="AF1102">
        <v>4.2713199264056998</v>
      </c>
      <c r="AG1102">
        <v>-1.0988080819499999</v>
      </c>
      <c r="AH1102">
        <v>12.9604420960542</v>
      </c>
      <c r="AI1102">
        <v>94.603610327347099</v>
      </c>
      <c r="AJ1102">
        <v>71.759541828948699</v>
      </c>
      <c r="AK1102">
        <v>13.690310896391001</v>
      </c>
    </row>
    <row r="1103" spans="1:37" x14ac:dyDescent="0.2">
      <c r="A1103" t="str">
        <f>"20200111150606699"</f>
        <v>20200111150606699</v>
      </c>
      <c r="B1103" t="str">
        <f>"1578726366697739"</f>
        <v>1578726366697739</v>
      </c>
      <c r="C1103" t="s">
        <v>37</v>
      </c>
      <c r="D1103">
        <v>4.9577679999999997</v>
      </c>
      <c r="E1103">
        <v>0.68890399999999996</v>
      </c>
      <c r="F1103" t="s">
        <v>78</v>
      </c>
      <c r="G1103">
        <v>-198.37819999999999</v>
      </c>
      <c r="H1103" s="1">
        <v>-1.201818E-5</v>
      </c>
      <c r="I1103">
        <v>148.9982</v>
      </c>
      <c r="J1103">
        <v>-185.6815</v>
      </c>
      <c r="K1103">
        <v>1.09849</v>
      </c>
      <c r="L1103">
        <v>165.66480000000001</v>
      </c>
      <c r="M1103">
        <v>2.1817550000000001E-3</v>
      </c>
      <c r="N1103">
        <v>0</v>
      </c>
      <c r="O1103">
        <v>-0.99989430000000001</v>
      </c>
      <c r="P1103">
        <v>-0.20209340000000001</v>
      </c>
      <c r="Q1103">
        <v>0.1152783</v>
      </c>
      <c r="R1103">
        <v>-0.97255820000000004</v>
      </c>
      <c r="S1103">
        <v>-2.0321959999999999</v>
      </c>
      <c r="T1103">
        <v>-0.1758102</v>
      </c>
      <c r="U1103">
        <v>-2.712189</v>
      </c>
      <c r="V1103">
        <v>0.20582729999999899</v>
      </c>
      <c r="W1103">
        <v>0.12665860000000001</v>
      </c>
      <c r="X1103">
        <v>0.97035700000000003</v>
      </c>
      <c r="Y1103">
        <v>0.60057320000000003</v>
      </c>
      <c r="Z1103">
        <v>5.1768109999999999E-2</v>
      </c>
      <c r="AA1103">
        <v>0.79789219999999905</v>
      </c>
      <c r="AB1103">
        <v>29</v>
      </c>
      <c r="AC1103">
        <v>-12.6966999999999</v>
      </c>
      <c r="AD1103">
        <v>-1.09850201817999</v>
      </c>
      <c r="AE1103">
        <v>-16.666599999999999</v>
      </c>
      <c r="AF1103">
        <v>12.698130376034801</v>
      </c>
      <c r="AG1103">
        <v>-1.09850201817999</v>
      </c>
      <c r="AH1103">
        <v>16.593243593425399</v>
      </c>
      <c r="AI1103">
        <v>93.009489217839203</v>
      </c>
      <c r="AJ1103">
        <v>52.574648353677397</v>
      </c>
      <c r="AK1103">
        <v>20.923311274305501</v>
      </c>
    </row>
    <row r="1104" spans="1:37" x14ac:dyDescent="0.2">
      <c r="A1104" t="str">
        <f>"20200111150606724"</f>
        <v>20200111150606724</v>
      </c>
      <c r="B1104" t="str">
        <f>"1578726366717259"</f>
        <v>1578726366717259</v>
      </c>
      <c r="C1104" t="s">
        <v>37</v>
      </c>
      <c r="D1104">
        <v>5.0461710000000002</v>
      </c>
      <c r="E1104">
        <v>0.68960849999999996</v>
      </c>
      <c r="F1104" t="s">
        <v>78</v>
      </c>
      <c r="G1104">
        <v>-198.29429999999999</v>
      </c>
      <c r="H1104" s="1">
        <v>-1.2183469999999901E-5</v>
      </c>
      <c r="I1104">
        <v>149.65639999999999</v>
      </c>
      <c r="J1104">
        <v>-185.68889999999999</v>
      </c>
      <c r="K1104">
        <v>1.0981559999999999</v>
      </c>
      <c r="L1104">
        <v>165.3546</v>
      </c>
      <c r="M1104">
        <v>-5.5101789999999996E-3</v>
      </c>
      <c r="N1104">
        <v>0</v>
      </c>
      <c r="O1104">
        <v>-0.99988099999999902</v>
      </c>
      <c r="P1104">
        <v>-0.22112080000000001</v>
      </c>
      <c r="Q1104">
        <v>0.1159337</v>
      </c>
      <c r="R1104">
        <v>-0.9683311</v>
      </c>
      <c r="S1104">
        <v>-2.103119</v>
      </c>
      <c r="T1104">
        <v>-0.18316949999999901</v>
      </c>
      <c r="U1104">
        <v>-2.669327</v>
      </c>
      <c r="V1104">
        <v>0.217505899999999</v>
      </c>
      <c r="W1104">
        <v>0.1270001</v>
      </c>
      <c r="X1104">
        <v>0.96776139999999999</v>
      </c>
      <c r="Y1104">
        <v>0.61363690000000004</v>
      </c>
      <c r="Z1104">
        <v>5.3923260000000001E-2</v>
      </c>
      <c r="AA1104">
        <v>0.78774489999999997</v>
      </c>
      <c r="AB1104">
        <v>29</v>
      </c>
      <c r="AC1104">
        <v>-12.605399999999999</v>
      </c>
      <c r="AD1104">
        <v>-1.0981681834699999</v>
      </c>
      <c r="AE1104">
        <v>-15.6982</v>
      </c>
      <c r="AF1104">
        <v>12.481563443276199</v>
      </c>
      <c r="AG1104">
        <v>-1.0981681834699999</v>
      </c>
      <c r="AH1104">
        <v>15.7206533424164</v>
      </c>
      <c r="AI1104">
        <v>93.131445401675805</v>
      </c>
      <c r="AJ1104">
        <v>51.551845005554497</v>
      </c>
      <c r="AK1104">
        <v>20.103092818274099</v>
      </c>
    </row>
    <row r="1105" spans="1:37" x14ac:dyDescent="0.2">
      <c r="A1105" t="str">
        <f>"20200111150606745"</f>
        <v>20200111150606745</v>
      </c>
      <c r="B1105" t="str">
        <f>"1578726366737754"</f>
        <v>1578726366737754</v>
      </c>
      <c r="C1105" t="s">
        <v>37</v>
      </c>
      <c r="D1105">
        <v>5.0310360000000003</v>
      </c>
      <c r="E1105">
        <v>0.68830449999999999</v>
      </c>
      <c r="F1105" t="s">
        <v>78</v>
      </c>
      <c r="G1105">
        <v>-198.1848</v>
      </c>
      <c r="H1105" s="1">
        <v>-1.238506E-5</v>
      </c>
      <c r="I1105">
        <v>150.17150000000001</v>
      </c>
      <c r="J1105">
        <v>-185.6986</v>
      </c>
      <c r="K1105">
        <v>1.0978330000000001</v>
      </c>
      <c r="L1105">
        <v>165.06129999999999</v>
      </c>
      <c r="M1105">
        <v>-1.3221109999999999E-2</v>
      </c>
      <c r="N1105">
        <v>0</v>
      </c>
      <c r="O1105">
        <v>-0.99980789999999997</v>
      </c>
      <c r="P1105">
        <v>-0.2399762</v>
      </c>
      <c r="Q1105">
        <v>0.1170795</v>
      </c>
      <c r="R1105">
        <v>-0.96369309999999997</v>
      </c>
      <c r="S1105">
        <v>-2.1621549999999998</v>
      </c>
      <c r="T1105">
        <v>-0.19001560000000001</v>
      </c>
      <c r="U1105">
        <v>-2.6271209999999998</v>
      </c>
      <c r="V1105">
        <v>0.22905329999999999</v>
      </c>
      <c r="W1105">
        <v>0.12781919999999999</v>
      </c>
      <c r="X1105">
        <v>0.96498539999999899</v>
      </c>
      <c r="Y1105">
        <v>0.62420889999999996</v>
      </c>
      <c r="Z1105">
        <v>5.601358E-2</v>
      </c>
      <c r="AA1105">
        <v>0.77924689999999996</v>
      </c>
      <c r="AB1105">
        <v>29</v>
      </c>
      <c r="AC1105">
        <v>-12.486199999999901</v>
      </c>
      <c r="AD1105">
        <v>-1.0978453850600001</v>
      </c>
      <c r="AE1105">
        <v>-14.8897999999999</v>
      </c>
      <c r="AF1105">
        <v>12.2491312219277</v>
      </c>
      <c r="AG1105">
        <v>-1.0978453850600001</v>
      </c>
      <c r="AH1105">
        <v>15.005701643802899</v>
      </c>
      <c r="AI1105">
        <v>93.243851097703995</v>
      </c>
      <c r="AJ1105">
        <v>50.775290892566503</v>
      </c>
      <c r="AK1105">
        <v>19.4014835000917</v>
      </c>
    </row>
    <row r="1106" spans="1:37" x14ac:dyDescent="0.2">
      <c r="A1106" t="str">
        <f>"20200111150606767"</f>
        <v>20200111150606767</v>
      </c>
      <c r="B1106" t="str">
        <f>"1578726366757066"</f>
        <v>1578726366757066</v>
      </c>
      <c r="C1106" t="s">
        <v>37</v>
      </c>
      <c r="D1106">
        <v>5.014983</v>
      </c>
      <c r="E1106">
        <v>0.68597940000000002</v>
      </c>
      <c r="F1106" t="s">
        <v>78</v>
      </c>
      <c r="G1106">
        <v>-198.29</v>
      </c>
      <c r="H1106" s="1">
        <v>-1.244987E-5</v>
      </c>
      <c r="I1106">
        <v>150.2791</v>
      </c>
      <c r="J1106">
        <v>-185.71090000000001</v>
      </c>
      <c r="K1106">
        <v>1.0975090000000001</v>
      </c>
      <c r="L1106">
        <v>164.76949999999999</v>
      </c>
      <c r="M1106">
        <v>-2.1319029999999999E-2</v>
      </c>
      <c r="N1106">
        <v>0</v>
      </c>
      <c r="O1106">
        <v>-0.99966719999999898</v>
      </c>
      <c r="P1106">
        <v>-0.25795589999999902</v>
      </c>
      <c r="Q1106">
        <v>0.1175943</v>
      </c>
      <c r="R1106">
        <v>-0.95897389999999905</v>
      </c>
      <c r="S1106">
        <v>-2.204056</v>
      </c>
      <c r="T1106">
        <v>-0.1921717</v>
      </c>
      <c r="U1106">
        <v>-2.5875400000000002</v>
      </c>
      <c r="V1106">
        <v>0.239399899999999</v>
      </c>
      <c r="W1106">
        <v>0.12801219999999999</v>
      </c>
      <c r="X1106">
        <v>0.96244509999999905</v>
      </c>
      <c r="Y1106">
        <v>0.63101719999999994</v>
      </c>
      <c r="Z1106">
        <v>5.6862879999999998E-2</v>
      </c>
      <c r="AA1106">
        <v>0.77368210000000004</v>
      </c>
      <c r="AB1106">
        <v>29</v>
      </c>
      <c r="AC1106">
        <v>-12.579099999999899</v>
      </c>
      <c r="AD1106">
        <v>-1.0975214498700001</v>
      </c>
      <c r="AE1106">
        <v>-14.4903999999999</v>
      </c>
      <c r="AF1106">
        <v>12.227286054114</v>
      </c>
      <c r="AG1106">
        <v>-1.0975214498700001</v>
      </c>
      <c r="AH1106">
        <v>14.7071951264071</v>
      </c>
      <c r="AI1106">
        <v>93.284225523679495</v>
      </c>
      <c r="AJ1106">
        <v>50.260500358255499</v>
      </c>
      <c r="AK1106">
        <v>19.157574639506699</v>
      </c>
    </row>
    <row r="1107" spans="1:37" x14ac:dyDescent="0.2">
      <c r="A1107" t="str">
        <f>"20200111150606790"</f>
        <v>20200111150606790</v>
      </c>
      <c r="B1107" t="str">
        <f>"1578726366787324"</f>
        <v>1578726366787324</v>
      </c>
      <c r="C1107" t="s">
        <v>37</v>
      </c>
      <c r="D1107">
        <v>5.0517859999999999</v>
      </c>
      <c r="E1107">
        <v>0.66161890000000001</v>
      </c>
      <c r="F1107" t="s">
        <v>78</v>
      </c>
      <c r="G1107">
        <v>-198.0403</v>
      </c>
      <c r="H1107" s="1">
        <v>-1.2563889999999999E-5</v>
      </c>
      <c r="I1107">
        <v>150.69970000000001</v>
      </c>
      <c r="J1107">
        <v>-185.72579999999999</v>
      </c>
      <c r="K1107">
        <v>1.0971959999999901</v>
      </c>
      <c r="L1107">
        <v>164.4819</v>
      </c>
      <c r="M1107">
        <v>-2.9726530000000001E-2</v>
      </c>
      <c r="N1107">
        <v>0</v>
      </c>
      <c r="O1107">
        <v>-0.9994518</v>
      </c>
      <c r="P1107">
        <v>-0.27491559999999998</v>
      </c>
      <c r="Q1107">
        <v>0.11932129999999901</v>
      </c>
      <c r="R1107">
        <v>-0.95403579999999999</v>
      </c>
      <c r="S1107">
        <v>-2.2357480000000001</v>
      </c>
      <c r="T1107">
        <v>-0.19901869999999999</v>
      </c>
      <c r="U1107">
        <v>-2.5513460000000001</v>
      </c>
      <c r="V1107">
        <v>0.248507899999999</v>
      </c>
      <c r="W1107">
        <v>0.12942229999999999</v>
      </c>
      <c r="X1107">
        <v>0.95994460000000004</v>
      </c>
      <c r="Y1107">
        <v>0.63525810000000005</v>
      </c>
      <c r="Z1107">
        <v>5.9165549999999997E-2</v>
      </c>
      <c r="AA1107">
        <v>0.7700302</v>
      </c>
      <c r="AB1107">
        <v>29</v>
      </c>
      <c r="AC1107">
        <v>-12.314500000000001</v>
      </c>
      <c r="AD1107">
        <v>-1.09720856388999</v>
      </c>
      <c r="AE1107">
        <v>-13.7821999999999</v>
      </c>
      <c r="AF1107">
        <v>11.8575273887379</v>
      </c>
      <c r="AG1107">
        <v>-1.09720856388999</v>
      </c>
      <c r="AH1107">
        <v>14.0925486216428</v>
      </c>
      <c r="AI1107">
        <v>93.409340160194205</v>
      </c>
      <c r="AJ1107">
        <v>49.922607671787198</v>
      </c>
      <c r="AK1107">
        <v>18.450060950053999</v>
      </c>
    </row>
    <row r="1108" spans="1:37" x14ac:dyDescent="0.2">
      <c r="A1108" t="str">
        <f>"20200111150606813"</f>
        <v>20200111150606813</v>
      </c>
      <c r="B1108" t="str">
        <f>"1578726366807819"</f>
        <v>1578726366807819</v>
      </c>
      <c r="C1108" t="s">
        <v>37</v>
      </c>
      <c r="D1108">
        <v>4.9937019999999999</v>
      </c>
      <c r="E1108">
        <v>0.66174549999999999</v>
      </c>
      <c r="F1108" t="s">
        <v>78</v>
      </c>
      <c r="G1108">
        <v>-197.16130000000001</v>
      </c>
      <c r="H1108" s="1">
        <v>-1.2339349999999901E-5</v>
      </c>
      <c r="I1108">
        <v>150.48820000000001</v>
      </c>
      <c r="J1108">
        <v>-185.74469999999999</v>
      </c>
      <c r="K1108">
        <v>1.0968610000000001</v>
      </c>
      <c r="L1108">
        <v>164.1765</v>
      </c>
      <c r="M1108">
        <v>-3.9128940000000001E-2</v>
      </c>
      <c r="N1108">
        <v>0</v>
      </c>
      <c r="O1108">
        <v>-0.99912690000000004</v>
      </c>
      <c r="P1108">
        <v>-0.292846299999999</v>
      </c>
      <c r="Q1108">
        <v>0.1219237</v>
      </c>
      <c r="R1108">
        <v>-0.94835419999999904</v>
      </c>
      <c r="S1108">
        <v>-2.0965579999999999</v>
      </c>
      <c r="T1108">
        <v>-0.2011588</v>
      </c>
      <c r="U1108">
        <v>-2.5655669999999899</v>
      </c>
      <c r="V1108">
        <v>0.25773829999999998</v>
      </c>
      <c r="W1108">
        <v>0.13168060000000001</v>
      </c>
      <c r="X1108">
        <v>0.95719959999999904</v>
      </c>
      <c r="Y1108">
        <v>0.60080489999999998</v>
      </c>
      <c r="Z1108">
        <v>6.1348229999999997E-2</v>
      </c>
      <c r="AA1108">
        <v>0.79703819999999903</v>
      </c>
      <c r="AB1108">
        <v>29</v>
      </c>
      <c r="AC1108">
        <v>-11.416600000000001</v>
      </c>
      <c r="AD1108">
        <v>-1.0968733393500001</v>
      </c>
      <c r="AE1108">
        <v>-13.6882999999999</v>
      </c>
      <c r="AF1108">
        <v>10.8311722433979</v>
      </c>
      <c r="AG1108">
        <v>-1.0968733393500001</v>
      </c>
      <c r="AH1108">
        <v>14.0712955259326</v>
      </c>
      <c r="AI1108">
        <v>93.534718968526093</v>
      </c>
      <c r="AJ1108">
        <v>52.4132528271209</v>
      </c>
      <c r="AK1108">
        <v>17.790974708173302</v>
      </c>
    </row>
    <row r="1109" spans="1:37" x14ac:dyDescent="0.2">
      <c r="A1109" t="str">
        <f>"20200111150606837"</f>
        <v>20200111150606837</v>
      </c>
      <c r="B1109" t="str">
        <f>"1578726366827338"</f>
        <v>1578726366827338</v>
      </c>
      <c r="C1109" t="s">
        <v>37</v>
      </c>
      <c r="D1109">
        <v>5.0232929999999998</v>
      </c>
      <c r="E1109">
        <v>0.66113669999999902</v>
      </c>
      <c r="F1109" t="s">
        <v>78</v>
      </c>
      <c r="G1109">
        <v>-198.05369999999999</v>
      </c>
      <c r="H1109" s="1">
        <v>-1.2157970000000001E-5</v>
      </c>
      <c r="I1109">
        <v>149.69640000000001</v>
      </c>
      <c r="J1109">
        <v>-185.7671</v>
      </c>
      <c r="K1109">
        <v>1.09653</v>
      </c>
      <c r="L1109">
        <v>163.8732</v>
      </c>
      <c r="M1109">
        <v>-4.8985609999999999E-2</v>
      </c>
      <c r="N1109">
        <v>0</v>
      </c>
      <c r="O1109">
        <v>-0.99869140000000001</v>
      </c>
      <c r="P1109">
        <v>-0.31078309999999998</v>
      </c>
      <c r="Q1109">
        <v>0.12296889999999901</v>
      </c>
      <c r="R1109">
        <v>-0.94249280000000002</v>
      </c>
      <c r="S1109">
        <v>-2.1465000000000001</v>
      </c>
      <c r="T1109">
        <v>-0.19127810000000001</v>
      </c>
      <c r="U1109">
        <v>-2.5251160000000001</v>
      </c>
      <c r="V1109">
        <v>0.26659119999999997</v>
      </c>
      <c r="W1109">
        <v>0.13238249999999999</v>
      </c>
      <c r="X1109">
        <v>0.95467479999999905</v>
      </c>
      <c r="Y1109">
        <v>0.60846679999999997</v>
      </c>
      <c r="Z1109">
        <v>5.8509239999999997E-2</v>
      </c>
      <c r="AA1109">
        <v>0.79141949999999905</v>
      </c>
      <c r="AB1109">
        <v>29</v>
      </c>
      <c r="AC1109">
        <v>-12.2865999999999</v>
      </c>
      <c r="AD1109">
        <v>-1.0965421579700001</v>
      </c>
      <c r="AE1109">
        <v>-14.176799999999901</v>
      </c>
      <c r="AF1109">
        <v>11.5378933616634</v>
      </c>
      <c r="AG1109">
        <v>-1.0965421579700001</v>
      </c>
      <c r="AH1109">
        <v>14.711447014249099</v>
      </c>
      <c r="AI1109">
        <v>93.356574529628205</v>
      </c>
      <c r="AJ1109">
        <v>51.8936202503698</v>
      </c>
      <c r="AK1109">
        <v>18.728375828735999</v>
      </c>
    </row>
    <row r="1110" spans="1:37" x14ac:dyDescent="0.2">
      <c r="A1110" t="str">
        <f>"20200111150606857"</f>
        <v>20200111150606857</v>
      </c>
      <c r="B1110" t="str">
        <f>"1578726366847835"</f>
        <v>1578726366847835</v>
      </c>
      <c r="C1110" t="s">
        <v>37</v>
      </c>
      <c r="D1110">
        <v>4.9832080000000003</v>
      </c>
      <c r="E1110">
        <v>0.65988279999999999</v>
      </c>
      <c r="F1110" t="s">
        <v>78</v>
      </c>
      <c r="G1110">
        <v>-198.7448</v>
      </c>
      <c r="H1110" s="1">
        <v>-1.212035E-5</v>
      </c>
      <c r="I1110">
        <v>149.13910000000001</v>
      </c>
      <c r="J1110">
        <v>-185.79069999999999</v>
      </c>
      <c r="K1110">
        <v>1.0962479999999999</v>
      </c>
      <c r="L1110">
        <v>163.59520000000001</v>
      </c>
      <c r="M1110">
        <v>-5.8375990000000003E-2</v>
      </c>
      <c r="N1110">
        <v>0</v>
      </c>
      <c r="O1110">
        <v>-0.99818560000000001</v>
      </c>
      <c r="P1110">
        <v>-0.32842139999999997</v>
      </c>
      <c r="Q1110">
        <v>0.12296789999999901</v>
      </c>
      <c r="R1110">
        <v>-0.93649280000000001</v>
      </c>
      <c r="S1110">
        <v>-2.1890559999999999</v>
      </c>
      <c r="T1110">
        <v>-0.18496370000000001</v>
      </c>
      <c r="U1110">
        <v>-2.4853360000000002</v>
      </c>
      <c r="V1110">
        <v>0.2756323</v>
      </c>
      <c r="W1110">
        <v>0.13205169999999999</v>
      </c>
      <c r="X1110">
        <v>0.95214979999999905</v>
      </c>
      <c r="Y1110">
        <v>0.61496289999999998</v>
      </c>
      <c r="Z1110">
        <v>5.6786549999999998E-2</v>
      </c>
      <c r="AA1110">
        <v>0.78650869999999995</v>
      </c>
      <c r="AB1110">
        <v>29</v>
      </c>
      <c r="AC1110">
        <v>-12.9541</v>
      </c>
      <c r="AD1110">
        <v>-1.09626012035</v>
      </c>
      <c r="AE1110">
        <v>-14.4560999999999</v>
      </c>
      <c r="AF1110">
        <v>12.0495902129244</v>
      </c>
      <c r="AG1110">
        <v>-1.09626012035</v>
      </c>
      <c r="AH1110">
        <v>15.1394447723029</v>
      </c>
      <c r="AI1110">
        <v>93.242701315652795</v>
      </c>
      <c r="AJ1110">
        <v>51.4834720833068</v>
      </c>
      <c r="AK1110">
        <v>19.3803301975091</v>
      </c>
    </row>
    <row r="1111" spans="1:37" x14ac:dyDescent="0.2">
      <c r="A1111" t="str">
        <f>"20200111150606880"</f>
        <v>20200111150606880</v>
      </c>
      <c r="B1111" t="str">
        <f>"1578726366877284"</f>
        <v>1578726366877284</v>
      </c>
      <c r="C1111" t="s">
        <v>37</v>
      </c>
      <c r="D1111">
        <v>5.0063760000000004</v>
      </c>
      <c r="E1111">
        <v>0.65697850000000002</v>
      </c>
      <c r="F1111" t="s">
        <v>78</v>
      </c>
      <c r="G1111">
        <v>-198.3441</v>
      </c>
      <c r="H1111" s="1">
        <v>-1.22465E-5</v>
      </c>
      <c r="I1111">
        <v>149.78270000000001</v>
      </c>
      <c r="J1111">
        <v>-185.8177</v>
      </c>
      <c r="K1111">
        <v>1.095985</v>
      </c>
      <c r="L1111">
        <v>163.31229999999999</v>
      </c>
      <c r="M1111">
        <v>-6.8288589999999996E-2</v>
      </c>
      <c r="N1111">
        <v>0</v>
      </c>
      <c r="O1111">
        <v>-0.99755559999999999</v>
      </c>
      <c r="P1111">
        <v>-0.34696929999999998</v>
      </c>
      <c r="Q1111">
        <v>0.12296609999999999</v>
      </c>
      <c r="R1111">
        <v>-0.92978050000000001</v>
      </c>
      <c r="S1111">
        <v>-2.2253419999999999</v>
      </c>
      <c r="T1111">
        <v>-0.1943338</v>
      </c>
      <c r="U1111">
        <v>-2.4485320000000002</v>
      </c>
      <c r="V1111">
        <v>0.28519060000000002</v>
      </c>
      <c r="W1111">
        <v>0.1317005</v>
      </c>
      <c r="X1111">
        <v>0.94937939999999998</v>
      </c>
      <c r="Y1111">
        <v>0.61926380000000003</v>
      </c>
      <c r="Z1111">
        <v>5.9887530000000001E-2</v>
      </c>
      <c r="AA1111">
        <v>0.78289589999999998</v>
      </c>
      <c r="AB1111">
        <v>29</v>
      </c>
      <c r="AC1111">
        <v>-12.526399999999899</v>
      </c>
      <c r="AD1111">
        <v>-1.0959972465000001</v>
      </c>
      <c r="AE1111">
        <v>-13.529599999999901</v>
      </c>
      <c r="AF1111">
        <v>11.532385066082901</v>
      </c>
      <c r="AG1111">
        <v>-1.0959972465000001</v>
      </c>
      <c r="AH1111">
        <v>14.3029759540648</v>
      </c>
      <c r="AI1111">
        <v>93.413777219245205</v>
      </c>
      <c r="AJ1111">
        <v>51.121021064630803</v>
      </c>
      <c r="AK1111">
        <v>18.405766390436</v>
      </c>
    </row>
    <row r="1112" spans="1:37" x14ac:dyDescent="0.2">
      <c r="A1112" t="str">
        <f>"20200111150606901"</f>
        <v>20200111150606901</v>
      </c>
      <c r="B1112" t="str">
        <f>"1578726366897781"</f>
        <v>1578726366897781</v>
      </c>
      <c r="C1112" t="s">
        <v>37</v>
      </c>
      <c r="D1112">
        <v>5.0860799999999999</v>
      </c>
      <c r="E1112">
        <v>0.65658919999999998</v>
      </c>
      <c r="F1112" t="s">
        <v>78</v>
      </c>
      <c r="G1112">
        <v>-198.53270000000001</v>
      </c>
      <c r="H1112" s="1">
        <v>-1.22356199999999E-5</v>
      </c>
      <c r="I1112">
        <v>149.67930000000001</v>
      </c>
      <c r="J1112">
        <v>-185.8484</v>
      </c>
      <c r="K1112">
        <v>1.09571</v>
      </c>
      <c r="L1112">
        <v>163.02520000000001</v>
      </c>
      <c r="M1112">
        <v>-7.8745689999999993E-2</v>
      </c>
      <c r="N1112">
        <v>0</v>
      </c>
      <c r="O1112">
        <v>-0.99678389999999994</v>
      </c>
      <c r="P1112">
        <v>-0.36627359999999998</v>
      </c>
      <c r="Q1112">
        <v>0.1249482</v>
      </c>
      <c r="R1112">
        <v>-0.92208029999999996</v>
      </c>
      <c r="S1112">
        <v>-2.250076</v>
      </c>
      <c r="T1112">
        <v>-0.19394919999999999</v>
      </c>
      <c r="U1112">
        <v>-2.4125209999999999</v>
      </c>
      <c r="V1112">
        <v>0.2951744</v>
      </c>
      <c r="W1112">
        <v>0.13330549999999999</v>
      </c>
      <c r="X1112">
        <v>0.94609809999999905</v>
      </c>
      <c r="Y1112">
        <v>0.62112129999999999</v>
      </c>
      <c r="Z1112">
        <v>6.011946E-2</v>
      </c>
      <c r="AA1112">
        <v>0.78140509999999996</v>
      </c>
      <c r="AB1112">
        <v>29</v>
      </c>
      <c r="AC1112">
        <v>-12.6843</v>
      </c>
      <c r="AD1112">
        <v>-1.09572223562</v>
      </c>
      <c r="AE1112">
        <v>-13.3459</v>
      </c>
      <c r="AF1112">
        <v>11.5529394440826</v>
      </c>
      <c r="AG1112">
        <v>-1.09572223562</v>
      </c>
      <c r="AH1112">
        <v>14.2529149716518</v>
      </c>
      <c r="AI1112">
        <v>93.417749253466596</v>
      </c>
      <c r="AJ1112">
        <v>50.972923981070601</v>
      </c>
      <c r="AK1112">
        <v>18.379787871610699</v>
      </c>
    </row>
    <row r="1113" spans="1:37" x14ac:dyDescent="0.2">
      <c r="A1113" t="str">
        <f>"20200111150607081"</f>
        <v>20200111150607081</v>
      </c>
      <c r="B1113" t="str">
        <f>"1578726367077365"</f>
        <v>1578726367077365</v>
      </c>
      <c r="C1113" t="s">
        <v>37</v>
      </c>
      <c r="D1113">
        <v>5.1518470000000001</v>
      </c>
      <c r="E1113">
        <v>0.83656160000000002</v>
      </c>
      <c r="F1113" t="s">
        <v>78</v>
      </c>
      <c r="G1113">
        <v>-198.8612</v>
      </c>
      <c r="H1113" s="1">
        <v>-1.2263339999999899E-5</v>
      </c>
      <c r="I1113">
        <v>149.60299999999901</v>
      </c>
      <c r="J1113">
        <v>-186.22730000000001</v>
      </c>
      <c r="K1113">
        <v>1.093637</v>
      </c>
      <c r="L1113">
        <v>160.73349999999999</v>
      </c>
      <c r="M1113">
        <v>-0.1757774</v>
      </c>
      <c r="N1113">
        <v>0</v>
      </c>
      <c r="O1113">
        <v>-0.98430949999999995</v>
      </c>
      <c r="P1113">
        <v>-0.51450410000000002</v>
      </c>
      <c r="Q1113">
        <v>0.1291428</v>
      </c>
      <c r="R1113">
        <v>-0.84770730000000005</v>
      </c>
      <c r="S1113">
        <v>-2.2956089999999998</v>
      </c>
      <c r="T1113">
        <v>-0.19329739999999901</v>
      </c>
      <c r="U1113">
        <v>-2.3678279999999998</v>
      </c>
      <c r="V1113">
        <v>0.36087190000000002</v>
      </c>
      <c r="W1113">
        <v>0.13457149999999901</v>
      </c>
      <c r="X1113">
        <v>0.92285529999999905</v>
      </c>
      <c r="Y1113">
        <v>0.55773229999999996</v>
      </c>
      <c r="Z1113">
        <v>6.0740490000000001E-2</v>
      </c>
      <c r="AA1113">
        <v>0.82779539999999996</v>
      </c>
      <c r="AB1113">
        <v>28</v>
      </c>
      <c r="AC1113">
        <v>-12.633899999999899</v>
      </c>
      <c r="AD1113">
        <v>-1.0936492633399999</v>
      </c>
      <c r="AE1113">
        <v>-11.1305</v>
      </c>
      <c r="AF1113">
        <v>10.436390103722299</v>
      </c>
      <c r="AG1113">
        <v>-1.0936492633399999</v>
      </c>
      <c r="AH1113">
        <v>13.122809804452601</v>
      </c>
      <c r="AI1113">
        <v>93.731944036452703</v>
      </c>
      <c r="AJ1113">
        <v>51.505252779421497</v>
      </c>
      <c r="AK1113">
        <v>16.802453519415401</v>
      </c>
    </row>
    <row r="1114" spans="1:37" x14ac:dyDescent="0.2">
      <c r="A1114" t="str">
        <f>"20200111150607103"</f>
        <v>20200111150607103</v>
      </c>
      <c r="B1114" t="str">
        <f>"1578726367097860"</f>
        <v>1578726367097860</v>
      </c>
      <c r="C1114" t="s">
        <v>37</v>
      </c>
      <c r="D1114">
        <v>5.5418209999999997</v>
      </c>
      <c r="E1114">
        <v>0.80588009999999999</v>
      </c>
      <c r="F1114" t="s">
        <v>61</v>
      </c>
      <c r="G1114">
        <v>-333.05369999999999</v>
      </c>
      <c r="H1114">
        <v>49.174129999999998</v>
      </c>
      <c r="I1114">
        <v>119.57680000000001</v>
      </c>
      <c r="J1114">
        <v>-186.2928</v>
      </c>
      <c r="K1114">
        <v>1.093459</v>
      </c>
      <c r="L1114">
        <v>160.44839999999999</v>
      </c>
      <c r="M1114">
        <v>-0.18932370000000001</v>
      </c>
      <c r="N1114">
        <v>0</v>
      </c>
      <c r="O1114">
        <v>-0.98179319999999903</v>
      </c>
      <c r="P1114">
        <v>-0.53204490000000004</v>
      </c>
      <c r="Q1114">
        <v>0.13042680000000001</v>
      </c>
      <c r="R1114">
        <v>-0.83661070000000004</v>
      </c>
      <c r="S1114">
        <v>-3.776367</v>
      </c>
      <c r="T1114">
        <v>1.2366269999999999</v>
      </c>
      <c r="U1114">
        <v>-1.058548</v>
      </c>
      <c r="V1114">
        <v>0.36750729999999998</v>
      </c>
      <c r="W1114">
        <v>0.13554330000000001</v>
      </c>
      <c r="X1114">
        <v>0.92009039999999997</v>
      </c>
      <c r="Y1114">
        <v>0.84118099999999996</v>
      </c>
      <c r="Z1114">
        <v>-0.32932030000000001</v>
      </c>
      <c r="AA1114">
        <v>0.42890859999999897</v>
      </c>
      <c r="AB1114">
        <v>28</v>
      </c>
      <c r="AC1114">
        <v>-146.76089999999999</v>
      </c>
      <c r="AD1114">
        <v>48.080671000000002</v>
      </c>
      <c r="AE1114">
        <v>-40.871600000000001</v>
      </c>
      <c r="AF1114">
        <v>124.014712605409</v>
      </c>
      <c r="AG1114">
        <v>48.080671000000002</v>
      </c>
      <c r="AH1114">
        <v>61.768451048394901</v>
      </c>
      <c r="AI1114">
        <v>70.861301487862903</v>
      </c>
      <c r="AJ1114">
        <v>26.476682256755101</v>
      </c>
      <c r="AK1114">
        <v>146.651769206274</v>
      </c>
    </row>
    <row r="1115" spans="1:37" x14ac:dyDescent="0.2">
      <c r="A1115" t="str">
        <f>"20200111150607147"</f>
        <v>20200111150607147</v>
      </c>
      <c r="B1115" t="str">
        <f>"1578726367136900"</f>
        <v>1578726367136900</v>
      </c>
      <c r="C1115" t="s">
        <v>37</v>
      </c>
      <c r="D1115">
        <v>4.9277489999999897</v>
      </c>
      <c r="E1115">
        <v>0.68435509999999999</v>
      </c>
      <c r="F1115" t="s">
        <v>61</v>
      </c>
      <c r="G1115">
        <v>-330.41460000000001</v>
      </c>
      <c r="H1115">
        <v>51.930050000000001</v>
      </c>
      <c r="I1115">
        <v>116.00490000000001</v>
      </c>
      <c r="J1115">
        <v>-186.43539999999999</v>
      </c>
      <c r="K1115">
        <v>1.093119</v>
      </c>
      <c r="L1115">
        <v>159.88509999999999</v>
      </c>
      <c r="M1115">
        <v>-0.21690870000000001</v>
      </c>
      <c r="N1115">
        <v>0</v>
      </c>
      <c r="O1115">
        <v>-0.97606780000000004</v>
      </c>
      <c r="P1115">
        <v>-0.56263549999999996</v>
      </c>
      <c r="Q1115">
        <v>0.13354340000000001</v>
      </c>
      <c r="R1115">
        <v>-0.81584809999999996</v>
      </c>
      <c r="S1115">
        <v>-3.588333</v>
      </c>
      <c r="T1115">
        <v>1.265725</v>
      </c>
      <c r="U1115">
        <v>-1.106552</v>
      </c>
      <c r="V1115">
        <v>0.37594129999999998</v>
      </c>
      <c r="W1115">
        <v>0.13818469999999999</v>
      </c>
      <c r="X1115">
        <v>0.91628220000000005</v>
      </c>
      <c r="Y1115">
        <v>0.8086873</v>
      </c>
      <c r="Z1115">
        <v>-0.35064489999999998</v>
      </c>
      <c r="AA1115">
        <v>0.47230609999999901</v>
      </c>
      <c r="AB1115">
        <v>28</v>
      </c>
      <c r="AC1115">
        <v>-143.97919999999999</v>
      </c>
      <c r="AD1115">
        <v>50.836931</v>
      </c>
      <c r="AE1115">
        <v>-43.880199999999903</v>
      </c>
      <c r="AF1115">
        <v>117.614609096713</v>
      </c>
      <c r="AG1115">
        <v>50.836931</v>
      </c>
      <c r="AH1115">
        <v>66.485159272091096</v>
      </c>
      <c r="AI1115">
        <v>69.379883329044702</v>
      </c>
      <c r="AJ1115">
        <v>29.478597654465901</v>
      </c>
      <c r="AK1115">
        <v>144.35326885771201</v>
      </c>
    </row>
    <row r="1116" spans="1:37" x14ac:dyDescent="0.2">
      <c r="A1116" t="str">
        <f>"20200111150607170"</f>
        <v>20200111150607170</v>
      </c>
      <c r="B1116" t="str">
        <f>"1578726367167789"</f>
        <v>1578726367167789</v>
      </c>
      <c r="C1116" t="s">
        <v>37</v>
      </c>
      <c r="D1116">
        <v>5.0862290000000003</v>
      </c>
      <c r="E1116">
        <v>0.68718219999999997</v>
      </c>
      <c r="F1116" t="s">
        <v>39</v>
      </c>
      <c r="G1116">
        <v>-243.35210000000001</v>
      </c>
      <c r="H1116">
        <v>7.9985929999999997E-2</v>
      </c>
      <c r="I1116">
        <v>127.6722</v>
      </c>
      <c r="J1116">
        <v>-186.50970000000001</v>
      </c>
      <c r="K1116">
        <v>1.092959</v>
      </c>
      <c r="L1116">
        <v>159.61670000000001</v>
      </c>
      <c r="M1116">
        <v>-0.23042889999999899</v>
      </c>
      <c r="N1116">
        <v>0</v>
      </c>
      <c r="O1116">
        <v>-0.97296360000000004</v>
      </c>
      <c r="P1116">
        <v>-0.57834540000000001</v>
      </c>
      <c r="Q1116">
        <v>0.13422629999999999</v>
      </c>
      <c r="R1116">
        <v>-0.80467390000000005</v>
      </c>
      <c r="S1116">
        <v>-2.9354550000000001</v>
      </c>
      <c r="T1116">
        <v>-5.2251939999999997E-2</v>
      </c>
      <c r="U1116">
        <v>-1.661362</v>
      </c>
      <c r="V1116">
        <v>0.3810981</v>
      </c>
      <c r="W1116">
        <v>0.138600799999999</v>
      </c>
      <c r="X1116">
        <v>0.91408650000000002</v>
      </c>
      <c r="Y1116">
        <v>0.73322699999999996</v>
      </c>
      <c r="Z1116">
        <v>1.663075E-2</v>
      </c>
      <c r="AA1116">
        <v>0.67978050000000001</v>
      </c>
      <c r="AB1116">
        <v>28</v>
      </c>
      <c r="AC1116">
        <v>-56.842399999999998</v>
      </c>
      <c r="AD1116">
        <v>-1.0129730699999999</v>
      </c>
      <c r="AE1116">
        <v>-31.944500000000001</v>
      </c>
      <c r="AF1116">
        <v>47.938938769550496</v>
      </c>
      <c r="AG1116">
        <v>-1.0129730699999999</v>
      </c>
      <c r="AH1116">
        <v>44.173704638692797</v>
      </c>
      <c r="AI1116">
        <v>90.890263990417793</v>
      </c>
      <c r="AJ1116">
        <v>42.659257375061401</v>
      </c>
      <c r="AK1116">
        <v>65.195737178881004</v>
      </c>
    </row>
    <row r="1117" spans="1:37" x14ac:dyDescent="0.2">
      <c r="A1117" t="str">
        <f>"20200111150607194"</f>
        <v>20200111150607194</v>
      </c>
      <c r="B1117" t="str">
        <f>"1578726367187307"</f>
        <v>1578726367187307</v>
      </c>
      <c r="C1117" t="s">
        <v>37</v>
      </c>
      <c r="D1117">
        <v>5.1089820000000001</v>
      </c>
      <c r="E1117">
        <v>0.68437899999999996</v>
      </c>
      <c r="F1117" t="s">
        <v>39</v>
      </c>
      <c r="G1117">
        <v>-220.4819</v>
      </c>
      <c r="H1117" s="1">
        <v>-4.443122E-6</v>
      </c>
      <c r="I1117">
        <v>141.4829</v>
      </c>
      <c r="J1117">
        <v>-186.59389999999999</v>
      </c>
      <c r="K1117">
        <v>1.092787</v>
      </c>
      <c r="L1117">
        <v>159.3296</v>
      </c>
      <c r="M1117">
        <v>-0.245167</v>
      </c>
      <c r="N1117">
        <v>0</v>
      </c>
      <c r="O1117">
        <v>-0.96935380000000004</v>
      </c>
      <c r="P1117">
        <v>-0.59299199999999996</v>
      </c>
      <c r="Q1117">
        <v>0.134467</v>
      </c>
      <c r="R1117">
        <v>-0.79390139999999998</v>
      </c>
      <c r="S1117">
        <v>-2.989395</v>
      </c>
      <c r="T1117">
        <v>-9.6175609999999995E-2</v>
      </c>
      <c r="U1117">
        <v>-1.595688</v>
      </c>
      <c r="V1117">
        <v>0.38405689999999998</v>
      </c>
      <c r="W1117">
        <v>0.13863710000000001</v>
      </c>
      <c r="X1117">
        <v>0.91284169999999998</v>
      </c>
      <c r="Y1117">
        <v>0.73938319999999902</v>
      </c>
      <c r="Z1117">
        <v>3.058017E-2</v>
      </c>
      <c r="AA1117">
        <v>0.67259009999999997</v>
      </c>
      <c r="AB1117">
        <v>28</v>
      </c>
      <c r="AC1117">
        <v>-33.887999999999998</v>
      </c>
      <c r="AD1117">
        <v>-1.0927914431220001</v>
      </c>
      <c r="AE1117">
        <v>-17.846699999999998</v>
      </c>
      <c r="AF1117">
        <v>28.454383152867599</v>
      </c>
      <c r="AG1117">
        <v>-1.0927914431220001</v>
      </c>
      <c r="AH1117">
        <v>25.5903077627359</v>
      </c>
      <c r="AI1117">
        <v>91.635666990770602</v>
      </c>
      <c r="AJ1117">
        <v>41.966472241509798</v>
      </c>
      <c r="AK1117">
        <v>38.284591745764999</v>
      </c>
    </row>
    <row r="1118" spans="1:37" x14ac:dyDescent="0.2">
      <c r="A1118" t="str">
        <f>"20200111150607216"</f>
        <v>20200111150607216</v>
      </c>
      <c r="B1118" t="str">
        <f>"1578726367207803"</f>
        <v>1578726367207803</v>
      </c>
      <c r="C1118" t="s">
        <v>37</v>
      </c>
      <c r="D1118">
        <v>4.9525569999999997</v>
      </c>
      <c r="E1118">
        <v>0.68822919999999999</v>
      </c>
      <c r="F1118" t="s">
        <v>39</v>
      </c>
      <c r="G1118">
        <v>-211.97649999999999</v>
      </c>
      <c r="H1118" s="1">
        <v>-5.115346E-6</v>
      </c>
      <c r="I1118">
        <v>146.17320000000001</v>
      </c>
      <c r="J1118">
        <v>-186.6833</v>
      </c>
      <c r="K1118">
        <v>1.0926149999999999</v>
      </c>
      <c r="L1118">
        <v>159.04310000000001</v>
      </c>
      <c r="M1118">
        <v>-0.26017499999999999</v>
      </c>
      <c r="N1118">
        <v>0</v>
      </c>
      <c r="O1118">
        <v>-0.96543279999999998</v>
      </c>
      <c r="P1118">
        <v>-0.60613930000000005</v>
      </c>
      <c r="Q1118">
        <v>0.1350864</v>
      </c>
      <c r="R1118">
        <v>-0.78380319999999903</v>
      </c>
      <c r="S1118">
        <v>-3.0039060000000002</v>
      </c>
      <c r="T1118">
        <v>-0.1293261</v>
      </c>
      <c r="U1118">
        <v>-1.5569919999999999</v>
      </c>
      <c r="V1118">
        <v>0.38521359999999999</v>
      </c>
      <c r="W1118">
        <v>0.13911499999999999</v>
      </c>
      <c r="X1118">
        <v>0.91228149999999997</v>
      </c>
      <c r="Y1118">
        <v>0.73674329999999999</v>
      </c>
      <c r="Z1118">
        <v>4.1252820000000003E-2</v>
      </c>
      <c r="AA1118">
        <v>0.67491290000000004</v>
      </c>
      <c r="AB1118">
        <v>28</v>
      </c>
      <c r="AC1118">
        <v>-25.293199999999899</v>
      </c>
      <c r="AD1118">
        <v>-1.09262011534599</v>
      </c>
      <c r="AE1118">
        <v>-12.869899999999999</v>
      </c>
      <c r="AF1118">
        <v>21.041886445778999</v>
      </c>
      <c r="AG1118">
        <v>-1.09262011534599</v>
      </c>
      <c r="AH1118">
        <v>18.979909587643501</v>
      </c>
      <c r="AI1118">
        <v>92.208103984040804</v>
      </c>
      <c r="AJ1118">
        <v>42.0506520243678</v>
      </c>
      <c r="AK1118">
        <v>28.358275192060599</v>
      </c>
    </row>
    <row r="1119" spans="1:37" x14ac:dyDescent="0.2">
      <c r="A1119" t="str">
        <f>"20200111150607243"</f>
        <v>20200111150607243</v>
      </c>
      <c r="B1119" t="str">
        <f>"1578726367237084"</f>
        <v>1578726367237084</v>
      </c>
      <c r="C1119" t="s">
        <v>37</v>
      </c>
      <c r="D1119">
        <v>4.9154089999999897</v>
      </c>
      <c r="E1119">
        <v>0.69420769999999998</v>
      </c>
      <c r="F1119" t="s">
        <v>39</v>
      </c>
      <c r="G1119">
        <v>-212.19399999999999</v>
      </c>
      <c r="H1119" s="1">
        <v>-5.1108460000000003E-6</v>
      </c>
      <c r="I1119">
        <v>146.61859999999999</v>
      </c>
      <c r="J1119">
        <v>-186.79470000000001</v>
      </c>
      <c r="K1119">
        <v>1.092436</v>
      </c>
      <c r="L1119">
        <v>158.70689999999999</v>
      </c>
      <c r="M1119">
        <v>-0.27809159999999999</v>
      </c>
      <c r="N1119">
        <v>0</v>
      </c>
      <c r="O1119">
        <v>-0.96042399999999895</v>
      </c>
      <c r="P1119">
        <v>-0.62177979999999999</v>
      </c>
      <c r="Q1119">
        <v>0.13559399999999999</v>
      </c>
      <c r="R1119">
        <v>-0.77136530000000003</v>
      </c>
      <c r="S1119">
        <v>-3.0547029999999999</v>
      </c>
      <c r="T1119">
        <v>-0.13083239999999999</v>
      </c>
      <c r="U1119">
        <v>-1.4877320000000001</v>
      </c>
      <c r="V1119">
        <v>0.38669120000000001</v>
      </c>
      <c r="W1119">
        <v>0.1394706</v>
      </c>
      <c r="X1119">
        <v>0.91160180000000002</v>
      </c>
      <c r="Y1119">
        <v>0.74100369999999904</v>
      </c>
      <c r="Z1119">
        <v>4.1708759999999998E-2</v>
      </c>
      <c r="AA1119">
        <v>0.67020440000000003</v>
      </c>
      <c r="AB1119">
        <v>28</v>
      </c>
      <c r="AC1119">
        <v>-25.3993</v>
      </c>
      <c r="AD1119">
        <v>-1.0924411108459999</v>
      </c>
      <c r="AE1119">
        <v>-12.0883</v>
      </c>
      <c r="AF1119">
        <v>21.003401622521601</v>
      </c>
      <c r="AG1119">
        <v>-1.0924411108459999</v>
      </c>
      <c r="AH1119">
        <v>18.647441961999299</v>
      </c>
      <c r="AI1119">
        <v>92.227404505413602</v>
      </c>
      <c r="AJ1119">
        <v>41.599617712634</v>
      </c>
      <c r="AK1119">
        <v>28.108066440503201</v>
      </c>
    </row>
    <row r="1120" spans="1:37" x14ac:dyDescent="0.2">
      <c r="A1120" t="str">
        <f>"20200111150607260"</f>
        <v>20200111150607260</v>
      </c>
      <c r="B1120" t="str">
        <f>"1578726367257269"</f>
        <v>1578726367257269</v>
      </c>
      <c r="C1120" t="s">
        <v>37</v>
      </c>
      <c r="D1120">
        <v>5.0410349999999999</v>
      </c>
      <c r="E1120">
        <v>0.69442689999999996</v>
      </c>
      <c r="F1120" t="s">
        <v>39</v>
      </c>
      <c r="G1120">
        <v>-212.8586</v>
      </c>
      <c r="H1120" s="1">
        <v>-4.9305569999999997E-6</v>
      </c>
      <c r="I1120">
        <v>147.04089999999999</v>
      </c>
      <c r="J1120">
        <v>-186.86179999999999</v>
      </c>
      <c r="K1120">
        <v>1.0923399999999901</v>
      </c>
      <c r="L1120">
        <v>158.51429999999999</v>
      </c>
      <c r="M1120">
        <v>-0.2885009</v>
      </c>
      <c r="N1120">
        <v>0</v>
      </c>
      <c r="O1120">
        <v>-0.95734809999999904</v>
      </c>
      <c r="P1120">
        <v>-0.63144460000000002</v>
      </c>
      <c r="Q1120">
        <v>0.13658129999999999</v>
      </c>
      <c r="R1120">
        <v>-0.76329769999999997</v>
      </c>
      <c r="S1120">
        <v>-3.1206049999999999</v>
      </c>
      <c r="T1120">
        <v>-0.1307971</v>
      </c>
      <c r="U1120">
        <v>-1.3967590000000001</v>
      </c>
      <c r="V1120">
        <v>0.38838869999999998</v>
      </c>
      <c r="W1120">
        <v>0.14034639999999901</v>
      </c>
      <c r="X1120">
        <v>0.91074539999999904</v>
      </c>
      <c r="Y1120">
        <v>0.75524720000000001</v>
      </c>
      <c r="Z1120">
        <v>4.1640999999999997E-2</v>
      </c>
      <c r="AA1120">
        <v>0.65411600000000003</v>
      </c>
      <c r="AB1120">
        <v>28</v>
      </c>
      <c r="AC1120">
        <v>-25.9968</v>
      </c>
      <c r="AD1120">
        <v>-1.0923449305570001</v>
      </c>
      <c r="AE1120">
        <v>-11.4733999999999</v>
      </c>
      <c r="AF1120">
        <v>21.548775494659299</v>
      </c>
      <c r="AG1120">
        <v>-1.0923449305570001</v>
      </c>
      <c r="AH1120">
        <v>18.459188413990201</v>
      </c>
      <c r="AI1120">
        <v>92.204679325952696</v>
      </c>
      <c r="AJ1120">
        <v>40.5841376476479</v>
      </c>
      <c r="AK1120">
        <v>28.395150636503701</v>
      </c>
    </row>
    <row r="1121" spans="1:37" x14ac:dyDescent="0.2">
      <c r="A1121" t="str">
        <f>"20200111150607286"</f>
        <v>20200111150607286</v>
      </c>
      <c r="B1121" t="str">
        <f>"1578726367277765"</f>
        <v>1578726367277765</v>
      </c>
      <c r="C1121" t="s">
        <v>37</v>
      </c>
      <c r="D1121">
        <v>5.0070949999999996</v>
      </c>
      <c r="E1121">
        <v>0.69331069999999995</v>
      </c>
      <c r="F1121" t="s">
        <v>39</v>
      </c>
      <c r="G1121">
        <v>-211.10810000000001</v>
      </c>
      <c r="H1121" s="1">
        <v>-5.7771669999999899E-6</v>
      </c>
      <c r="I1121">
        <v>148.0241</v>
      </c>
      <c r="J1121">
        <v>-186.9785</v>
      </c>
      <c r="K1121">
        <v>1.0921920000000001</v>
      </c>
      <c r="L1121">
        <v>158.19479999999999</v>
      </c>
      <c r="M1121">
        <v>-0.3059907</v>
      </c>
      <c r="N1121">
        <v>0</v>
      </c>
      <c r="O1121">
        <v>-0.95190109999999994</v>
      </c>
      <c r="P1121">
        <v>-0.64610610000000002</v>
      </c>
      <c r="Q1121">
        <v>0.13761699999999999</v>
      </c>
      <c r="R1121">
        <v>-0.75073859999999903</v>
      </c>
      <c r="S1121">
        <v>-3.139618</v>
      </c>
      <c r="T1121">
        <v>-0.14144619999999999</v>
      </c>
      <c r="U1121">
        <v>-1.3583529999999999</v>
      </c>
      <c r="V1121">
        <v>0.3894764</v>
      </c>
      <c r="W1121">
        <v>0.141267899999999</v>
      </c>
      <c r="X1121">
        <v>0.91013820000000001</v>
      </c>
      <c r="Y1121">
        <v>0.75129140000000005</v>
      </c>
      <c r="Z1121">
        <v>4.5060699999999898E-2</v>
      </c>
      <c r="AA1121">
        <v>0.65843059999999998</v>
      </c>
      <c r="AB1121">
        <v>28</v>
      </c>
      <c r="AC1121">
        <v>-24.1296</v>
      </c>
      <c r="AD1121">
        <v>-1.092197777167</v>
      </c>
      <c r="AE1121">
        <v>-10.170699999999901</v>
      </c>
      <c r="AF1121">
        <v>19.824885494219899</v>
      </c>
      <c r="AG1121">
        <v>-1.092197777167</v>
      </c>
      <c r="AH1121">
        <v>17.037460765762098</v>
      </c>
      <c r="AI1121">
        <v>92.392573600761196</v>
      </c>
      <c r="AJ1121">
        <v>40.675687286738899</v>
      </c>
      <c r="AK1121">
        <v>26.162837196838201</v>
      </c>
    </row>
    <row r="1122" spans="1:37" x14ac:dyDescent="0.2">
      <c r="A1122" t="str">
        <f>"20200111150607307"</f>
        <v>20200111150607307</v>
      </c>
      <c r="B1122" t="str">
        <f>"1578726367297285"</f>
        <v>1578726367297285</v>
      </c>
      <c r="C1122" t="s">
        <v>37</v>
      </c>
      <c r="D1122">
        <v>5.0196009999999998</v>
      </c>
      <c r="E1122">
        <v>0.69218749999999996</v>
      </c>
      <c r="F1122" t="s">
        <v>78</v>
      </c>
      <c r="G1122">
        <v>-209.5206</v>
      </c>
      <c r="H1122" s="1">
        <v>-8.0273250000000003E-6</v>
      </c>
      <c r="I1122">
        <v>148.88390000000001</v>
      </c>
      <c r="J1122">
        <v>-187.07210000000001</v>
      </c>
      <c r="K1122">
        <v>1.092085</v>
      </c>
      <c r="L1122">
        <v>157.9512</v>
      </c>
      <c r="M1122">
        <v>-0.31949809999999901</v>
      </c>
      <c r="N1122">
        <v>0</v>
      </c>
      <c r="O1122">
        <v>-0.94745219999999897</v>
      </c>
      <c r="P1122">
        <v>-0.6569895</v>
      </c>
      <c r="Q1122">
        <v>0.13789460000000001</v>
      </c>
      <c r="R1122">
        <v>-0.7411816</v>
      </c>
      <c r="S1122">
        <v>-3.1594849999999899</v>
      </c>
      <c r="T1122">
        <v>-0.153082</v>
      </c>
      <c r="U1122">
        <v>-1.3050079999999999</v>
      </c>
      <c r="V1122">
        <v>0.38986659999999901</v>
      </c>
      <c r="W1122">
        <v>0.141486</v>
      </c>
      <c r="X1122">
        <v>0.909937199999999</v>
      </c>
      <c r="Y1122">
        <v>0.75269699999999995</v>
      </c>
      <c r="Z1122">
        <v>4.8890709999999997E-2</v>
      </c>
      <c r="AA1122">
        <v>0.6565493</v>
      </c>
      <c r="AB1122">
        <v>28</v>
      </c>
      <c r="AC1122">
        <v>-22.448499999999999</v>
      </c>
      <c r="AD1122">
        <v>-1.092093027325</v>
      </c>
      <c r="AE1122">
        <v>-9.0672999999999799</v>
      </c>
      <c r="AF1122">
        <v>18.3369301931873</v>
      </c>
      <c r="AG1122">
        <v>-1.092093027325</v>
      </c>
      <c r="AH1122">
        <v>15.733086120785</v>
      </c>
      <c r="AI1122">
        <v>92.588002930418895</v>
      </c>
      <c r="AJ1122">
        <v>40.629593540109099</v>
      </c>
      <c r="AK1122">
        <v>24.186063651908999</v>
      </c>
    </row>
    <row r="1123" spans="1:37" x14ac:dyDescent="0.2">
      <c r="A1123" t="str">
        <f>"20200111150607330"</f>
        <v>20200111150607330</v>
      </c>
      <c r="B1123" t="str">
        <f>"1578726367327541"</f>
        <v>1578726367327541</v>
      </c>
      <c r="C1123" t="s">
        <v>37</v>
      </c>
      <c r="D1123">
        <v>4.9897929999999997</v>
      </c>
      <c r="E1123">
        <v>0.69113279999999999</v>
      </c>
      <c r="F1123" t="s">
        <v>78</v>
      </c>
      <c r="G1123">
        <v>-206.7895</v>
      </c>
      <c r="H1123">
        <v>7.9984959999999994E-2</v>
      </c>
      <c r="I1123">
        <v>150.08000000000001</v>
      </c>
      <c r="J1123">
        <v>-187.18020000000001</v>
      </c>
      <c r="K1123">
        <v>1.091998</v>
      </c>
      <c r="L1123">
        <v>157.6823</v>
      </c>
      <c r="M1123">
        <v>-0.33455509999999999</v>
      </c>
      <c r="N1123">
        <v>0</v>
      </c>
      <c r="O1123">
        <v>-0.94223999999999997</v>
      </c>
      <c r="P1123">
        <v>-0.66894140000000002</v>
      </c>
      <c r="Q1123">
        <v>0.1373241</v>
      </c>
      <c r="R1123">
        <v>-0.73051999999999995</v>
      </c>
      <c r="S1123">
        <v>-3.1719360000000001</v>
      </c>
      <c r="T1123">
        <v>-0.16281679999999901</v>
      </c>
      <c r="U1123">
        <v>-1.266251</v>
      </c>
      <c r="V1123">
        <v>0.39012479999999999</v>
      </c>
      <c r="W1123">
        <v>0.14087049999999901</v>
      </c>
      <c r="X1123">
        <v>0.90992209999999996</v>
      </c>
      <c r="Y1123">
        <v>0.74986370000000002</v>
      </c>
      <c r="Z1123">
        <v>5.207751E-2</v>
      </c>
      <c r="AA1123">
        <v>0.65953949999999995</v>
      </c>
      <c r="AB1123">
        <v>28</v>
      </c>
      <c r="AC1123">
        <v>-19.609299999999902</v>
      </c>
      <c r="AD1123">
        <v>-1.01201304</v>
      </c>
      <c r="AE1123">
        <v>-7.6022999999999801</v>
      </c>
      <c r="AF1123">
        <v>15.8985115055671</v>
      </c>
      <c r="AG1123">
        <v>-1.01201304</v>
      </c>
      <c r="AH1123">
        <v>13.693637035386701</v>
      </c>
      <c r="AI1123">
        <v>92.761268623053795</v>
      </c>
      <c r="AJ1123">
        <v>40.738835897424799</v>
      </c>
      <c r="AK1123">
        <v>21.0072019493957</v>
      </c>
    </row>
    <row r="1124" spans="1:37" x14ac:dyDescent="0.2">
      <c r="A1124" t="str">
        <f>"20200111150607351"</f>
        <v>20200111150607351</v>
      </c>
      <c r="B1124" t="str">
        <f>"1578726367348040"</f>
        <v>1578726367348040</v>
      </c>
      <c r="C1124" t="s">
        <v>37</v>
      </c>
      <c r="D1124">
        <v>4.9598889999999898</v>
      </c>
      <c r="E1124">
        <v>0.69045449999999997</v>
      </c>
      <c r="F1124" t="s">
        <v>78</v>
      </c>
      <c r="G1124">
        <v>-206.08009999999999</v>
      </c>
      <c r="H1124">
        <v>7.9984840000000001E-2</v>
      </c>
      <c r="I1124">
        <v>150.43620000000001</v>
      </c>
      <c r="J1124">
        <v>-187.28530000000001</v>
      </c>
      <c r="K1124">
        <v>1.0919319999999999</v>
      </c>
      <c r="L1124">
        <v>157.4324</v>
      </c>
      <c r="M1124">
        <v>-0.34866179999999902</v>
      </c>
      <c r="N1124">
        <v>0</v>
      </c>
      <c r="O1124">
        <v>-0.93711100000000003</v>
      </c>
      <c r="P1124">
        <v>-0.67973419999999996</v>
      </c>
      <c r="Q1124">
        <v>0.13686470000000001</v>
      </c>
      <c r="R1124">
        <v>-0.72057599999999999</v>
      </c>
      <c r="S1124">
        <v>-3.1858219999999999</v>
      </c>
      <c r="T1124">
        <v>-0.17058779999999901</v>
      </c>
      <c r="U1124">
        <v>-1.22142</v>
      </c>
      <c r="V1124">
        <v>0.3899782</v>
      </c>
      <c r="W1124">
        <v>0.14039550000000001</v>
      </c>
      <c r="X1124">
        <v>0.91005829999999999</v>
      </c>
      <c r="Y1124">
        <v>0.748861</v>
      </c>
      <c r="Z1124">
        <v>5.4659649999999997E-2</v>
      </c>
      <c r="AA1124">
        <v>0.66046919999999898</v>
      </c>
      <c r="AB1124">
        <v>28</v>
      </c>
      <c r="AC1124">
        <v>-18.794799999999899</v>
      </c>
      <c r="AD1124">
        <v>-1.0119471599999901</v>
      </c>
      <c r="AE1124">
        <v>-6.9961999999999804</v>
      </c>
      <c r="AF1124">
        <v>15.136922527825099</v>
      </c>
      <c r="AG1124">
        <v>-1.0119471599999901</v>
      </c>
      <c r="AH1124">
        <v>13.077638140144799</v>
      </c>
      <c r="AI1124">
        <v>92.895999152626999</v>
      </c>
      <c r="AJ1124">
        <v>40.825578743065897</v>
      </c>
      <c r="AK1124">
        <v>20.0293554562442</v>
      </c>
    </row>
    <row r="1125" spans="1:37" x14ac:dyDescent="0.2">
      <c r="A1125" t="str">
        <f>"20200111150607379"</f>
        <v>20200111150607379</v>
      </c>
      <c r="B1125" t="str">
        <f>"1578726367368153"</f>
        <v>1578726367368153</v>
      </c>
      <c r="C1125" t="s">
        <v>37</v>
      </c>
      <c r="D1125">
        <v>5.0293650000000003</v>
      </c>
      <c r="E1125">
        <v>0.68968769999999902</v>
      </c>
      <c r="F1125" t="s">
        <v>78</v>
      </c>
      <c r="G1125">
        <v>-205.61609999999999</v>
      </c>
      <c r="H1125">
        <v>7.9984760000000002E-2</v>
      </c>
      <c r="I1125">
        <v>150.68600000000001</v>
      </c>
      <c r="J1125">
        <v>-187.42580000000001</v>
      </c>
      <c r="K1125">
        <v>1.0918809999999901</v>
      </c>
      <c r="L1125">
        <v>157.11500000000001</v>
      </c>
      <c r="M1125">
        <v>-0.36671759999999998</v>
      </c>
      <c r="N1125">
        <v>0</v>
      </c>
      <c r="O1125">
        <v>-0.93019289999999999</v>
      </c>
      <c r="P1125">
        <v>-0.69305930000000004</v>
      </c>
      <c r="Q1125">
        <v>0.13646829999999999</v>
      </c>
      <c r="R1125">
        <v>-0.70784569999999902</v>
      </c>
      <c r="S1125">
        <v>-3.2004090000000001</v>
      </c>
      <c r="T1125">
        <v>-0.17667729999999901</v>
      </c>
      <c r="U1125">
        <v>-1.177856</v>
      </c>
      <c r="V1125">
        <v>0.38933459999999998</v>
      </c>
      <c r="W1125">
        <v>0.14001449999999999</v>
      </c>
      <c r="X1125">
        <v>0.91039249999999905</v>
      </c>
      <c r="Y1125">
        <v>0.74483969999999999</v>
      </c>
      <c r="Z1125">
        <v>5.6629550000000001E-2</v>
      </c>
      <c r="AA1125">
        <v>0.66483599999999998</v>
      </c>
      <c r="AB1125">
        <v>28</v>
      </c>
      <c r="AC1125">
        <v>-18.190299999999901</v>
      </c>
      <c r="AD1125">
        <v>-1.01189623999999</v>
      </c>
      <c r="AE1125">
        <v>-6.4290000000000003</v>
      </c>
      <c r="AF1125">
        <v>14.5247932938801</v>
      </c>
      <c r="AG1125">
        <v>-1.01189623999999</v>
      </c>
      <c r="AH1125">
        <v>12.617843958586301</v>
      </c>
      <c r="AI1125">
        <v>93.010595601725797</v>
      </c>
      <c r="AJ1125">
        <v>40.981197066635403</v>
      </c>
      <c r="AK1125">
        <v>19.266643205127998</v>
      </c>
    </row>
    <row r="1126" spans="1:37" x14ac:dyDescent="0.2">
      <c r="A1126" t="str">
        <f>"20200111150607399"</f>
        <v>20200111150607399</v>
      </c>
      <c r="B1126" t="str">
        <f>"1578726367387674"</f>
        <v>1578726367387674</v>
      </c>
      <c r="C1126" t="s">
        <v>37</v>
      </c>
      <c r="D1126">
        <v>4.9569179999999999</v>
      </c>
      <c r="E1126">
        <v>0.68870969999999998</v>
      </c>
      <c r="F1126" t="s">
        <v>78</v>
      </c>
      <c r="G1126">
        <v>-205.58510000000001</v>
      </c>
      <c r="H1126">
        <v>7.9984739999999999E-2</v>
      </c>
      <c r="I1126">
        <v>150.7784</v>
      </c>
      <c r="J1126">
        <v>-187.5334</v>
      </c>
      <c r="K1126">
        <v>1.091858</v>
      </c>
      <c r="L1126">
        <v>156.88239999999999</v>
      </c>
      <c r="M1126">
        <v>-0.38001950000000001</v>
      </c>
      <c r="N1126">
        <v>0</v>
      </c>
      <c r="O1126">
        <v>-0.924838099999999</v>
      </c>
      <c r="P1126">
        <v>-0.70267800000000002</v>
      </c>
      <c r="Q1126">
        <v>0.13583529999999999</v>
      </c>
      <c r="R1126">
        <v>-0.69842159999999998</v>
      </c>
      <c r="S1126">
        <v>-3.2173609999999999</v>
      </c>
      <c r="T1126">
        <v>-0.179282</v>
      </c>
      <c r="U1126">
        <v>-1.122681</v>
      </c>
      <c r="V1126">
        <v>0.38867379999999901</v>
      </c>
      <c r="W1126">
        <v>0.1394106</v>
      </c>
      <c r="X1126">
        <v>0.9107674</v>
      </c>
      <c r="Y1126">
        <v>0.74648130000000001</v>
      </c>
      <c r="Z1126">
        <v>5.7569099999999998E-2</v>
      </c>
      <c r="AA1126">
        <v>0.66291140000000004</v>
      </c>
      <c r="AB1126">
        <v>28</v>
      </c>
      <c r="AC1126">
        <v>-18.0517</v>
      </c>
      <c r="AD1126">
        <v>-1.01187326</v>
      </c>
      <c r="AE1126">
        <v>-6.1039999999999797</v>
      </c>
      <c r="AF1126">
        <v>14.336702841998401</v>
      </c>
      <c r="AG1126">
        <v>-1.01187326</v>
      </c>
      <c r="AH1126">
        <v>12.4716676575348</v>
      </c>
      <c r="AI1126">
        <v>93.048140021463993</v>
      </c>
      <c r="AJ1126">
        <v>41.020394085019099</v>
      </c>
      <c r="AK1126">
        <v>19.0291205796292</v>
      </c>
    </row>
    <row r="1127" spans="1:37" x14ac:dyDescent="0.2">
      <c r="A1127" t="str">
        <f>"20200111150607418"</f>
        <v>20200111150607418</v>
      </c>
      <c r="B1127" t="str">
        <f>"1578726367407193"</f>
        <v>1578726367407193</v>
      </c>
      <c r="C1127" t="s">
        <v>37</v>
      </c>
      <c r="D1127">
        <v>5.1091309999999996</v>
      </c>
      <c r="E1127">
        <v>0.68870969999999998</v>
      </c>
      <c r="F1127" t="s">
        <v>78</v>
      </c>
      <c r="G1127">
        <v>-205.77269999999999</v>
      </c>
      <c r="H1127">
        <v>7.9984780000000005E-2</v>
      </c>
      <c r="I1127">
        <v>150.75380000000001</v>
      </c>
      <c r="J1127">
        <v>-187.64230000000001</v>
      </c>
      <c r="K1127">
        <v>1.0918479999999999</v>
      </c>
      <c r="L1127">
        <v>156.65549999999999</v>
      </c>
      <c r="M1127">
        <v>-0.39303749999999998</v>
      </c>
      <c r="N1127">
        <v>0</v>
      </c>
      <c r="O1127">
        <v>-0.91938069999999905</v>
      </c>
      <c r="P1127">
        <v>-0.71171519999999899</v>
      </c>
      <c r="Q1127">
        <v>0.1356501</v>
      </c>
      <c r="R1127">
        <v>-0.68924669999999999</v>
      </c>
      <c r="S1127">
        <v>-3.2264400000000002</v>
      </c>
      <c r="T1127">
        <v>-0.17899589999999899</v>
      </c>
      <c r="U1127">
        <v>-1.084122</v>
      </c>
      <c r="V1127">
        <v>0.3876598</v>
      </c>
      <c r="W1127">
        <v>0.1392727</v>
      </c>
      <c r="X1127">
        <v>0.91122060000000005</v>
      </c>
      <c r="Y1127">
        <v>0.74477969999999905</v>
      </c>
      <c r="Z1127">
        <v>5.753233E-2</v>
      </c>
      <c r="AA1127">
        <v>0.66482569999999996</v>
      </c>
      <c r="AB1127">
        <v>28</v>
      </c>
      <c r="AC1127">
        <v>-18.130399999999899</v>
      </c>
      <c r="AD1127">
        <v>-1.01186322</v>
      </c>
      <c r="AE1127">
        <v>-5.9016999999999697</v>
      </c>
      <c r="AF1127">
        <v>14.3107165942665</v>
      </c>
      <c r="AG1127">
        <v>-1.01186322</v>
      </c>
      <c r="AH1127">
        <v>12.518216392564799</v>
      </c>
      <c r="AI1127">
        <v>93.046346998518302</v>
      </c>
      <c r="AJ1127">
        <v>41.177623344722797</v>
      </c>
      <c r="AK1127">
        <v>19.0401212776727</v>
      </c>
    </row>
    <row r="1128" spans="1:37" x14ac:dyDescent="0.2">
      <c r="A1128" t="str">
        <f>"20200111150607575"</f>
        <v>20200111150607575</v>
      </c>
      <c r="B1128" t="str">
        <f>"1578726367567765"</f>
        <v>1578726367567765</v>
      </c>
      <c r="C1128" t="s">
        <v>37</v>
      </c>
      <c r="D1128">
        <v>4.732348</v>
      </c>
      <c r="E1128">
        <v>0.69112859999999998</v>
      </c>
      <c r="F1128" t="s">
        <v>78</v>
      </c>
      <c r="G1128">
        <v>-205.91050000000001</v>
      </c>
      <c r="H1128">
        <v>7.9984799999999995E-2</v>
      </c>
      <c r="I1128">
        <v>150.78049999999999</v>
      </c>
      <c r="J1128">
        <v>-188.60149999999999</v>
      </c>
      <c r="K1128">
        <v>1.091969</v>
      </c>
      <c r="L1128">
        <v>154.9419</v>
      </c>
      <c r="M1128">
        <v>-0.49220209999999998</v>
      </c>
      <c r="N1128">
        <v>0</v>
      </c>
      <c r="O1128">
        <v>-0.87033039999999995</v>
      </c>
      <c r="P1128">
        <v>-0.78107479999999996</v>
      </c>
      <c r="Q1128">
        <v>0.13752719999999999</v>
      </c>
      <c r="R1128">
        <v>-0.60910500000000001</v>
      </c>
      <c r="S1128">
        <v>-3.2402340000000001</v>
      </c>
      <c r="T1128">
        <v>-0.1794751</v>
      </c>
      <c r="U1128">
        <v>-1.0420529999999999</v>
      </c>
      <c r="V1128">
        <v>0.38422849999999997</v>
      </c>
      <c r="W1128">
        <v>0.14143129999999901</v>
      </c>
      <c r="X1128">
        <v>0.91234079999999995</v>
      </c>
      <c r="Y1128">
        <v>0.67631140000000001</v>
      </c>
      <c r="Z1128">
        <v>5.5954360000000002E-2</v>
      </c>
      <c r="AA1128">
        <v>0.73448760000000002</v>
      </c>
      <c r="AB1128">
        <v>27</v>
      </c>
      <c r="AC1128">
        <v>-17.309000000000001</v>
      </c>
      <c r="AD1128">
        <v>-1.0119841999999999</v>
      </c>
      <c r="AE1128">
        <v>-4.1614000000000102</v>
      </c>
      <c r="AF1128">
        <v>12.976073378707101</v>
      </c>
      <c r="AG1128">
        <v>-1.0119841999999999</v>
      </c>
      <c r="AH1128">
        <v>12.103797426119</v>
      </c>
      <c r="AI1128">
        <v>93.264024325799298</v>
      </c>
      <c r="AJ1128">
        <v>43.008060172278299</v>
      </c>
      <c r="AK1128">
        <v>17.773702610406399</v>
      </c>
    </row>
    <row r="1129" spans="1:37" x14ac:dyDescent="0.2">
      <c r="A1129" t="str">
        <f>"20200111150607598"</f>
        <v>20200111150607598</v>
      </c>
      <c r="B1129" t="str">
        <f>"1578726367587284"</f>
        <v>1578726367587284</v>
      </c>
      <c r="C1129" t="s">
        <v>37</v>
      </c>
      <c r="D1129">
        <v>4.5121580000000003</v>
      </c>
      <c r="E1129">
        <v>0.69232950000000004</v>
      </c>
      <c r="F1129" t="s">
        <v>39</v>
      </c>
      <c r="G1129">
        <v>-210.1</v>
      </c>
      <c r="H1129">
        <v>7.9985020000000004E-2</v>
      </c>
      <c r="I1129">
        <v>150.62549999999999</v>
      </c>
      <c r="J1129">
        <v>-188.75309999999999</v>
      </c>
      <c r="K1129">
        <v>1.0920000000000001</v>
      </c>
      <c r="L1129">
        <v>154.70779999999999</v>
      </c>
      <c r="M1129">
        <v>-0.50583919999999905</v>
      </c>
      <c r="N1129">
        <v>0</v>
      </c>
      <c r="O1129">
        <v>-0.86247559999999901</v>
      </c>
      <c r="P1129">
        <v>-0.7905295</v>
      </c>
      <c r="Q1129">
        <v>0.1374331</v>
      </c>
      <c r="R1129">
        <v>-0.59680409999999995</v>
      </c>
      <c r="S1129">
        <v>-3.3448790000000002</v>
      </c>
      <c r="T1129">
        <v>-0.15745129999999999</v>
      </c>
      <c r="U1129">
        <v>-0.67156979999999999</v>
      </c>
      <c r="V1129">
        <v>0.38415139999999998</v>
      </c>
      <c r="W1129">
        <v>0.14136609999999999</v>
      </c>
      <c r="X1129">
        <v>0.91238330000000001</v>
      </c>
      <c r="Y1129">
        <v>0.74477519999999997</v>
      </c>
      <c r="Z1129">
        <v>5.020732E-2</v>
      </c>
      <c r="AA1129">
        <v>0.66542409999999996</v>
      </c>
      <c r="AB1129">
        <v>27</v>
      </c>
      <c r="AC1129">
        <v>-21.346900000000002</v>
      </c>
      <c r="AD1129">
        <v>-1.01201498</v>
      </c>
      <c r="AE1129">
        <v>-4.0823</v>
      </c>
      <c r="AF1129">
        <v>16.312968985951098</v>
      </c>
      <c r="AG1129">
        <v>-1.01201498</v>
      </c>
      <c r="AH1129">
        <v>14.289879280414</v>
      </c>
      <c r="AI1129">
        <v>92.671780973333099</v>
      </c>
      <c r="AJ1129">
        <v>41.217800267342497</v>
      </c>
      <c r="AK1129">
        <v>21.7103150899555</v>
      </c>
    </row>
    <row r="1130" spans="1:37" x14ac:dyDescent="0.2">
      <c r="A1130" t="str">
        <f>"20200111150607620"</f>
        <v>20200111150607620</v>
      </c>
      <c r="B1130" t="str">
        <f>"1578726367617541"</f>
        <v>1578726367617541</v>
      </c>
      <c r="C1130" t="s">
        <v>37</v>
      </c>
      <c r="D1130">
        <v>4.6871529999999897</v>
      </c>
      <c r="E1130">
        <v>0.69364799999999904</v>
      </c>
      <c r="F1130" t="s">
        <v>39</v>
      </c>
      <c r="G1130">
        <v>-212.61920000000001</v>
      </c>
      <c r="H1130">
        <v>7.9985860000000006E-2</v>
      </c>
      <c r="I1130">
        <v>150.375</v>
      </c>
      <c r="J1130">
        <v>-188.90649999999999</v>
      </c>
      <c r="K1130">
        <v>1.0920239999999899</v>
      </c>
      <c r="L1130">
        <v>154.47880000000001</v>
      </c>
      <c r="M1130">
        <v>-0.51919989999999905</v>
      </c>
      <c r="N1130">
        <v>0</v>
      </c>
      <c r="O1130">
        <v>-0.85449929999999996</v>
      </c>
      <c r="P1130">
        <v>-0.7996143</v>
      </c>
      <c r="Q1130">
        <v>0.13662099999999999</v>
      </c>
      <c r="R1130">
        <v>-0.58476609999999996</v>
      </c>
      <c r="S1130">
        <v>-3.359283</v>
      </c>
      <c r="T1130">
        <v>-0.1424463</v>
      </c>
      <c r="U1130">
        <v>-0.6098633</v>
      </c>
      <c r="V1130">
        <v>0.38385199999999903</v>
      </c>
      <c r="W1130">
        <v>0.14059240000000001</v>
      </c>
      <c r="X1130">
        <v>0.91262889999999997</v>
      </c>
      <c r="Y1130">
        <v>0.7469981</v>
      </c>
      <c r="Z1130">
        <v>4.5354079999999998E-2</v>
      </c>
      <c r="AA1130">
        <v>0.66327729999999996</v>
      </c>
      <c r="AB1130">
        <v>27</v>
      </c>
      <c r="AC1130">
        <v>-23.712700000000002</v>
      </c>
      <c r="AD1130">
        <v>-1.01203813999999</v>
      </c>
      <c r="AE1130">
        <v>-4.1037999999999997</v>
      </c>
      <c r="AF1130">
        <v>18.102158038544999</v>
      </c>
      <c r="AG1130">
        <v>-1.01203813999999</v>
      </c>
      <c r="AH1130">
        <v>15.792471910081201</v>
      </c>
      <c r="AI1130">
        <v>92.412353204660604</v>
      </c>
      <c r="AJ1130">
        <v>41.101712753980998</v>
      </c>
      <c r="AK1130">
        <v>24.044012058722199</v>
      </c>
    </row>
    <row r="1131" spans="1:37" x14ac:dyDescent="0.2">
      <c r="A1131" t="str">
        <f>"20200111150607641"</f>
        <v>20200111150607641</v>
      </c>
      <c r="B1131" t="str">
        <f>"1578726367637061"</f>
        <v>1578726367637061</v>
      </c>
      <c r="C1131" t="s">
        <v>37</v>
      </c>
      <c r="D1131">
        <v>4.831925</v>
      </c>
      <c r="E1131">
        <v>0.69449530000000004</v>
      </c>
      <c r="F1131" t="s">
        <v>39</v>
      </c>
      <c r="G1131">
        <v>-214.1823</v>
      </c>
      <c r="H1131">
        <v>7.9986390000000004E-2</v>
      </c>
      <c r="I1131">
        <v>150.3638</v>
      </c>
      <c r="J1131">
        <v>-189.06229999999999</v>
      </c>
      <c r="K1131">
        <v>1.0920510000000001</v>
      </c>
      <c r="L1131">
        <v>154.25380000000001</v>
      </c>
      <c r="M1131">
        <v>-0.53234669999999995</v>
      </c>
      <c r="N1131">
        <v>0</v>
      </c>
      <c r="O1131">
        <v>-0.84637150000000005</v>
      </c>
      <c r="P1131">
        <v>-0.80819940000000001</v>
      </c>
      <c r="Q1131">
        <v>0.1360616</v>
      </c>
      <c r="R1131">
        <v>-0.57297580000000004</v>
      </c>
      <c r="S1131">
        <v>-3.3732599999999899</v>
      </c>
      <c r="T1131">
        <v>-0.135064299999999</v>
      </c>
      <c r="U1131">
        <v>-0.54917910000000003</v>
      </c>
      <c r="V1131">
        <v>0.38318179999999902</v>
      </c>
      <c r="W1131">
        <v>0.1400834</v>
      </c>
      <c r="X1131">
        <v>0.91298869999999899</v>
      </c>
      <c r="Y1131">
        <v>0.74892179999999997</v>
      </c>
      <c r="Z1131">
        <v>4.2911320000000003E-2</v>
      </c>
      <c r="AA1131">
        <v>0.66126759999999996</v>
      </c>
      <c r="AB1131">
        <v>27</v>
      </c>
      <c r="AC1131">
        <v>-25.12</v>
      </c>
      <c r="AD1131">
        <v>-1.0120646099999999</v>
      </c>
      <c r="AE1131">
        <v>-3.8900000000000099</v>
      </c>
      <c r="AF1131">
        <v>19.162164481418799</v>
      </c>
      <c r="AG1131">
        <v>-1.0120646099999999</v>
      </c>
      <c r="AH1131">
        <v>16.640741077827599</v>
      </c>
      <c r="AI1131">
        <v>92.283616762111905</v>
      </c>
      <c r="AJ1131">
        <v>40.971589789803701</v>
      </c>
      <c r="AK1131">
        <v>25.3993520784894</v>
      </c>
    </row>
    <row r="1132" spans="1:37" x14ac:dyDescent="0.2">
      <c r="A1132" t="str">
        <f>"20200111150607680"</f>
        <v>20200111150607680</v>
      </c>
      <c r="B1132" t="str">
        <f>"1578726367667316"</f>
        <v>1578726367667316</v>
      </c>
      <c r="C1132" t="s">
        <v>37</v>
      </c>
      <c r="D1132">
        <v>4.9645809999999999</v>
      </c>
      <c r="E1132">
        <v>0.69458409999999904</v>
      </c>
      <c r="F1132" t="s">
        <v>39</v>
      </c>
      <c r="G1132">
        <v>-215.78120000000001</v>
      </c>
      <c r="H1132">
        <v>7.998545E-2</v>
      </c>
      <c r="I1132">
        <v>150.364</v>
      </c>
      <c r="J1132">
        <v>-189.333</v>
      </c>
      <c r="K1132">
        <v>1.0920989999999999</v>
      </c>
      <c r="L1132">
        <v>153.87970000000001</v>
      </c>
      <c r="M1132">
        <v>-0.55424799999999996</v>
      </c>
      <c r="N1132">
        <v>0</v>
      </c>
      <c r="O1132">
        <v>-0.83219409999999905</v>
      </c>
      <c r="P1132">
        <v>-0.82210490000000003</v>
      </c>
      <c r="Q1132">
        <v>0.13516629999999999</v>
      </c>
      <c r="R1132">
        <v>-0.5530583</v>
      </c>
      <c r="S1132">
        <v>-3.3842469999999998</v>
      </c>
      <c r="T1132">
        <v>-0.12818940000000001</v>
      </c>
      <c r="U1132">
        <v>-0.49269099999999999</v>
      </c>
      <c r="V1132">
        <v>0.38174269999999999</v>
      </c>
      <c r="W1132">
        <v>0.13928550000000001</v>
      </c>
      <c r="X1132">
        <v>0.91371329999999995</v>
      </c>
      <c r="Y1132">
        <v>0.74285259999999997</v>
      </c>
      <c r="Z1132">
        <v>4.0427369999999997E-2</v>
      </c>
      <c r="AA1132">
        <v>0.66823330000000003</v>
      </c>
      <c r="AB1132">
        <v>27</v>
      </c>
      <c r="AC1132">
        <v>-26.4482</v>
      </c>
      <c r="AD1132">
        <v>-1.01211355</v>
      </c>
      <c r="AE1132">
        <v>-3.5156999999999998</v>
      </c>
      <c r="AF1132">
        <v>20.035265567854601</v>
      </c>
      <c r="AG1132">
        <v>-1.01211355</v>
      </c>
      <c r="AH1132">
        <v>17.561640852069601</v>
      </c>
      <c r="AI1132">
        <v>92.175544761249498</v>
      </c>
      <c r="AJ1132">
        <v>41.235746586263801</v>
      </c>
      <c r="AK1132">
        <v>26.6617229306292</v>
      </c>
    </row>
    <row r="1133" spans="1:37" x14ac:dyDescent="0.2">
      <c r="A1133" t="str">
        <f>"20200111150607697"</f>
        <v>20200111150607697</v>
      </c>
      <c r="B1133" t="str">
        <f>"1578726367687813"</f>
        <v>1578726367687813</v>
      </c>
      <c r="C1133" t="s">
        <v>37</v>
      </c>
      <c r="D1133">
        <v>5.1156119999999996</v>
      </c>
      <c r="E1133">
        <v>0.69321699999999997</v>
      </c>
      <c r="F1133" t="s">
        <v>39</v>
      </c>
      <c r="G1133">
        <v>-216.91419999999999</v>
      </c>
      <c r="H1133">
        <v>7.9985849999999997E-2</v>
      </c>
      <c r="I1133">
        <v>150.56739999999999</v>
      </c>
      <c r="J1133">
        <v>-189.4718</v>
      </c>
      <c r="K1133">
        <v>1.0921270000000001</v>
      </c>
      <c r="L1133">
        <v>153.69560000000001</v>
      </c>
      <c r="M1133">
        <v>-0.56504750000000004</v>
      </c>
      <c r="N1133">
        <v>0</v>
      </c>
      <c r="O1133">
        <v>-0.82489979999999996</v>
      </c>
      <c r="P1133">
        <v>-0.82916679999999998</v>
      </c>
      <c r="Q1133">
        <v>0.13477890000000001</v>
      </c>
      <c r="R1133">
        <v>-0.54251039999999995</v>
      </c>
      <c r="S1133">
        <v>-3.3953549999999999</v>
      </c>
      <c r="T1133">
        <v>-0.12459529999999901</v>
      </c>
      <c r="U1133">
        <v>-0.40776059999999997</v>
      </c>
      <c r="V1133">
        <v>0.3815383</v>
      </c>
      <c r="W1133">
        <v>0.13892850000000001</v>
      </c>
      <c r="X1133">
        <v>0.91385300000000003</v>
      </c>
      <c r="Y1133">
        <v>0.75086779999999997</v>
      </c>
      <c r="Z1133">
        <v>3.9355660000000001E-2</v>
      </c>
      <c r="AA1133">
        <v>0.65927899999999995</v>
      </c>
      <c r="AB1133">
        <v>27</v>
      </c>
      <c r="AC1133">
        <v>-27.4423999999999</v>
      </c>
      <c r="AD1133">
        <v>-1.0121411499999999</v>
      </c>
      <c r="AE1133">
        <v>-3.1282000000000201</v>
      </c>
      <c r="AF1133">
        <v>20.8443882958811</v>
      </c>
      <c r="AG1133">
        <v>-1.0121411499999999</v>
      </c>
      <c r="AH1133">
        <v>18.064819118355</v>
      </c>
      <c r="AI1133">
        <v>92.101484412381595</v>
      </c>
      <c r="AJ1133">
        <v>40.913884982472403</v>
      </c>
      <c r="AK1133">
        <v>27.601642032963799</v>
      </c>
    </row>
    <row r="1134" spans="1:37" x14ac:dyDescent="0.2">
      <c r="A1134" t="str">
        <f>"20200111150607720"</f>
        <v>20200111150607720</v>
      </c>
      <c r="B1134" t="str">
        <f>"1578726367717093"</f>
        <v>1578726367717093</v>
      </c>
      <c r="C1134" t="s">
        <v>37</v>
      </c>
      <c r="D1134">
        <v>5.0006510000000004</v>
      </c>
      <c r="E1134">
        <v>0.69227159999999999</v>
      </c>
      <c r="F1134" t="s">
        <v>39</v>
      </c>
      <c r="G1134">
        <v>-217.3511</v>
      </c>
      <c r="H1134">
        <v>7.9985990000000007E-2</v>
      </c>
      <c r="I1134">
        <v>150.6294</v>
      </c>
      <c r="J1134">
        <v>-189.65</v>
      </c>
      <c r="K1134">
        <v>1.09216</v>
      </c>
      <c r="L1134">
        <v>153.4666</v>
      </c>
      <c r="M1134">
        <v>-0.57850889999999999</v>
      </c>
      <c r="N1134">
        <v>0</v>
      </c>
      <c r="O1134">
        <v>-0.81551560000000001</v>
      </c>
      <c r="P1134">
        <v>-0.83792109999999997</v>
      </c>
      <c r="Q1134">
        <v>0.13424129999999901</v>
      </c>
      <c r="R1134">
        <v>-0.52902550000000004</v>
      </c>
      <c r="S1134">
        <v>-3.393875</v>
      </c>
      <c r="T1134">
        <v>-0.1232125</v>
      </c>
      <c r="U1134">
        <v>-0.3732605</v>
      </c>
      <c r="V1134">
        <v>0.38136759999999997</v>
      </c>
      <c r="W1134">
        <v>0.13842560000000001</v>
      </c>
      <c r="X1134">
        <v>0.91400059999999905</v>
      </c>
      <c r="Y1134">
        <v>0.74662700000000004</v>
      </c>
      <c r="Z1134">
        <v>3.8781820000000002E-2</v>
      </c>
      <c r="AA1134">
        <v>0.66411149999999997</v>
      </c>
      <c r="AB1134">
        <v>27</v>
      </c>
      <c r="AC1134">
        <v>-27.7011</v>
      </c>
      <c r="AD1134">
        <v>-1.0121740100000001</v>
      </c>
      <c r="AE1134">
        <v>-2.83719999999999</v>
      </c>
      <c r="AF1134">
        <v>20.924429758265202</v>
      </c>
      <c r="AG1134">
        <v>-1.0121740100000001</v>
      </c>
      <c r="AH1134">
        <v>18.317312728286101</v>
      </c>
      <c r="AI1134">
        <v>92.084474088205994</v>
      </c>
      <c r="AJ1134">
        <v>41.199006614207903</v>
      </c>
      <c r="AK1134">
        <v>27.827687696266199</v>
      </c>
    </row>
    <row r="1135" spans="1:37" x14ac:dyDescent="0.2">
      <c r="A1135" t="str">
        <f>"20200111150607744"</f>
        <v>20200111150607744</v>
      </c>
      <c r="B1135" t="str">
        <f>"1578726367737589"</f>
        <v>1578726367737589</v>
      </c>
      <c r="C1135" t="s">
        <v>37</v>
      </c>
      <c r="D1135">
        <v>5.0304519999999897</v>
      </c>
      <c r="E1135">
        <v>0.69188260000000001</v>
      </c>
      <c r="F1135" t="s">
        <v>39</v>
      </c>
      <c r="G1135">
        <v>-216.27889999999999</v>
      </c>
      <c r="H1135">
        <v>7.9985639999999997E-2</v>
      </c>
      <c r="I1135">
        <v>150.92150000000001</v>
      </c>
      <c r="J1135">
        <v>-189.82679999999999</v>
      </c>
      <c r="K1135">
        <v>1.092203</v>
      </c>
      <c r="L1135">
        <v>153.24690000000001</v>
      </c>
      <c r="M1135">
        <v>-0.59144490000000005</v>
      </c>
      <c r="N1135">
        <v>0</v>
      </c>
      <c r="O1135">
        <v>-0.80618330000000005</v>
      </c>
      <c r="P1135">
        <v>-0.84597749999999905</v>
      </c>
      <c r="Q1135">
        <v>0.1344196</v>
      </c>
      <c r="R1135">
        <v>-0.51599790000000001</v>
      </c>
      <c r="S1135">
        <v>-3.3960569999999999</v>
      </c>
      <c r="T1135">
        <v>-0.12908549999999999</v>
      </c>
      <c r="U1135">
        <v>-0.32458500000000001</v>
      </c>
      <c r="V1135">
        <v>0.380897599999999</v>
      </c>
      <c r="W1135">
        <v>0.13864660000000001</v>
      </c>
      <c r="X1135">
        <v>0.91416309999999901</v>
      </c>
      <c r="Y1135">
        <v>0.74540850000000003</v>
      </c>
      <c r="Z1135">
        <v>4.050467E-2</v>
      </c>
      <c r="AA1135">
        <v>0.66537630000000003</v>
      </c>
      <c r="AB1135">
        <v>27</v>
      </c>
      <c r="AC1135">
        <v>-26.452100000000002</v>
      </c>
      <c r="AD1135">
        <v>-1.01221736</v>
      </c>
      <c r="AE1135">
        <v>-2.3254000000000001</v>
      </c>
      <c r="AF1135">
        <v>19.923553292895001</v>
      </c>
      <c r="AG1135">
        <v>-1.01221736</v>
      </c>
      <c r="AH1135">
        <v>17.496525183566799</v>
      </c>
      <c r="AI1135">
        <v>92.186172023542895</v>
      </c>
      <c r="AJ1135">
        <v>41.289051975874798</v>
      </c>
      <c r="AK1135">
        <v>26.534900664933801</v>
      </c>
    </row>
    <row r="1136" spans="1:37" x14ac:dyDescent="0.2">
      <c r="A1136" t="str">
        <f>"20200111150607764"</f>
        <v>20200111150607764</v>
      </c>
      <c r="B1136" t="str">
        <f>"1578726367757109"</f>
        <v>1578726367757109</v>
      </c>
      <c r="C1136" t="s">
        <v>37</v>
      </c>
      <c r="D1136">
        <v>5.0582719999999997</v>
      </c>
      <c r="E1136">
        <v>0.69131390000000004</v>
      </c>
      <c r="F1136" t="s">
        <v>39</v>
      </c>
      <c r="G1136">
        <v>-215.94900000000001</v>
      </c>
      <c r="H1136">
        <v>7.9985539999999994E-2</v>
      </c>
      <c r="I1136">
        <v>151.1344</v>
      </c>
      <c r="J1136">
        <v>-189.99459999999999</v>
      </c>
      <c r="K1136">
        <v>1.092241</v>
      </c>
      <c r="L1136">
        <v>153.04470000000001</v>
      </c>
      <c r="M1136">
        <v>-0.60336599999999996</v>
      </c>
      <c r="N1136">
        <v>0</v>
      </c>
      <c r="O1136">
        <v>-0.79730049999999997</v>
      </c>
      <c r="P1136">
        <v>-0.85318109999999903</v>
      </c>
      <c r="Q1136">
        <v>0.13444010000000001</v>
      </c>
      <c r="R1136">
        <v>-0.503992</v>
      </c>
      <c r="S1136">
        <v>-3.3994449999999898</v>
      </c>
      <c r="T1136">
        <v>-0.13172600000000001</v>
      </c>
      <c r="U1136">
        <v>-0.27490229999999999</v>
      </c>
      <c r="V1136">
        <v>0.38020879999999901</v>
      </c>
      <c r="W1136">
        <v>0.13871649999999999</v>
      </c>
      <c r="X1136">
        <v>0.91443920000000001</v>
      </c>
      <c r="Y1136">
        <v>0.74518390000000001</v>
      </c>
      <c r="Z1136">
        <v>4.1203219999999999E-2</v>
      </c>
      <c r="AA1136">
        <v>0.66558479999999998</v>
      </c>
      <c r="AB1136">
        <v>27</v>
      </c>
      <c r="AC1136">
        <v>-25.9544</v>
      </c>
      <c r="AD1136">
        <v>-1.01225546</v>
      </c>
      <c r="AE1136">
        <v>-1.9103000000000001</v>
      </c>
      <c r="AF1136">
        <v>19.513877686908302</v>
      </c>
      <c r="AG1136">
        <v>-1.01225546</v>
      </c>
      <c r="AH1136">
        <v>17.159371262426699</v>
      </c>
      <c r="AI1136">
        <v>92.230825552278901</v>
      </c>
      <c r="AJ1136">
        <v>41.326521708223602</v>
      </c>
      <c r="AK1136">
        <v>26.0050015500425</v>
      </c>
    </row>
    <row r="1137" spans="1:37" x14ac:dyDescent="0.2">
      <c r="A1137" t="str">
        <f>"20200111150607788"</f>
        <v>20200111150607788</v>
      </c>
      <c r="B1137" t="str">
        <f>"1578726367777605"</f>
        <v>1578726367777605</v>
      </c>
      <c r="C1137" t="s">
        <v>37</v>
      </c>
      <c r="D1137">
        <v>5.1262850000000002</v>
      </c>
      <c r="E1137">
        <v>0.69036330000000001</v>
      </c>
      <c r="F1137" t="s">
        <v>39</v>
      </c>
      <c r="G1137">
        <v>-215.44919999999999</v>
      </c>
      <c r="H1137">
        <v>7.9985379999999995E-2</v>
      </c>
      <c r="I1137">
        <v>151.31450000000001</v>
      </c>
      <c r="J1137">
        <v>-190.17609999999999</v>
      </c>
      <c r="K1137">
        <v>1.0922780000000001</v>
      </c>
      <c r="L1137">
        <v>152.83260000000001</v>
      </c>
      <c r="M1137">
        <v>-0.61589119999999997</v>
      </c>
      <c r="N1137">
        <v>0</v>
      </c>
      <c r="O1137">
        <v>-0.78766559999999997</v>
      </c>
      <c r="P1137">
        <v>-0.86058650000000003</v>
      </c>
      <c r="Q1137">
        <v>0.1346088</v>
      </c>
      <c r="R1137">
        <v>-0.49119409999999902</v>
      </c>
      <c r="S1137">
        <v>-3.4010309999999899</v>
      </c>
      <c r="T1137">
        <v>-0.1352487</v>
      </c>
      <c r="U1137">
        <v>-0.23117070000000001</v>
      </c>
      <c r="V1137">
        <v>0.379384</v>
      </c>
      <c r="W1137">
        <v>0.138938899999999</v>
      </c>
      <c r="X1137">
        <v>0.91474789999999995</v>
      </c>
      <c r="Y1137">
        <v>0.74314089999999999</v>
      </c>
      <c r="Z1137">
        <v>4.2120440000000002E-2</v>
      </c>
      <c r="AA1137">
        <v>0.66780799999999996</v>
      </c>
      <c r="AB1137">
        <v>27</v>
      </c>
      <c r="AC1137">
        <v>-25.273099999999999</v>
      </c>
      <c r="AD1137">
        <v>-1.01229262</v>
      </c>
      <c r="AE1137">
        <v>-1.5181</v>
      </c>
      <c r="AF1137">
        <v>18.943959508110598</v>
      </c>
      <c r="AG1137">
        <v>-1.01229262</v>
      </c>
      <c r="AH1137">
        <v>16.736667546276099</v>
      </c>
      <c r="AI1137">
        <v>92.293241530314802</v>
      </c>
      <c r="AJ1137">
        <v>41.460052325532097</v>
      </c>
      <c r="AK1137">
        <v>25.298505464711099</v>
      </c>
    </row>
    <row r="1138" spans="1:37" x14ac:dyDescent="0.2">
      <c r="A1138" t="str">
        <f>"20200111150607811"</f>
        <v>20200111150607811</v>
      </c>
      <c r="B1138" t="str">
        <f>"1578726367807860"</f>
        <v>1578726367807860</v>
      </c>
      <c r="C1138" t="s">
        <v>37</v>
      </c>
      <c r="D1138">
        <v>5.0789229999999996</v>
      </c>
      <c r="E1138">
        <v>0.68890150000000006</v>
      </c>
      <c r="F1138" t="s">
        <v>39</v>
      </c>
      <c r="G1138">
        <v>-215.2081</v>
      </c>
      <c r="H1138">
        <v>7.9985299999999995E-2</v>
      </c>
      <c r="I1138">
        <v>151.453</v>
      </c>
      <c r="J1138">
        <v>-190.36439999999999</v>
      </c>
      <c r="K1138">
        <v>1.0923119999999999</v>
      </c>
      <c r="L1138">
        <v>152.61959999999999</v>
      </c>
      <c r="M1138">
        <v>-0.62849709999999903</v>
      </c>
      <c r="N1138">
        <v>0</v>
      </c>
      <c r="O1138">
        <v>-0.77764419999999901</v>
      </c>
      <c r="P1138">
        <v>-0.86777719999999903</v>
      </c>
      <c r="Q1138">
        <v>0.13392519999999999</v>
      </c>
      <c r="R1138">
        <v>-0.47856759999999898</v>
      </c>
      <c r="S1138">
        <v>-3.4005129999999899</v>
      </c>
      <c r="T1138">
        <v>-0.13751669999999999</v>
      </c>
      <c r="U1138">
        <v>-0.1874237</v>
      </c>
      <c r="V1138">
        <v>0.37806469999999998</v>
      </c>
      <c r="W1138">
        <v>0.138328799999999</v>
      </c>
      <c r="X1138">
        <v>0.91538639999999905</v>
      </c>
      <c r="Y1138">
        <v>0.74089380000000005</v>
      </c>
      <c r="Z1138">
        <v>4.2638009999999997E-2</v>
      </c>
      <c r="AA1138">
        <v>0.67026739999999996</v>
      </c>
      <c r="AB1138">
        <v>27</v>
      </c>
      <c r="AC1138">
        <v>-24.843699999999998</v>
      </c>
      <c r="AD1138">
        <v>-1.0123267</v>
      </c>
      <c r="AE1138">
        <v>-1.1665999999999801</v>
      </c>
      <c r="AF1138">
        <v>18.558033810358399</v>
      </c>
      <c r="AG1138">
        <v>-1.0123267</v>
      </c>
      <c r="AH1138">
        <v>16.4962188971841</v>
      </c>
      <c r="AI1138">
        <v>92.334679217793493</v>
      </c>
      <c r="AJ1138">
        <v>41.633865028957899</v>
      </c>
      <c r="AK1138">
        <v>24.850566636552902</v>
      </c>
    </row>
    <row r="1139" spans="1:37" x14ac:dyDescent="0.2">
      <c r="A1139" t="str">
        <f>"20200111150607833"</f>
        <v>20200111150607833</v>
      </c>
      <c r="B1139" t="str">
        <f>"1578726367827381"</f>
        <v>1578726367827381</v>
      </c>
      <c r="C1139" t="s">
        <v>37</v>
      </c>
      <c r="D1139">
        <v>4.9294739999999999</v>
      </c>
      <c r="E1139">
        <v>0.68811699999999998</v>
      </c>
      <c r="F1139" t="s">
        <v>39</v>
      </c>
      <c r="G1139">
        <v>-214.3082</v>
      </c>
      <c r="H1139">
        <v>7.9986479999999999E-2</v>
      </c>
      <c r="I1139">
        <v>151.5762</v>
      </c>
      <c r="J1139">
        <v>-190.54429999999999</v>
      </c>
      <c r="K1139">
        <v>1.0923419999999999</v>
      </c>
      <c r="L1139">
        <v>152.42240000000001</v>
      </c>
      <c r="M1139">
        <v>-0.64018779999999997</v>
      </c>
      <c r="N1139">
        <v>0</v>
      </c>
      <c r="O1139">
        <v>-0.76804859999999997</v>
      </c>
      <c r="P1139">
        <v>-0.874332</v>
      </c>
      <c r="Q1139">
        <v>0.13405839999999999</v>
      </c>
      <c r="R1139">
        <v>-0.46644619999999998</v>
      </c>
      <c r="S1139">
        <v>-3.3976440000000001</v>
      </c>
      <c r="T1139">
        <v>-0.14364949999999899</v>
      </c>
      <c r="U1139">
        <v>-0.14805599999999999</v>
      </c>
      <c r="V1139">
        <v>0.37693019999999999</v>
      </c>
      <c r="W1139">
        <v>0.138524799999999</v>
      </c>
      <c r="X1139">
        <v>0.91582450000000004</v>
      </c>
      <c r="Y1139">
        <v>0.73836400000000002</v>
      </c>
      <c r="Z1139">
        <v>4.4354159999999997E-2</v>
      </c>
      <c r="AA1139">
        <v>0.67294229999999999</v>
      </c>
      <c r="AB1139">
        <v>27</v>
      </c>
      <c r="AC1139">
        <v>-23.7639</v>
      </c>
      <c r="AD1139">
        <v>-1.0123555199999901</v>
      </c>
      <c r="AE1139">
        <v>-0.84620000000001006</v>
      </c>
      <c r="AF1139">
        <v>17.6803683590432</v>
      </c>
      <c r="AG1139">
        <v>-1.0123555199999901</v>
      </c>
      <c r="AH1139">
        <v>15.836647506025299</v>
      </c>
      <c r="AI1139">
        <v>92.4422275542275</v>
      </c>
      <c r="AJ1139">
        <v>41.8514182090763</v>
      </c>
      <c r="AK1139">
        <v>23.757518667580399</v>
      </c>
    </row>
    <row r="1140" spans="1:37" x14ac:dyDescent="0.2">
      <c r="A1140" t="str">
        <f>"20200111150607854"</f>
        <v>20200111150607854</v>
      </c>
      <c r="B1140" t="str">
        <f>"1578726367847876"</f>
        <v>1578726367847876</v>
      </c>
      <c r="C1140" t="s">
        <v>37</v>
      </c>
      <c r="D1140">
        <v>4.9848270000000001</v>
      </c>
      <c r="E1140">
        <v>0.68719730000000001</v>
      </c>
      <c r="F1140" t="s">
        <v>39</v>
      </c>
      <c r="G1140">
        <v>-214.49430000000001</v>
      </c>
      <c r="H1140">
        <v>7.9986539999999995E-2</v>
      </c>
      <c r="I1140">
        <v>151.6747</v>
      </c>
      <c r="J1140">
        <v>-190.72669999999999</v>
      </c>
      <c r="K1140">
        <v>1.0923769999999999</v>
      </c>
      <c r="L1140">
        <v>152.22890000000001</v>
      </c>
      <c r="M1140">
        <v>-0.6516923</v>
      </c>
      <c r="N1140">
        <v>0</v>
      </c>
      <c r="O1140">
        <v>-0.75831169999999903</v>
      </c>
      <c r="P1140">
        <v>-0.88077249999999996</v>
      </c>
      <c r="Q1140">
        <v>0.13379820000000001</v>
      </c>
      <c r="R1140">
        <v>-0.45424439999999999</v>
      </c>
      <c r="S1140">
        <v>-3.3966370000000001</v>
      </c>
      <c r="T1140">
        <v>-0.14357439999999999</v>
      </c>
      <c r="U1140">
        <v>-0.1060333</v>
      </c>
      <c r="V1140">
        <v>0.37586829999999999</v>
      </c>
      <c r="W1140">
        <v>0.138325</v>
      </c>
      <c r="X1140">
        <v>0.91629099999999997</v>
      </c>
      <c r="Y1140">
        <v>0.73652090000000003</v>
      </c>
      <c r="Z1140">
        <v>4.4123199999999897E-2</v>
      </c>
      <c r="AA1140">
        <v>0.67497410000000002</v>
      </c>
      <c r="AB1140">
        <v>27</v>
      </c>
      <c r="AC1140">
        <v>-23.767600000000002</v>
      </c>
      <c r="AD1140">
        <v>-1.01239046</v>
      </c>
      <c r="AE1140">
        <v>-0.55420000000000802</v>
      </c>
      <c r="AF1140">
        <v>17.632408031741001</v>
      </c>
      <c r="AG1140">
        <v>-1.01239046</v>
      </c>
      <c r="AH1140">
        <v>15.882689566258501</v>
      </c>
      <c r="AI1140">
        <v>92.442816722162902</v>
      </c>
      <c r="AJ1140">
        <v>42.011479636197301</v>
      </c>
      <c r="AK1140">
        <v>23.752611967938101</v>
      </c>
    </row>
    <row r="1141" spans="1:37" x14ac:dyDescent="0.2">
      <c r="A1141" t="str">
        <f>"20200111150607877"</f>
        <v>20200111150607877</v>
      </c>
      <c r="B1141" t="str">
        <f>"1578726367867397"</f>
        <v>1578726367867397</v>
      </c>
      <c r="C1141" t="s">
        <v>37</v>
      </c>
      <c r="D1141">
        <v>5.0135259999999997</v>
      </c>
      <c r="E1141">
        <v>0.68629869999999904</v>
      </c>
      <c r="F1141" t="s">
        <v>39</v>
      </c>
      <c r="G1141">
        <v>-214.5222</v>
      </c>
      <c r="H1141">
        <v>7.9986559999999998E-2</v>
      </c>
      <c r="I1141">
        <v>151.77330000000001</v>
      </c>
      <c r="J1141">
        <v>-190.91749999999999</v>
      </c>
      <c r="K1141">
        <v>1.092411</v>
      </c>
      <c r="L1141">
        <v>152.0326</v>
      </c>
      <c r="M1141">
        <v>-0.66338439999999999</v>
      </c>
      <c r="N1141">
        <v>0</v>
      </c>
      <c r="O1141">
        <v>-0.74810489999999996</v>
      </c>
      <c r="P1141">
        <v>-0.88720699999999997</v>
      </c>
      <c r="Q1141">
        <v>0.13355819999999999</v>
      </c>
      <c r="R1141">
        <v>-0.4416178</v>
      </c>
      <c r="S1141">
        <v>-3.394501</v>
      </c>
      <c r="T1141">
        <v>-0.1444203</v>
      </c>
      <c r="U1141">
        <v>-6.4987180000000005E-2</v>
      </c>
      <c r="V1141">
        <v>0.3747394</v>
      </c>
      <c r="W1141">
        <v>0.1381484</v>
      </c>
      <c r="X1141">
        <v>0.91677989999999998</v>
      </c>
      <c r="Y1141">
        <v>0.73416630000000005</v>
      </c>
      <c r="Z1141">
        <v>4.4150710000000003E-2</v>
      </c>
      <c r="AA1141">
        <v>0.67753269999999899</v>
      </c>
      <c r="AB1141">
        <v>27</v>
      </c>
      <c r="AC1141">
        <v>-23.604700000000001</v>
      </c>
      <c r="AD1141">
        <v>-1.01242444</v>
      </c>
      <c r="AE1141">
        <v>-0.25929999999999598</v>
      </c>
      <c r="AF1141">
        <v>17.456941326023699</v>
      </c>
      <c r="AG1141">
        <v>-1.01242444</v>
      </c>
      <c r="AH1141">
        <v>15.825926006241801</v>
      </c>
      <c r="AI1141">
        <v>92.460320160499904</v>
      </c>
      <c r="AJ1141">
        <v>42.194484620957901</v>
      </c>
      <c r="AK1141">
        <v>23.584523265522801</v>
      </c>
    </row>
    <row r="1142" spans="1:37" x14ac:dyDescent="0.2">
      <c r="A1142" t="str">
        <f>"20200111150607900"</f>
        <v>20200111150607900</v>
      </c>
      <c r="B1142" t="str">
        <f>"1578726367897654"</f>
        <v>1578726367897654</v>
      </c>
      <c r="C1142" t="s">
        <v>37</v>
      </c>
      <c r="D1142">
        <v>4.9771660000000004</v>
      </c>
      <c r="E1142">
        <v>0.68491359999999901</v>
      </c>
      <c r="F1142" t="s">
        <v>39</v>
      </c>
      <c r="G1142">
        <v>-214.4847</v>
      </c>
      <c r="H1142">
        <v>7.9986539999999995E-2</v>
      </c>
      <c r="I1142">
        <v>151.8733</v>
      </c>
      <c r="J1142">
        <v>-191.1147</v>
      </c>
      <c r="K1142">
        <v>1.0924529999999999</v>
      </c>
      <c r="L1142">
        <v>151.83590000000001</v>
      </c>
      <c r="M1142">
        <v>-0.67512079999999997</v>
      </c>
      <c r="N1142">
        <v>0</v>
      </c>
      <c r="O1142">
        <v>-0.73753089999999999</v>
      </c>
      <c r="P1142">
        <v>-0.89361480000000004</v>
      </c>
      <c r="Q1142">
        <v>0.1332372</v>
      </c>
      <c r="R1142">
        <v>-0.42860329999999902</v>
      </c>
      <c r="S1142">
        <v>-3.3918910000000002</v>
      </c>
      <c r="T1142">
        <v>-0.14571239999999999</v>
      </c>
      <c r="U1142">
        <v>-2.29187E-2</v>
      </c>
      <c r="V1142">
        <v>0.37366709999999997</v>
      </c>
      <c r="W1142">
        <v>0.1378886</v>
      </c>
      <c r="X1142">
        <v>0.91725659999999898</v>
      </c>
      <c r="Y1142">
        <v>0.73182609999999904</v>
      </c>
      <c r="Z1142">
        <v>4.4294149999999997E-2</v>
      </c>
      <c r="AA1142">
        <v>0.68005039999999894</v>
      </c>
      <c r="AB1142">
        <v>27</v>
      </c>
      <c r="AC1142">
        <v>-23.37</v>
      </c>
      <c r="AD1142">
        <v>-1.01246646</v>
      </c>
      <c r="AE1142">
        <v>3.7399999999990899E-2</v>
      </c>
      <c r="AF1142">
        <v>17.231250273853199</v>
      </c>
      <c r="AG1142">
        <v>-1.01246646</v>
      </c>
      <c r="AH1142">
        <v>15.7225282213181</v>
      </c>
      <c r="AI1142">
        <v>92.485340327710105</v>
      </c>
      <c r="AJ1142">
        <v>42.3786591886861</v>
      </c>
      <c r="AK1142">
        <v>23.348211237757301</v>
      </c>
    </row>
    <row r="1143" spans="1:37" x14ac:dyDescent="0.2">
      <c r="A1143" t="str">
        <f>"20200111150607923"</f>
        <v>20200111150607923</v>
      </c>
      <c r="B1143" t="str">
        <f>"1578726367917173"</f>
        <v>1578726367917173</v>
      </c>
      <c r="C1143" t="s">
        <v>37</v>
      </c>
      <c r="D1143">
        <v>5.0544229999999999</v>
      </c>
      <c r="E1143">
        <v>0.68387819999999899</v>
      </c>
      <c r="F1143" t="s">
        <v>39</v>
      </c>
      <c r="G1143">
        <v>-213.86250000000001</v>
      </c>
      <c r="H1143">
        <v>7.9986360000000006E-2</v>
      </c>
      <c r="I1143">
        <v>151.94839999999999</v>
      </c>
      <c r="J1143">
        <v>-191.31549999999999</v>
      </c>
      <c r="K1143">
        <v>1.09249</v>
      </c>
      <c r="L1143">
        <v>151.64179999999999</v>
      </c>
      <c r="M1143">
        <v>-0.68672</v>
      </c>
      <c r="N1143">
        <v>0</v>
      </c>
      <c r="O1143">
        <v>-0.72674320000000003</v>
      </c>
      <c r="P1143">
        <v>-0.89979109999999995</v>
      </c>
      <c r="Q1143">
        <v>0.1332554</v>
      </c>
      <c r="R1143">
        <v>-0.41547460000000003</v>
      </c>
      <c r="S1143">
        <v>-3.3876499999999998</v>
      </c>
      <c r="T1143">
        <v>-0.1507791</v>
      </c>
      <c r="U1143">
        <v>1.6754149999999999E-2</v>
      </c>
      <c r="V1143">
        <v>0.37254879999999901</v>
      </c>
      <c r="W1143">
        <v>0.13796889999999901</v>
      </c>
      <c r="X1143">
        <v>0.9176993</v>
      </c>
      <c r="Y1143">
        <v>0.72891669999999997</v>
      </c>
      <c r="Z1143">
        <v>4.5558660000000001E-2</v>
      </c>
      <c r="AA1143">
        <v>0.68308480000000005</v>
      </c>
      <c r="AB1143">
        <v>27</v>
      </c>
      <c r="AC1143">
        <v>-22.547000000000001</v>
      </c>
      <c r="AD1143">
        <v>-1.01250364</v>
      </c>
      <c r="AE1143">
        <v>0.30660000000000298</v>
      </c>
      <c r="AF1143">
        <v>16.565186067875398</v>
      </c>
      <c r="AG1143">
        <v>-1.01250364</v>
      </c>
      <c r="AH1143">
        <v>15.231929623544801</v>
      </c>
      <c r="AI1143">
        <v>92.576156604851903</v>
      </c>
      <c r="AJ1143">
        <v>42.598988309290498</v>
      </c>
      <c r="AK1143">
        <v>22.526478489567999</v>
      </c>
    </row>
    <row r="1144" spans="1:37" x14ac:dyDescent="0.2">
      <c r="A1144" t="str">
        <f>"20200111150607943"</f>
        <v>20200111150607943</v>
      </c>
      <c r="B1144" t="str">
        <f>"1578726367937668"</f>
        <v>1578726367937668</v>
      </c>
      <c r="C1144" t="s">
        <v>37</v>
      </c>
      <c r="D1144">
        <v>5.053509</v>
      </c>
      <c r="E1144">
        <v>0.68256909999999904</v>
      </c>
      <c r="F1144" t="s">
        <v>39</v>
      </c>
      <c r="G1144">
        <v>-213.87719999999999</v>
      </c>
      <c r="H1144">
        <v>7.9986360000000006E-2</v>
      </c>
      <c r="I1144">
        <v>152.03389999999999</v>
      </c>
      <c r="J1144">
        <v>-191.49449999999999</v>
      </c>
      <c r="K1144">
        <v>1.0925240000000001</v>
      </c>
      <c r="L1144">
        <v>151.47389999999999</v>
      </c>
      <c r="M1144">
        <v>-0.69677719999999999</v>
      </c>
      <c r="N1144">
        <v>0</v>
      </c>
      <c r="O1144">
        <v>-0.71710659999999904</v>
      </c>
      <c r="P1144">
        <v>-0.90540830000000005</v>
      </c>
      <c r="Q1144">
        <v>0.1323994</v>
      </c>
      <c r="R1144">
        <v>-0.40336880000000003</v>
      </c>
      <c r="S1144">
        <v>-3.3837429999999999</v>
      </c>
      <c r="T1144">
        <v>-0.1518525</v>
      </c>
      <c r="U1144">
        <v>5.8792110000000002E-2</v>
      </c>
      <c r="V1144">
        <v>0.37212849999999997</v>
      </c>
      <c r="W1144">
        <v>0.13715089999999999</v>
      </c>
      <c r="X1144">
        <v>0.91799240000000004</v>
      </c>
      <c r="Y1144">
        <v>0.72786830000000002</v>
      </c>
      <c r="Z1144">
        <v>4.5664330000000003E-2</v>
      </c>
      <c r="AA1144">
        <v>0.68419479999999999</v>
      </c>
      <c r="AB1144">
        <v>27</v>
      </c>
      <c r="AC1144">
        <v>-22.3827</v>
      </c>
      <c r="AD1144">
        <v>-1.0125376399999999</v>
      </c>
      <c r="AE1144">
        <v>0.56000000000000205</v>
      </c>
      <c r="AF1144">
        <v>16.409552025868098</v>
      </c>
      <c r="AG1144">
        <v>-1.0125376399999999</v>
      </c>
      <c r="AH1144">
        <v>15.1651333596468</v>
      </c>
      <c r="AI1144">
        <v>92.594631749076598</v>
      </c>
      <c r="AJ1144">
        <v>42.7430319789473</v>
      </c>
      <c r="AK1144">
        <v>22.366937653106799</v>
      </c>
    </row>
    <row r="1145" spans="1:37" x14ac:dyDescent="0.2">
      <c r="A1145" t="str">
        <f>"20200111150607965"</f>
        <v>20200111150607965</v>
      </c>
      <c r="B1145" t="str">
        <f>"1578726367957190"</f>
        <v>1578726367957190</v>
      </c>
      <c r="C1145" t="s">
        <v>37</v>
      </c>
      <c r="D1145">
        <v>5.0162469999999999</v>
      </c>
      <c r="E1145">
        <v>0.64511319999999905</v>
      </c>
      <c r="F1145" t="s">
        <v>39</v>
      </c>
      <c r="G1145">
        <v>-213.34780000000001</v>
      </c>
      <c r="H1145">
        <v>7.9986180000000004E-2</v>
      </c>
      <c r="I1145">
        <v>152.08760000000001</v>
      </c>
      <c r="J1145">
        <v>-191.70410000000001</v>
      </c>
      <c r="K1145">
        <v>1.09256</v>
      </c>
      <c r="L1145">
        <v>151.28299999999999</v>
      </c>
      <c r="M1145">
        <v>-0.70822240000000003</v>
      </c>
      <c r="N1145">
        <v>0</v>
      </c>
      <c r="O1145">
        <v>-0.70580589999999999</v>
      </c>
      <c r="P1145">
        <v>-0.91209010000000001</v>
      </c>
      <c r="Q1145">
        <v>0.1313597</v>
      </c>
      <c r="R1145">
        <v>-0.38837670000000002</v>
      </c>
      <c r="S1145">
        <v>-3.378571</v>
      </c>
      <c r="T1145">
        <v>-0.1565405</v>
      </c>
      <c r="U1145">
        <v>9.4879149999999995E-2</v>
      </c>
      <c r="V1145">
        <v>0.37257199999999902</v>
      </c>
      <c r="W1145">
        <v>0.13612489999999999</v>
      </c>
      <c r="X1145">
        <v>0.91796520000000004</v>
      </c>
      <c r="Y1145">
        <v>0.7240915</v>
      </c>
      <c r="Z1145">
        <v>4.673269E-2</v>
      </c>
      <c r="AA1145">
        <v>0.68811880000000003</v>
      </c>
      <c r="AB1145">
        <v>27</v>
      </c>
      <c r="AC1145">
        <v>-21.6436999999999</v>
      </c>
      <c r="AD1145">
        <v>-1.0125738200000001</v>
      </c>
      <c r="AE1145">
        <v>0.80460000000002097</v>
      </c>
      <c r="AF1145">
        <v>15.813576134282799</v>
      </c>
      <c r="AG1145">
        <v>-1.0125738200000001</v>
      </c>
      <c r="AH1145">
        <v>14.7303778874549</v>
      </c>
      <c r="AI1145">
        <v>92.682555062058199</v>
      </c>
      <c r="AJ1145">
        <v>42.9689371768049</v>
      </c>
      <c r="AK1145">
        <v>21.635122569630401</v>
      </c>
    </row>
    <row r="1146" spans="1:37" x14ac:dyDescent="0.2">
      <c r="A1146" t="str">
        <f>"20200111150607989"</f>
        <v>20200111150607989</v>
      </c>
      <c r="B1146" t="str">
        <f>"1578726367977684"</f>
        <v>1578726367977684</v>
      </c>
      <c r="C1146" t="s">
        <v>37</v>
      </c>
      <c r="D1146">
        <v>5.0777070000000002</v>
      </c>
      <c r="E1146">
        <v>0.64172569999999995</v>
      </c>
      <c r="F1146" t="s">
        <v>39</v>
      </c>
      <c r="G1146">
        <v>-210.7697</v>
      </c>
      <c r="H1146">
        <v>7.9985239999999999E-2</v>
      </c>
      <c r="I1146">
        <v>150.5556</v>
      </c>
      <c r="J1146">
        <v>-191.91030000000001</v>
      </c>
      <c r="K1146">
        <v>1.0925989999999901</v>
      </c>
      <c r="L1146">
        <v>151.1011</v>
      </c>
      <c r="M1146">
        <v>-0.71914109999999998</v>
      </c>
      <c r="N1146">
        <v>0</v>
      </c>
      <c r="O1146">
        <v>-0.69467769999999995</v>
      </c>
      <c r="P1146">
        <v>-0.91799660000000005</v>
      </c>
      <c r="Q1146">
        <v>0.13076979999999999</v>
      </c>
      <c r="R1146">
        <v>-0.37440859999999998</v>
      </c>
      <c r="S1146">
        <v>-3.2611240000000001</v>
      </c>
      <c r="T1146">
        <v>-0.1731983</v>
      </c>
      <c r="U1146">
        <v>-0.12442019999999999</v>
      </c>
      <c r="V1146">
        <v>0.37229970000000001</v>
      </c>
      <c r="W1146">
        <v>0.13557449999999999</v>
      </c>
      <c r="X1146">
        <v>0.91815709999999995</v>
      </c>
      <c r="Y1146">
        <v>0.66510000000000002</v>
      </c>
      <c r="Z1146">
        <v>5.1373330000000002E-2</v>
      </c>
      <c r="AA1146">
        <v>0.74498500000000001</v>
      </c>
      <c r="AB1146">
        <v>26</v>
      </c>
      <c r="AC1146">
        <v>-18.859399999999901</v>
      </c>
      <c r="AD1146">
        <v>-1.01261375999999</v>
      </c>
      <c r="AE1146">
        <v>-0.54550000000000398</v>
      </c>
      <c r="AF1146">
        <v>12.6740514124477</v>
      </c>
      <c r="AG1146">
        <v>-1.01261375999999</v>
      </c>
      <c r="AH1146">
        <v>13.9032734683813</v>
      </c>
      <c r="AI1146">
        <v>93.080968814052</v>
      </c>
      <c r="AJ1146">
        <v>47.648087471243301</v>
      </c>
      <c r="AK1146">
        <v>18.840328526034401</v>
      </c>
    </row>
    <row r="1147" spans="1:37" x14ac:dyDescent="0.2">
      <c r="A1147" t="str">
        <f>"20200111150608011"</f>
        <v>20200111150608011</v>
      </c>
      <c r="B1147" t="str">
        <f>"1578726368007940"</f>
        <v>1578726368007940</v>
      </c>
      <c r="C1147" t="s">
        <v>37</v>
      </c>
      <c r="D1147">
        <v>5.0936430000000001</v>
      </c>
      <c r="E1147">
        <v>0.6389551</v>
      </c>
      <c r="F1147" t="s">
        <v>39</v>
      </c>
      <c r="G1147">
        <v>-210.40629999999999</v>
      </c>
      <c r="H1147">
        <v>7.9985120000000007E-2</v>
      </c>
      <c r="I1147">
        <v>150.53970000000001</v>
      </c>
      <c r="J1147">
        <v>-192.11660000000001</v>
      </c>
      <c r="K1147">
        <v>1.0926469999999999</v>
      </c>
      <c r="L1147">
        <v>150.9247</v>
      </c>
      <c r="M1147">
        <v>-0.7297342</v>
      </c>
      <c r="N1147">
        <v>0</v>
      </c>
      <c r="O1147">
        <v>-0.68354190000000004</v>
      </c>
      <c r="P1147">
        <v>-0.92313840000000003</v>
      </c>
      <c r="Q1147">
        <v>0.1305287</v>
      </c>
      <c r="R1147">
        <v>-0.36163269999999997</v>
      </c>
      <c r="S1147">
        <v>-3.253082</v>
      </c>
      <c r="T1147">
        <v>-0.1780987</v>
      </c>
      <c r="U1147">
        <v>-9.873962E-2</v>
      </c>
      <c r="V1147">
        <v>0.37092609999999998</v>
      </c>
      <c r="W1147">
        <v>0.13541339999999999</v>
      </c>
      <c r="X1147">
        <v>0.91873669999999996</v>
      </c>
      <c r="Y1147">
        <v>0.65933419999999998</v>
      </c>
      <c r="Z1147">
        <v>5.2405760000000003E-2</v>
      </c>
      <c r="AA1147">
        <v>0.7500213</v>
      </c>
      <c r="AB1147">
        <v>26</v>
      </c>
      <c r="AC1147">
        <v>-18.2896999999999</v>
      </c>
      <c r="AD1147">
        <v>-1.01266188</v>
      </c>
      <c r="AE1147">
        <v>-0.38499999999999002</v>
      </c>
      <c r="AF1147">
        <v>12.185070245952501</v>
      </c>
      <c r="AG1147">
        <v>-1.01266188</v>
      </c>
      <c r="AH1147">
        <v>13.569960746333701</v>
      </c>
      <c r="AI1147">
        <v>93.178098413891604</v>
      </c>
      <c r="AJ1147">
        <v>48.07792436631</v>
      </c>
      <c r="AK1147">
        <v>18.265958930180499</v>
      </c>
    </row>
    <row r="1148" spans="1:37" x14ac:dyDescent="0.2">
      <c r="A1148" t="str">
        <f>"20200111150608033"</f>
        <v>20200111150608033</v>
      </c>
      <c r="B1148" t="str">
        <f>"1578726368027461"</f>
        <v>1578726368027461</v>
      </c>
      <c r="C1148" t="s">
        <v>37</v>
      </c>
      <c r="D1148">
        <v>5.162541</v>
      </c>
      <c r="E1148">
        <v>0.63710829999999996</v>
      </c>
      <c r="F1148" t="s">
        <v>78</v>
      </c>
      <c r="G1148">
        <v>-209.2919</v>
      </c>
      <c r="H1148">
        <v>7.9985319999999999E-2</v>
      </c>
      <c r="I1148">
        <v>150.53469999999999</v>
      </c>
      <c r="J1148">
        <v>-192.3169</v>
      </c>
      <c r="K1148">
        <v>1.0926979999999999</v>
      </c>
      <c r="L1148">
        <v>150.7587</v>
      </c>
      <c r="M1148">
        <v>-0.73969940000000001</v>
      </c>
      <c r="N1148">
        <v>0</v>
      </c>
      <c r="O1148">
        <v>-0.67274540000000005</v>
      </c>
      <c r="P1148">
        <v>-0.92779249999999902</v>
      </c>
      <c r="Q1148">
        <v>0.1300173</v>
      </c>
      <c r="R1148">
        <v>-0.34970909999999999</v>
      </c>
      <c r="S1148">
        <v>-3.247986</v>
      </c>
      <c r="T1148">
        <v>-0.191502799999999</v>
      </c>
      <c r="U1148">
        <v>-7.3745729999999995E-2</v>
      </c>
      <c r="V1148">
        <v>0.3692744</v>
      </c>
      <c r="W1148">
        <v>0.13499720000000001</v>
      </c>
      <c r="X1148">
        <v>0.91946299999999903</v>
      </c>
      <c r="Y1148">
        <v>0.65374699999999997</v>
      </c>
      <c r="Z1148">
        <v>5.5845069999999997E-2</v>
      </c>
      <c r="AA1148">
        <v>0.75464980000000004</v>
      </c>
      <c r="AB1148">
        <v>26</v>
      </c>
      <c r="AC1148">
        <v>-16.974999999999898</v>
      </c>
      <c r="AD1148">
        <v>-1.0127126799999999</v>
      </c>
      <c r="AE1148">
        <v>-0.22400000000001799</v>
      </c>
      <c r="AF1148">
        <v>11.215702926973499</v>
      </c>
      <c r="AG1148">
        <v>-1.0127126799999999</v>
      </c>
      <c r="AH1148">
        <v>12.663669772375201</v>
      </c>
      <c r="AI1148">
        <v>93.425989218118801</v>
      </c>
      <c r="AJ1148">
        <v>48.469979502935502</v>
      </c>
      <c r="AK1148">
        <v>16.946566354932401</v>
      </c>
    </row>
    <row r="1149" spans="1:37" x14ac:dyDescent="0.2">
      <c r="A1149" t="str">
        <f>"20200111150608057"</f>
        <v>20200111150608057</v>
      </c>
      <c r="B1149" t="str">
        <f>"1578726368047957"</f>
        <v>1578726368047957</v>
      </c>
      <c r="C1149" t="s">
        <v>37</v>
      </c>
      <c r="D1149">
        <v>5.1847949999999896</v>
      </c>
      <c r="E1149">
        <v>0.63585819999999904</v>
      </c>
      <c r="F1149" t="s">
        <v>78</v>
      </c>
      <c r="G1149">
        <v>-208.56200000000001</v>
      </c>
      <c r="H1149">
        <v>7.9985219999999996E-2</v>
      </c>
      <c r="I1149">
        <v>150.53149999999999</v>
      </c>
      <c r="J1149">
        <v>-192.5453</v>
      </c>
      <c r="K1149">
        <v>1.0927659999999999</v>
      </c>
      <c r="L1149">
        <v>150.57560000000001</v>
      </c>
      <c r="M1149">
        <v>-0.75067869999999903</v>
      </c>
      <c r="N1149">
        <v>0</v>
      </c>
      <c r="O1149">
        <v>-0.66047250000000002</v>
      </c>
      <c r="P1149">
        <v>-0.93262590000000001</v>
      </c>
      <c r="Q1149">
        <v>0.12856960000000001</v>
      </c>
      <c r="R1149">
        <v>-0.3371635</v>
      </c>
      <c r="S1149">
        <v>-3.24470499999999</v>
      </c>
      <c r="T1149">
        <v>-0.202272799999999</v>
      </c>
      <c r="U1149">
        <v>-4.5379639999999999E-2</v>
      </c>
      <c r="V1149">
        <v>0.36659380000000003</v>
      </c>
      <c r="W1149">
        <v>0.13369439999999999</v>
      </c>
      <c r="X1149">
        <v>0.92072509999999996</v>
      </c>
      <c r="Y1149">
        <v>0.64764319999999997</v>
      </c>
      <c r="Z1149">
        <v>5.8326330000000003E-2</v>
      </c>
      <c r="AA1149">
        <v>0.75970799999999905</v>
      </c>
      <c r="AB1149">
        <v>26</v>
      </c>
      <c r="AC1149">
        <v>-16.0167</v>
      </c>
      <c r="AD1149">
        <v>-1.0127807799999999</v>
      </c>
      <c r="AE1149">
        <v>-4.4100000000014399E-2</v>
      </c>
      <c r="AF1149">
        <v>10.5048412008667</v>
      </c>
      <c r="AG1149">
        <v>-1.0127807799999999</v>
      </c>
      <c r="AH1149">
        <v>12.006070281471599</v>
      </c>
      <c r="AI1149">
        <v>93.632569692175394</v>
      </c>
      <c r="AJ1149">
        <v>48.815346000858803</v>
      </c>
      <c r="AK1149">
        <v>15.985091090369201</v>
      </c>
    </row>
    <row r="1150" spans="1:37" x14ac:dyDescent="0.2">
      <c r="A1150" t="str">
        <f>"20200111150608080"</f>
        <v>20200111150608080</v>
      </c>
      <c r="B1150" t="str">
        <f>"1578726368077237"</f>
        <v>1578726368077237</v>
      </c>
      <c r="C1150" t="s">
        <v>37</v>
      </c>
      <c r="D1150">
        <v>5.1615219999999997</v>
      </c>
      <c r="E1150">
        <v>0.63276149999999998</v>
      </c>
      <c r="F1150" t="s">
        <v>78</v>
      </c>
      <c r="G1150">
        <v>-208.69460000000001</v>
      </c>
      <c r="H1150">
        <v>7.9985230000000004E-2</v>
      </c>
      <c r="I1150">
        <v>150.5247</v>
      </c>
      <c r="J1150">
        <v>-192.7628</v>
      </c>
      <c r="K1150">
        <v>1.092843</v>
      </c>
      <c r="L1150">
        <v>150.4066</v>
      </c>
      <c r="M1150">
        <v>-0.76078000000000001</v>
      </c>
      <c r="N1150">
        <v>0</v>
      </c>
      <c r="O1150">
        <v>-0.64881199999999895</v>
      </c>
      <c r="P1150">
        <v>-0.93653229999999998</v>
      </c>
      <c r="Q1150">
        <v>0.12800710000000001</v>
      </c>
      <c r="R1150">
        <v>-0.32637719999999998</v>
      </c>
      <c r="S1150">
        <v>-3.2410429999999999</v>
      </c>
      <c r="T1150">
        <v>-0.20325689999999999</v>
      </c>
      <c r="U1150">
        <v>-1.0208129999999999E-2</v>
      </c>
      <c r="V1150">
        <v>0.36301209999999901</v>
      </c>
      <c r="W1150">
        <v>0.13330549999999999</v>
      </c>
      <c r="X1150">
        <v>0.9221994</v>
      </c>
      <c r="Y1150">
        <v>0.64412999999999998</v>
      </c>
      <c r="Z1150">
        <v>5.8059449999999999E-2</v>
      </c>
      <c r="AA1150">
        <v>0.76270939999999998</v>
      </c>
      <c r="AB1150">
        <v>26</v>
      </c>
      <c r="AC1150">
        <v>-15.931800000000001</v>
      </c>
      <c r="AD1150">
        <v>-1.0128577700000001</v>
      </c>
      <c r="AE1150">
        <v>0.118099999999998</v>
      </c>
      <c r="AF1150">
        <v>10.3859551547846</v>
      </c>
      <c r="AG1150">
        <v>-1.0128577700000001</v>
      </c>
      <c r="AH1150">
        <v>11.997030644052799</v>
      </c>
      <c r="AI1150">
        <v>93.652222415412893</v>
      </c>
      <c r="AJ1150">
        <v>49.116917710129002</v>
      </c>
      <c r="AK1150">
        <v>15.900399039451401</v>
      </c>
    </row>
    <row r="1151" spans="1:37" x14ac:dyDescent="0.2">
      <c r="A1151" t="str">
        <f>"20200111150608102"</f>
        <v>20200111150608102</v>
      </c>
      <c r="B1151" t="str">
        <f>"1578726368097733"</f>
        <v>1578726368097733</v>
      </c>
      <c r="C1151" t="s">
        <v>37</v>
      </c>
      <c r="D1151">
        <v>5.2337759999999998</v>
      </c>
      <c r="E1151">
        <v>0.63038459999999996</v>
      </c>
      <c r="F1151" t="s">
        <v>78</v>
      </c>
      <c r="G1151">
        <v>-208.93260000000001</v>
      </c>
      <c r="H1151">
        <v>7.9985280000000006E-2</v>
      </c>
      <c r="I1151">
        <v>150.43100000000001</v>
      </c>
      <c r="J1151">
        <v>-192.97319999999999</v>
      </c>
      <c r="K1151">
        <v>1.0929420000000001</v>
      </c>
      <c r="L1151">
        <v>150.24809999999999</v>
      </c>
      <c r="M1151">
        <v>-0.77021700000000004</v>
      </c>
      <c r="N1151">
        <v>0</v>
      </c>
      <c r="O1151">
        <v>-0.63758099999999995</v>
      </c>
      <c r="P1151">
        <v>-0.939909199999999</v>
      </c>
      <c r="Q1151">
        <v>0.12800639999999999</v>
      </c>
      <c r="R1151">
        <v>-0.31652059999999999</v>
      </c>
      <c r="S1151">
        <v>-3.2326969999999999</v>
      </c>
      <c r="T1151">
        <v>-0.2024928</v>
      </c>
      <c r="U1151">
        <v>4.8828129999999997E-3</v>
      </c>
      <c r="V1151">
        <v>0.35912929999999998</v>
      </c>
      <c r="W1151">
        <v>0.13349079999999999</v>
      </c>
      <c r="X1151">
        <v>0.92369169999999901</v>
      </c>
      <c r="Y1151">
        <v>0.63648990000000005</v>
      </c>
      <c r="Z1151">
        <v>5.7232369999999998E-2</v>
      </c>
      <c r="AA1151">
        <v>0.76915869999999997</v>
      </c>
      <c r="AB1151">
        <v>26</v>
      </c>
      <c r="AC1151">
        <v>-15.9594</v>
      </c>
      <c r="AD1151">
        <v>-1.01295672</v>
      </c>
      <c r="AE1151">
        <v>0.18290000000001699</v>
      </c>
      <c r="AF1151">
        <v>10.2762120955017</v>
      </c>
      <c r="AG1151">
        <v>-1.01295672</v>
      </c>
      <c r="AH1151">
        <v>12.128294854375101</v>
      </c>
      <c r="AI1151">
        <v>93.646090856412897</v>
      </c>
      <c r="AJ1151">
        <v>49.7256470479402</v>
      </c>
      <c r="AK1151">
        <v>15.928658211631999</v>
      </c>
    </row>
    <row r="1152" spans="1:37" x14ac:dyDescent="0.2">
      <c r="A1152" t="str">
        <f>"20200111150608146"</f>
        <v>20200111150608146</v>
      </c>
      <c r="B1152" t="str">
        <f>"1578726368137748"</f>
        <v>1578726368137748</v>
      </c>
      <c r="C1152" t="s">
        <v>37</v>
      </c>
      <c r="D1152">
        <v>5.0081680000000004</v>
      </c>
      <c r="E1152">
        <v>0.62600859999999903</v>
      </c>
      <c r="F1152" t="s">
        <v>78</v>
      </c>
      <c r="G1152">
        <v>-209.495</v>
      </c>
      <c r="H1152">
        <v>7.9985360000000005E-2</v>
      </c>
      <c r="I1152">
        <v>150.36099999999999</v>
      </c>
      <c r="J1152">
        <v>-193.39769999999999</v>
      </c>
      <c r="K1152">
        <v>1.0931869999999999</v>
      </c>
      <c r="L1152">
        <v>149.94200000000001</v>
      </c>
      <c r="M1152">
        <v>-0.78822840000000005</v>
      </c>
      <c r="N1152">
        <v>0</v>
      </c>
      <c r="O1152">
        <v>-0.6151761</v>
      </c>
      <c r="P1152">
        <v>-0.94697160000000002</v>
      </c>
      <c r="Q1152">
        <v>0.12734500000000001</v>
      </c>
      <c r="R1152">
        <v>-0.29500559999999998</v>
      </c>
      <c r="S1152">
        <v>-3.22615099999999</v>
      </c>
      <c r="T1152">
        <v>-0.197796</v>
      </c>
      <c r="U1152">
        <v>2.2033690000000002E-2</v>
      </c>
      <c r="V1152">
        <v>0.35357519999999998</v>
      </c>
      <c r="W1152">
        <v>0.13316900000000001</v>
      </c>
      <c r="X1152">
        <v>0.92587830000000004</v>
      </c>
      <c r="Y1152">
        <v>0.61844189999999999</v>
      </c>
      <c r="Z1152">
        <v>5.4413349999999999E-2</v>
      </c>
      <c r="AA1152">
        <v>0.78394430000000004</v>
      </c>
      <c r="AB1152">
        <v>26</v>
      </c>
      <c r="AC1152">
        <v>-16.097300000000001</v>
      </c>
      <c r="AD1152">
        <v>-1.0132016399999999</v>
      </c>
      <c r="AE1152">
        <v>0.418999999999982</v>
      </c>
      <c r="AF1152">
        <v>10.193885430221099</v>
      </c>
      <c r="AG1152">
        <v>-1.0132016399999999</v>
      </c>
      <c r="AH1152">
        <v>12.3831458759332</v>
      </c>
      <c r="AI1152">
        <v>93.614579036131005</v>
      </c>
      <c r="AJ1152">
        <v>50.538568548229499</v>
      </c>
      <c r="AK1152">
        <v>16.071222091440799</v>
      </c>
    </row>
    <row r="1153" spans="1:37" x14ac:dyDescent="0.2">
      <c r="A1153" t="str">
        <f>"20200111150608168"</f>
        <v>20200111150608168</v>
      </c>
      <c r="B1153" t="str">
        <f>"1578726368157269"</f>
        <v>1578726368157269</v>
      </c>
      <c r="C1153" t="s">
        <v>37</v>
      </c>
      <c r="D1153">
        <v>5.045814</v>
      </c>
      <c r="E1153">
        <v>0.62403219999999904</v>
      </c>
      <c r="F1153" t="s">
        <v>78</v>
      </c>
      <c r="G1153">
        <v>-209.149</v>
      </c>
      <c r="H1153">
        <v>7.9985319999999999E-2</v>
      </c>
      <c r="I1153">
        <v>150.2458</v>
      </c>
      <c r="J1153">
        <v>-193.62029999999999</v>
      </c>
      <c r="K1153">
        <v>1.0933409999999999</v>
      </c>
      <c r="L1153">
        <v>149.7884</v>
      </c>
      <c r="M1153">
        <v>-0.79712539999999998</v>
      </c>
      <c r="N1153">
        <v>0</v>
      </c>
      <c r="O1153">
        <v>-0.60360400000000003</v>
      </c>
      <c r="P1153">
        <v>-0.94972800000000002</v>
      </c>
      <c r="Q1153">
        <v>0.12778059999999999</v>
      </c>
      <c r="R1153">
        <v>-0.28581299999999998</v>
      </c>
      <c r="S1153">
        <v>-3.2151489999999998</v>
      </c>
      <c r="T1153">
        <v>-0.20681449999999901</v>
      </c>
      <c r="U1153">
        <v>6.2011719999999999E-2</v>
      </c>
      <c r="V1153">
        <v>0.34894209999999998</v>
      </c>
      <c r="W1153">
        <v>0.13384849999999901</v>
      </c>
      <c r="X1153">
        <v>0.92753649999999999</v>
      </c>
      <c r="Y1153">
        <v>0.61655439999999995</v>
      </c>
      <c r="Z1153">
        <v>5.6461369999999997E-2</v>
      </c>
      <c r="AA1153">
        <v>0.78528520000000002</v>
      </c>
      <c r="AB1153">
        <v>26</v>
      </c>
      <c r="AC1153">
        <v>-15.528700000000001</v>
      </c>
      <c r="AD1153">
        <v>-1.0133556800000001</v>
      </c>
      <c r="AE1153">
        <v>0.45740000000000602</v>
      </c>
      <c r="AF1153">
        <v>9.6977623236758799</v>
      </c>
      <c r="AG1153">
        <v>-1.0133556800000001</v>
      </c>
      <c r="AH1153">
        <v>12.0524851584504</v>
      </c>
      <c r="AI1153">
        <v>93.747874039523495</v>
      </c>
      <c r="AJ1153">
        <v>51.1788840460475</v>
      </c>
      <c r="AK1153">
        <v>15.5027701497301</v>
      </c>
    </row>
    <row r="1154" spans="1:37" x14ac:dyDescent="0.2">
      <c r="A1154" t="str">
        <f>"20200111150608190"</f>
        <v>20200111150608190</v>
      </c>
      <c r="B1154" t="str">
        <f>"1578726368187524"</f>
        <v>1578726368187524</v>
      </c>
      <c r="C1154" t="s">
        <v>37</v>
      </c>
      <c r="D1154">
        <v>5.0183669999999996</v>
      </c>
      <c r="E1154">
        <v>0.62140689999999998</v>
      </c>
      <c r="F1154" t="s">
        <v>78</v>
      </c>
      <c r="G1154">
        <v>-209.71709999999999</v>
      </c>
      <c r="H1154">
        <v>7.9985399999999998E-2</v>
      </c>
      <c r="I1154">
        <v>150.18</v>
      </c>
      <c r="J1154">
        <v>-193.84059999999999</v>
      </c>
      <c r="K1154">
        <v>1.0935360000000001</v>
      </c>
      <c r="L1154">
        <v>149.64080000000001</v>
      </c>
      <c r="M1154">
        <v>-0.80553809999999904</v>
      </c>
      <c r="N1154">
        <v>0</v>
      </c>
      <c r="O1154">
        <v>-0.59233169999999902</v>
      </c>
      <c r="P1154">
        <v>-0.95229819999999998</v>
      </c>
      <c r="Q1154">
        <v>0.12776460000000001</v>
      </c>
      <c r="R1154">
        <v>-0.27713670000000001</v>
      </c>
      <c r="S1154">
        <v>-3.209473</v>
      </c>
      <c r="T1154">
        <v>-0.20204839999999999</v>
      </c>
      <c r="U1154">
        <v>7.8079220000000005E-2</v>
      </c>
      <c r="V1154">
        <v>0.34427970000000002</v>
      </c>
      <c r="W1154">
        <v>0.13409660000000001</v>
      </c>
      <c r="X1154">
        <v>0.9292414</v>
      </c>
      <c r="Y1154">
        <v>0.6095642</v>
      </c>
      <c r="Z1154">
        <v>5.4477030000000003E-2</v>
      </c>
      <c r="AA1154">
        <v>0.79086259999999997</v>
      </c>
      <c r="AB1154">
        <v>26</v>
      </c>
      <c r="AC1154">
        <v>-15.876499999999901</v>
      </c>
      <c r="AD1154">
        <v>-1.0135506000000001</v>
      </c>
      <c r="AE1154">
        <v>0.53919999999999302</v>
      </c>
      <c r="AF1154">
        <v>9.7998446413928999</v>
      </c>
      <c r="AG1154">
        <v>-1.0135506000000001</v>
      </c>
      <c r="AH1154">
        <v>12.4207464408271</v>
      </c>
      <c r="AI1154">
        <v>93.665508727530707</v>
      </c>
      <c r="AJ1154">
        <v>51.726913470920302</v>
      </c>
      <c r="AK1154">
        <v>15.853680391679299</v>
      </c>
    </row>
    <row r="1155" spans="1:37" x14ac:dyDescent="0.2">
      <c r="A1155" t="str">
        <f>"20200111150608211"</f>
        <v>20200111150608211</v>
      </c>
      <c r="B1155" t="str">
        <f>"1578726368208021"</f>
        <v>1578726368208021</v>
      </c>
      <c r="C1155" t="s">
        <v>37</v>
      </c>
      <c r="D1155">
        <v>4.9334699999999998</v>
      </c>
      <c r="E1155">
        <v>0.61958919999999995</v>
      </c>
      <c r="F1155" t="s">
        <v>39</v>
      </c>
      <c r="G1155">
        <v>-210.17830000000001</v>
      </c>
      <c r="H1155">
        <v>7.9985020000000004E-2</v>
      </c>
      <c r="I1155">
        <v>150.08699999999999</v>
      </c>
      <c r="J1155">
        <v>-194.0558</v>
      </c>
      <c r="K1155">
        <v>1.09376299999999</v>
      </c>
      <c r="L1155">
        <v>149.50049999999999</v>
      </c>
      <c r="M1155">
        <v>-0.813349199999999</v>
      </c>
      <c r="N1155">
        <v>0</v>
      </c>
      <c r="O1155">
        <v>-0.58156090000000005</v>
      </c>
      <c r="P1155">
        <v>-0.95491569999999903</v>
      </c>
      <c r="Q1155">
        <v>0.124916</v>
      </c>
      <c r="R1155">
        <v>-0.269318</v>
      </c>
      <c r="S1155">
        <v>-3.2023929999999998</v>
      </c>
      <c r="T1155">
        <v>-0.19866909999999999</v>
      </c>
      <c r="U1155">
        <v>8.7463379999999993E-2</v>
      </c>
      <c r="V1155">
        <v>0.33959229999999901</v>
      </c>
      <c r="W1155">
        <v>0.13154399999999999</v>
      </c>
      <c r="X1155">
        <v>0.93132870000000001</v>
      </c>
      <c r="Y1155">
        <v>0.60145869999999901</v>
      </c>
      <c r="Z1155">
        <v>5.2892670000000003E-2</v>
      </c>
      <c r="AA1155">
        <v>0.7971511</v>
      </c>
      <c r="AB1155">
        <v>26</v>
      </c>
      <c r="AC1155">
        <v>-16.122499999999999</v>
      </c>
      <c r="AD1155">
        <v>-1.01377797999999</v>
      </c>
      <c r="AE1155">
        <v>0.586500000000029</v>
      </c>
      <c r="AF1155">
        <v>9.81571814191736</v>
      </c>
      <c r="AG1155">
        <v>-1.01377797999999</v>
      </c>
      <c r="AH1155">
        <v>12.723493429819699</v>
      </c>
      <c r="AI1155">
        <v>93.609792748553403</v>
      </c>
      <c r="AJ1155">
        <v>52.351103952184701</v>
      </c>
      <c r="AK1155">
        <v>16.101656855521501</v>
      </c>
    </row>
    <row r="1156" spans="1:37" x14ac:dyDescent="0.2">
      <c r="A1156" t="str">
        <f>"20200111150608235"</f>
        <v>20200111150608235</v>
      </c>
      <c r="B1156" t="str">
        <f>"1578726368227541"</f>
        <v>1578726368227541</v>
      </c>
      <c r="C1156" t="s">
        <v>37</v>
      </c>
      <c r="D1156">
        <v>4.9204720000000002</v>
      </c>
      <c r="E1156">
        <v>0.61794479999999996</v>
      </c>
      <c r="F1156" t="s">
        <v>78</v>
      </c>
      <c r="G1156">
        <v>-209.6662</v>
      </c>
      <c r="H1156">
        <v>7.9985410000000007E-2</v>
      </c>
      <c r="I1156">
        <v>149.99250000000001</v>
      </c>
      <c r="J1156">
        <v>-194.2799</v>
      </c>
      <c r="K1156">
        <v>1.0940529999999999</v>
      </c>
      <c r="L1156">
        <v>149.35839999999999</v>
      </c>
      <c r="M1156">
        <v>-0.82102659999999905</v>
      </c>
      <c r="N1156">
        <v>0</v>
      </c>
      <c r="O1156">
        <v>-0.57067270000000003</v>
      </c>
      <c r="P1156">
        <v>-0.95712730000000001</v>
      </c>
      <c r="Q1156">
        <v>0.12040910000000001</v>
      </c>
      <c r="R1156">
        <v>-0.26345599999999902</v>
      </c>
      <c r="S1156">
        <v>-3.1972200000000002</v>
      </c>
      <c r="T1156">
        <v>-0.20763509999999999</v>
      </c>
      <c r="U1156">
        <v>0.100769</v>
      </c>
      <c r="V1156">
        <v>0.33299889999999999</v>
      </c>
      <c r="W1156">
        <v>0.12742339999999999</v>
      </c>
      <c r="X1156">
        <v>0.93427780000000005</v>
      </c>
      <c r="Y1156">
        <v>0.59398339999999905</v>
      </c>
      <c r="Z1156">
        <v>5.4542640000000003E-2</v>
      </c>
      <c r="AA1156">
        <v>0.80262619999999996</v>
      </c>
      <c r="AB1156">
        <v>26</v>
      </c>
      <c r="AC1156">
        <v>-15.3863</v>
      </c>
      <c r="AD1156">
        <v>-1.01406759</v>
      </c>
      <c r="AE1156">
        <v>0.63410000000001698</v>
      </c>
      <c r="AF1156">
        <v>9.2621435747176406</v>
      </c>
      <c r="AG1156">
        <v>-1.01406759</v>
      </c>
      <c r="AH1156">
        <v>12.219232446371301</v>
      </c>
      <c r="AI1156">
        <v>93.783850996376501</v>
      </c>
      <c r="AJ1156">
        <v>52.837975764704503</v>
      </c>
      <c r="AK1156">
        <v>15.366368414632801</v>
      </c>
    </row>
    <row r="1157" spans="1:37" x14ac:dyDescent="0.2">
      <c r="A1157" t="str">
        <f>"20200111150608258"</f>
        <v>20200111150608258</v>
      </c>
      <c r="B1157" t="str">
        <f>"1578726368248037"</f>
        <v>1578726368248037</v>
      </c>
      <c r="C1157" t="s">
        <v>37</v>
      </c>
      <c r="D1157">
        <v>4.934526</v>
      </c>
      <c r="E1157">
        <v>0.61621400000000004</v>
      </c>
      <c r="F1157" t="s">
        <v>78</v>
      </c>
      <c r="G1157">
        <v>-208.87450000000001</v>
      </c>
      <c r="H1157">
        <v>7.9985290000000001E-2</v>
      </c>
      <c r="I1157">
        <v>149.86009999999999</v>
      </c>
      <c r="J1157">
        <v>-194.52</v>
      </c>
      <c r="K1157">
        <v>1.094422</v>
      </c>
      <c r="L1157">
        <v>149.21039999999999</v>
      </c>
      <c r="M1157">
        <v>-0.82875319999999997</v>
      </c>
      <c r="N1157">
        <v>0</v>
      </c>
      <c r="O1157">
        <v>-0.55939519999999998</v>
      </c>
      <c r="P1157">
        <v>-0.95880159999999903</v>
      </c>
      <c r="Q1157">
        <v>0.1193347</v>
      </c>
      <c r="R1157">
        <v>-0.25779639999999998</v>
      </c>
      <c r="S1157">
        <v>-3.1924739999999998</v>
      </c>
      <c r="T1157">
        <v>-0.22182099999999999</v>
      </c>
      <c r="U1157">
        <v>0.1097412</v>
      </c>
      <c r="V1157">
        <v>0.3256558</v>
      </c>
      <c r="W1157">
        <v>0.1267759</v>
      </c>
      <c r="X1157">
        <v>0.93695049999999902</v>
      </c>
      <c r="Y1157">
        <v>0.58496550000000003</v>
      </c>
      <c r="Z1157">
        <v>5.7381370000000001E-2</v>
      </c>
      <c r="AA1157">
        <v>0.80902580000000002</v>
      </c>
      <c r="AB1157">
        <v>26</v>
      </c>
      <c r="AC1157">
        <v>-14.3545</v>
      </c>
      <c r="AD1157">
        <v>-1.01443671</v>
      </c>
      <c r="AE1157">
        <v>0.64969999999999495</v>
      </c>
      <c r="AF1157">
        <v>8.5268313658005894</v>
      </c>
      <c r="AG1157">
        <v>-1.01443671</v>
      </c>
      <c r="AH1157">
        <v>11.47710978339</v>
      </c>
      <c r="AI1157">
        <v>94.058328256124895</v>
      </c>
      <c r="AJ1157">
        <v>53.389777905646199</v>
      </c>
      <c r="AK1157">
        <v>14.3338753991857</v>
      </c>
    </row>
    <row r="1158" spans="1:37" x14ac:dyDescent="0.2">
      <c r="A1158" t="str">
        <f>"20200111150608280"</f>
        <v>20200111150608280</v>
      </c>
      <c r="B1158" t="str">
        <f>"1578726368277317"</f>
        <v>1578726368277317</v>
      </c>
      <c r="C1158" t="s">
        <v>37</v>
      </c>
      <c r="D1158">
        <v>4.8118410000000003</v>
      </c>
      <c r="E1158">
        <v>0.61392170000000001</v>
      </c>
      <c r="F1158" t="s">
        <v>78</v>
      </c>
      <c r="G1158">
        <v>-208.541</v>
      </c>
      <c r="H1158">
        <v>7.9985249999999994E-2</v>
      </c>
      <c r="I1158">
        <v>149.71549999999999</v>
      </c>
      <c r="J1158">
        <v>-194.73939999999999</v>
      </c>
      <c r="K1158">
        <v>1.094759</v>
      </c>
      <c r="L1158">
        <v>149.07830000000001</v>
      </c>
      <c r="M1158">
        <v>-0.83541980000000005</v>
      </c>
      <c r="N1158">
        <v>0</v>
      </c>
      <c r="O1158">
        <v>-0.54939139999999997</v>
      </c>
      <c r="P1158">
        <v>-0.96043670000000003</v>
      </c>
      <c r="Q1158">
        <v>0.1197648</v>
      </c>
      <c r="R1158">
        <v>-0.25143179999999998</v>
      </c>
      <c r="S1158">
        <v>-3.1885219999999999</v>
      </c>
      <c r="T1158">
        <v>-0.23069299999999901</v>
      </c>
      <c r="U1158">
        <v>0.114883399999999</v>
      </c>
      <c r="V1158">
        <v>0.32046599999999997</v>
      </c>
      <c r="W1158">
        <v>0.1275345</v>
      </c>
      <c r="X1158">
        <v>0.93863549999999996</v>
      </c>
      <c r="Y1158">
        <v>0.57636160000000003</v>
      </c>
      <c r="Z1158">
        <v>5.8822819999999998E-2</v>
      </c>
      <c r="AA1158">
        <v>0.81507499999999999</v>
      </c>
      <c r="AB1158">
        <v>26</v>
      </c>
      <c r="AC1158">
        <v>-13.801600000000001</v>
      </c>
      <c r="AD1158">
        <v>-1.01477375</v>
      </c>
      <c r="AE1158">
        <v>0.63719999999997801</v>
      </c>
      <c r="AF1158">
        <v>8.0722492379965995</v>
      </c>
      <c r="AG1158">
        <v>-1.01477375</v>
      </c>
      <c r="AH1158">
        <v>11.1214204758347</v>
      </c>
      <c r="AI1158">
        <v>94.223271977595203</v>
      </c>
      <c r="AJ1158">
        <v>54.026767682927797</v>
      </c>
      <c r="AK1158">
        <v>13.7795851506619</v>
      </c>
    </row>
    <row r="1159" spans="1:37" x14ac:dyDescent="0.2">
      <c r="A1159" t="str">
        <f>"20200111150608303"</f>
        <v>20200111150608303</v>
      </c>
      <c r="B1159" t="str">
        <f>"1578726368297814"</f>
        <v>1578726368297814</v>
      </c>
      <c r="C1159" t="s">
        <v>37</v>
      </c>
      <c r="D1159">
        <v>4.7721109999999998</v>
      </c>
      <c r="E1159">
        <v>0.61244569999999998</v>
      </c>
      <c r="F1159" t="s">
        <v>78</v>
      </c>
      <c r="G1159">
        <v>-209.47829999999999</v>
      </c>
      <c r="H1159" s="1">
        <v>-8.2387600000000004E-6</v>
      </c>
      <c r="I1159">
        <v>149.6139</v>
      </c>
      <c r="J1159">
        <v>-194.97540000000001</v>
      </c>
      <c r="K1159">
        <v>1.0951070000000001</v>
      </c>
      <c r="L1159">
        <v>148.93960000000001</v>
      </c>
      <c r="M1159">
        <v>-0.84215589999999996</v>
      </c>
      <c r="N1159">
        <v>0</v>
      </c>
      <c r="O1159">
        <v>-0.53901129999999997</v>
      </c>
      <c r="P1159">
        <v>-0.96208850000000001</v>
      </c>
      <c r="Q1159">
        <v>0.1192973</v>
      </c>
      <c r="R1159">
        <v>-0.24526289999999901</v>
      </c>
      <c r="S1159">
        <v>-3.1833499999999999</v>
      </c>
      <c r="T1159">
        <v>-0.23645039999999901</v>
      </c>
      <c r="U1159">
        <v>0.11569210000000001</v>
      </c>
      <c r="V1159">
        <v>0.31476749999999998</v>
      </c>
      <c r="W1159">
        <v>0.127413</v>
      </c>
      <c r="X1159">
        <v>0.94057819999999903</v>
      </c>
      <c r="Y1159">
        <v>0.56638120000000003</v>
      </c>
      <c r="Z1159">
        <v>5.9355640000000001E-2</v>
      </c>
      <c r="AA1159">
        <v>0.82200319999999905</v>
      </c>
      <c r="AB1159">
        <v>26</v>
      </c>
      <c r="AC1159">
        <v>-14.502899999999901</v>
      </c>
      <c r="AD1159">
        <v>-1.0951152387600001</v>
      </c>
      <c r="AE1159">
        <v>0.67429999999998802</v>
      </c>
      <c r="AF1159">
        <v>8.3386576051602699</v>
      </c>
      <c r="AG1159">
        <v>-1.0951152387600001</v>
      </c>
      <c r="AH1159">
        <v>11.784622991799401</v>
      </c>
      <c r="AI1159">
        <v>94.338020905075993</v>
      </c>
      <c r="AJ1159">
        <v>54.717233957042801</v>
      </c>
      <c r="AK1159">
        <v>14.4779082432894</v>
      </c>
    </row>
    <row r="1160" spans="1:37" x14ac:dyDescent="0.2">
      <c r="A1160" t="str">
        <f>"20200111150608325"</f>
        <v>20200111150608325</v>
      </c>
      <c r="B1160" t="str">
        <f>"1578726368317332"</f>
        <v>1578726368317332</v>
      </c>
      <c r="C1160" t="s">
        <v>37</v>
      </c>
      <c r="D1160">
        <v>4.783703</v>
      </c>
      <c r="E1160">
        <v>0.61119380000000001</v>
      </c>
      <c r="F1160" t="s">
        <v>78</v>
      </c>
      <c r="G1160">
        <v>-209.17840000000001</v>
      </c>
      <c r="H1160" s="1">
        <v>-8.3406759999999905E-6</v>
      </c>
      <c r="I1160">
        <v>149.49619999999999</v>
      </c>
      <c r="J1160">
        <v>-195.20230000000001</v>
      </c>
      <c r="K1160">
        <v>1.095442</v>
      </c>
      <c r="L1160">
        <v>148.80940000000001</v>
      </c>
      <c r="M1160">
        <v>-0.84819820000000001</v>
      </c>
      <c r="N1160">
        <v>0</v>
      </c>
      <c r="O1160">
        <v>-0.52945469999999994</v>
      </c>
      <c r="P1160">
        <v>-0.96328559999999996</v>
      </c>
      <c r="Q1160">
        <v>0.11810850000000001</v>
      </c>
      <c r="R1160">
        <v>-0.24110429999999899</v>
      </c>
      <c r="S1160">
        <v>-3.1804049999999999</v>
      </c>
      <c r="T1160">
        <v>-0.2452223</v>
      </c>
      <c r="U1160">
        <v>0.1246338</v>
      </c>
      <c r="V1160">
        <v>0.30811719999999998</v>
      </c>
      <c r="W1160">
        <v>0.126581</v>
      </c>
      <c r="X1160">
        <v>0.9428898</v>
      </c>
      <c r="Y1160">
        <v>0.55921480000000001</v>
      </c>
      <c r="Z1160">
        <v>6.0701329999999998E-2</v>
      </c>
      <c r="AA1160">
        <v>0.82679749999999996</v>
      </c>
      <c r="AB1160">
        <v>26</v>
      </c>
      <c r="AC1160">
        <v>-13.976100000000001</v>
      </c>
      <c r="AD1160">
        <v>-1.0954503406759999</v>
      </c>
      <c r="AE1160">
        <v>0.68679999999997599</v>
      </c>
      <c r="AF1160">
        <v>7.9345742049763102</v>
      </c>
      <c r="AG1160">
        <v>-1.0954503406759999</v>
      </c>
      <c r="AH1160">
        <v>11.4222352988483</v>
      </c>
      <c r="AI1160">
        <v>94.503637102176597</v>
      </c>
      <c r="AJ1160">
        <v>55.213822959081803</v>
      </c>
      <c r="AK1160">
        <v>13.9508042236073</v>
      </c>
    </row>
    <row r="1161" spans="1:37" x14ac:dyDescent="0.2">
      <c r="A1161" t="str">
        <f>"20200111150608348"</f>
        <v>20200111150608348</v>
      </c>
      <c r="B1161" t="str">
        <f>"1578726368337832"</f>
        <v>1578726368337832</v>
      </c>
      <c r="C1161" t="s">
        <v>37</v>
      </c>
      <c r="D1161">
        <v>4.7474020000000001</v>
      </c>
      <c r="E1161">
        <v>0.61001879999999997</v>
      </c>
      <c r="F1161" t="s">
        <v>78</v>
      </c>
      <c r="G1161">
        <v>-209.3365</v>
      </c>
      <c r="H1161" s="1">
        <v>-8.2419910000000004E-6</v>
      </c>
      <c r="I1161">
        <v>149.3879</v>
      </c>
      <c r="J1161">
        <v>-195.4383</v>
      </c>
      <c r="K1161">
        <v>1.095804</v>
      </c>
      <c r="L1161">
        <v>148.67679999999999</v>
      </c>
      <c r="M1161">
        <v>-0.85403600000000002</v>
      </c>
      <c r="N1161">
        <v>0</v>
      </c>
      <c r="O1161">
        <v>-0.51998900000000003</v>
      </c>
      <c r="P1161">
        <v>-0.96512430000000005</v>
      </c>
      <c r="Q1161">
        <v>0.116354399999999</v>
      </c>
      <c r="R1161">
        <v>-0.23451439999999901</v>
      </c>
      <c r="S1161">
        <v>-3.1770939999999999</v>
      </c>
      <c r="T1161">
        <v>-0.24623529999999999</v>
      </c>
      <c r="U1161">
        <v>0.13005069999999999</v>
      </c>
      <c r="V1161">
        <v>0.30401729999999999</v>
      </c>
      <c r="W1161">
        <v>0.12511829999999999</v>
      </c>
      <c r="X1161">
        <v>0.94441459999999999</v>
      </c>
      <c r="Y1161">
        <v>0.55144609999999905</v>
      </c>
      <c r="Z1161">
        <v>6.0079239999999999E-2</v>
      </c>
      <c r="AA1161">
        <v>0.83204429999999996</v>
      </c>
      <c r="AB1161">
        <v>26</v>
      </c>
      <c r="AC1161">
        <v>-13.898199999999999</v>
      </c>
      <c r="AD1161">
        <v>-1.0958122419909999</v>
      </c>
      <c r="AE1161">
        <v>0.71110000000001505</v>
      </c>
      <c r="AF1161">
        <v>7.7868510936176003</v>
      </c>
      <c r="AG1161">
        <v>-1.0958122419909999</v>
      </c>
      <c r="AH1161">
        <v>11.430272119413001</v>
      </c>
      <c r="AI1161">
        <v>94.530130270158494</v>
      </c>
      <c r="AJ1161">
        <v>55.7354268226632</v>
      </c>
      <c r="AK1161">
        <v>13.873967534476201</v>
      </c>
    </row>
    <row r="1162" spans="1:37" x14ac:dyDescent="0.2">
      <c r="A1162" t="str">
        <f>"20200111150608371"</f>
        <v>20200111150608371</v>
      </c>
      <c r="B1162" t="str">
        <f>"1578726368367108"</f>
        <v>1578726368367108</v>
      </c>
      <c r="C1162" t="s">
        <v>37</v>
      </c>
      <c r="D1162">
        <v>4.769012</v>
      </c>
      <c r="E1162">
        <v>0.60838789999999998</v>
      </c>
      <c r="F1162" t="s">
        <v>78</v>
      </c>
      <c r="G1162">
        <v>-209.1241</v>
      </c>
      <c r="H1162" s="1">
        <v>-8.3079379999999995E-6</v>
      </c>
      <c r="I1162">
        <v>149.28100000000001</v>
      </c>
      <c r="J1162">
        <v>-195.66550000000001</v>
      </c>
      <c r="K1162">
        <v>1.0961780000000001</v>
      </c>
      <c r="L1162">
        <v>148.55170000000001</v>
      </c>
      <c r="M1162">
        <v>-0.85923280000000002</v>
      </c>
      <c r="N1162">
        <v>0</v>
      </c>
      <c r="O1162">
        <v>-0.51135989999999998</v>
      </c>
      <c r="P1162">
        <v>-0.96684400000000004</v>
      </c>
      <c r="Q1162">
        <v>0.11164200000000001</v>
      </c>
      <c r="R1162">
        <v>-0.229671599999999</v>
      </c>
      <c r="S1162">
        <v>-3.1730649999999998</v>
      </c>
      <c r="T1162">
        <v>-0.25406420000000002</v>
      </c>
      <c r="U1162">
        <v>0.14009089999999999</v>
      </c>
      <c r="V1162">
        <v>0.29929739999999999</v>
      </c>
      <c r="W1162">
        <v>0.1206994</v>
      </c>
      <c r="X1162">
        <v>0.94649490000000003</v>
      </c>
      <c r="Y1162">
        <v>0.54555209999999998</v>
      </c>
      <c r="Z1162">
        <v>6.1226059999999999E-2</v>
      </c>
      <c r="AA1162">
        <v>0.83583750000000001</v>
      </c>
      <c r="AB1162">
        <v>26</v>
      </c>
      <c r="AC1162">
        <v>-13.458599999999899</v>
      </c>
      <c r="AD1162">
        <v>-1.0961863079380001</v>
      </c>
      <c r="AE1162">
        <v>0.72929999999999495</v>
      </c>
      <c r="AF1162">
        <v>7.4603443905623497</v>
      </c>
      <c r="AG1162">
        <v>-1.0961863079380001</v>
      </c>
      <c r="AH1162">
        <v>11.1188776848541</v>
      </c>
      <c r="AI1162">
        <v>94.680218756321395</v>
      </c>
      <c r="AJ1162">
        <v>56.139890124168403</v>
      </c>
      <c r="AK1162">
        <v>13.4345749399917</v>
      </c>
    </row>
    <row r="1163" spans="1:37" x14ac:dyDescent="0.2">
      <c r="A1163" t="str">
        <f>"20200111150608394"</f>
        <v>20200111150608394</v>
      </c>
      <c r="B1163" t="str">
        <f>"1578726368387604"</f>
        <v>1578726368387604</v>
      </c>
      <c r="C1163" t="s">
        <v>37</v>
      </c>
      <c r="D1163">
        <v>4.7931549999999996</v>
      </c>
      <c r="E1163">
        <v>0.60725790000000002</v>
      </c>
      <c r="F1163" t="s">
        <v>78</v>
      </c>
      <c r="G1163">
        <v>-208.35820000000001</v>
      </c>
      <c r="H1163" s="1">
        <v>-8.6048019999999998E-6</v>
      </c>
      <c r="I1163">
        <v>149.1189</v>
      </c>
      <c r="J1163">
        <v>-195.90700000000001</v>
      </c>
      <c r="K1163">
        <v>1.0966049999999901</v>
      </c>
      <c r="L1163">
        <v>148.4212</v>
      </c>
      <c r="M1163">
        <v>-0.86431599999999997</v>
      </c>
      <c r="N1163">
        <v>0</v>
      </c>
      <c r="O1163">
        <v>-0.50272589999999995</v>
      </c>
      <c r="P1163">
        <v>-0.96772919999999996</v>
      </c>
      <c r="Q1163">
        <v>0.1047488</v>
      </c>
      <c r="R1163">
        <v>-0.22919009999999901</v>
      </c>
      <c r="S1163">
        <v>-3.1681059999999999</v>
      </c>
      <c r="T1163">
        <v>-0.27360790000000001</v>
      </c>
      <c r="U1163">
        <v>0.14155580000000001</v>
      </c>
      <c r="V1163">
        <v>0.29038639999999999</v>
      </c>
      <c r="W1163">
        <v>0.1141731</v>
      </c>
      <c r="X1163">
        <v>0.95007379999999997</v>
      </c>
      <c r="Y1163">
        <v>0.53711699999999996</v>
      </c>
      <c r="Z1163">
        <v>6.5002279999999996E-2</v>
      </c>
      <c r="AA1163">
        <v>0.84099939999999995</v>
      </c>
      <c r="AB1163">
        <v>26</v>
      </c>
      <c r="AC1163">
        <v>-12.4512</v>
      </c>
      <c r="AD1163">
        <v>-1.0966136048019901</v>
      </c>
      <c r="AE1163">
        <v>0.69769999999999699</v>
      </c>
      <c r="AF1163">
        <v>6.81068052648072</v>
      </c>
      <c r="AG1163">
        <v>-1.0966136048019901</v>
      </c>
      <c r="AH1163">
        <v>10.3322933792388</v>
      </c>
      <c r="AI1163">
        <v>95.064034562285698</v>
      </c>
      <c r="AJ1163">
        <v>56.608548831574097</v>
      </c>
      <c r="AK1163">
        <v>12.4235348072392</v>
      </c>
    </row>
    <row r="1164" spans="1:37" x14ac:dyDescent="0.2">
      <c r="A1164" t="str">
        <f>"20200111150608416"</f>
        <v>20200111150608416</v>
      </c>
      <c r="B1164" t="str">
        <f>"1578726368408101"</f>
        <v>1578726368408101</v>
      </c>
      <c r="C1164" t="s">
        <v>37</v>
      </c>
      <c r="D1164">
        <v>4.7318949999999997</v>
      </c>
      <c r="E1164">
        <v>0.60619650000000003</v>
      </c>
      <c r="F1164" t="s">
        <v>78</v>
      </c>
      <c r="G1164">
        <v>-207.72149999999999</v>
      </c>
      <c r="H1164" s="1">
        <v>-8.8379530000000005E-6</v>
      </c>
      <c r="I1164">
        <v>148.9324</v>
      </c>
      <c r="J1164">
        <v>-196.1465</v>
      </c>
      <c r="K1164">
        <v>1.09704</v>
      </c>
      <c r="L1164">
        <v>148.29429999999999</v>
      </c>
      <c r="M1164">
        <v>-0.86891960000000001</v>
      </c>
      <c r="N1164">
        <v>0</v>
      </c>
      <c r="O1164">
        <v>-0.4947338</v>
      </c>
      <c r="P1164">
        <v>-0.96762619999999899</v>
      </c>
      <c r="Q1164">
        <v>9.9994050000000001E-2</v>
      </c>
      <c r="R1164">
        <v>-0.23173539999999901</v>
      </c>
      <c r="S1164">
        <v>-3.1642759999999899</v>
      </c>
      <c r="T1164">
        <v>-0.29370780000000002</v>
      </c>
      <c r="U1164">
        <v>0.13690189999999999</v>
      </c>
      <c r="V1164">
        <v>0.27912619999999999</v>
      </c>
      <c r="W1164">
        <v>0.10975689999999901</v>
      </c>
      <c r="X1164">
        <v>0.95396119999999995</v>
      </c>
      <c r="Y1164">
        <v>0.52762640000000005</v>
      </c>
      <c r="Z1164">
        <v>6.8743559999999995E-2</v>
      </c>
      <c r="AA1164">
        <v>0.84669039999999995</v>
      </c>
      <c r="AB1164">
        <v>26</v>
      </c>
      <c r="AC1164">
        <v>-11.5749999999999</v>
      </c>
      <c r="AD1164">
        <v>-1.0970488379529999</v>
      </c>
      <c r="AE1164">
        <v>0.63810000000000799</v>
      </c>
      <c r="AF1164">
        <v>6.2259269686087197</v>
      </c>
      <c r="AG1164">
        <v>-1.0970488379529999</v>
      </c>
      <c r="AH1164">
        <v>9.65663245130931</v>
      </c>
      <c r="AI1164">
        <v>95.454137991050402</v>
      </c>
      <c r="AJ1164">
        <v>57.188883594490903</v>
      </c>
      <c r="AK1164">
        <v>11.5419336798901</v>
      </c>
    </row>
    <row r="1165" spans="1:37" x14ac:dyDescent="0.2">
      <c r="A1165" t="str">
        <f>"20200111150608437"</f>
        <v>20200111150608437</v>
      </c>
      <c r="B1165" t="str">
        <f>"1578726368427623"</f>
        <v>1578726368427623</v>
      </c>
      <c r="C1165" t="s">
        <v>37</v>
      </c>
      <c r="D1165">
        <v>4.7337220000000002</v>
      </c>
      <c r="E1165">
        <v>0.60521429999999998</v>
      </c>
      <c r="F1165" t="s">
        <v>78</v>
      </c>
      <c r="G1165">
        <v>-207.5205</v>
      </c>
      <c r="H1165" s="1">
        <v>-8.8752219999999995E-6</v>
      </c>
      <c r="I1165">
        <v>148.73609999999999</v>
      </c>
      <c r="J1165">
        <v>-196.35720000000001</v>
      </c>
      <c r="K1165">
        <v>1.097391</v>
      </c>
      <c r="L1165">
        <v>148.1842</v>
      </c>
      <c r="M1165">
        <v>-0.87268889999999999</v>
      </c>
      <c r="N1165">
        <v>0</v>
      </c>
      <c r="O1165">
        <v>-0.4880603</v>
      </c>
      <c r="P1165">
        <v>-0.96696070000000001</v>
      </c>
      <c r="Q1165">
        <v>9.8297910000000002E-2</v>
      </c>
      <c r="R1165">
        <v>-0.23521139999999999</v>
      </c>
      <c r="S1165">
        <v>-3.1612849999999999</v>
      </c>
      <c r="T1165">
        <v>-0.3049116</v>
      </c>
      <c r="U1165">
        <v>0.12278749999999999</v>
      </c>
      <c r="V1165">
        <v>0.268310099999999</v>
      </c>
      <c r="W1165">
        <v>0.1083046</v>
      </c>
      <c r="X1165">
        <v>0.95722499999999999</v>
      </c>
      <c r="Y1165">
        <v>0.51709209999999906</v>
      </c>
      <c r="Z1165">
        <v>7.0335640000000005E-2</v>
      </c>
      <c r="AA1165">
        <v>0.85303499999999999</v>
      </c>
      <c r="AB1165">
        <v>26</v>
      </c>
      <c r="AC1165">
        <v>-11.1632999999999</v>
      </c>
      <c r="AD1165">
        <v>-1.097399875222</v>
      </c>
      <c r="AE1165">
        <v>0.55189999999998895</v>
      </c>
      <c r="AF1165">
        <v>5.8740006109313496</v>
      </c>
      <c r="AG1165">
        <v>-1.097399875222</v>
      </c>
      <c r="AH1165">
        <v>9.3832718478076096</v>
      </c>
      <c r="AI1165">
        <v>95.661283292716305</v>
      </c>
      <c r="AJ1165">
        <v>57.953116080914</v>
      </c>
      <c r="AK1165">
        <v>11.1244757284655</v>
      </c>
    </row>
    <row r="1166" spans="1:37" x14ac:dyDescent="0.2">
      <c r="A1166" t="str">
        <f>"20200111150608459"</f>
        <v>20200111150608459</v>
      </c>
      <c r="B1166" t="str">
        <f>"1578726368457876"</f>
        <v>1578726368457876</v>
      </c>
      <c r="C1166" t="s">
        <v>37</v>
      </c>
      <c r="D1166">
        <v>4.9475959999999999</v>
      </c>
      <c r="E1166">
        <v>0.53236589999999995</v>
      </c>
      <c r="F1166" t="s">
        <v>78</v>
      </c>
      <c r="G1166">
        <v>-207.57320000000001</v>
      </c>
      <c r="H1166" s="1">
        <v>-8.803979E-6</v>
      </c>
      <c r="I1166">
        <v>148.55459999999999</v>
      </c>
      <c r="J1166">
        <v>-196.59370000000001</v>
      </c>
      <c r="K1166">
        <v>1.097739</v>
      </c>
      <c r="L1166">
        <v>148.0625</v>
      </c>
      <c r="M1166">
        <v>-0.87660839999999995</v>
      </c>
      <c r="N1166">
        <v>0</v>
      </c>
      <c r="O1166">
        <v>-0.48099319999999901</v>
      </c>
      <c r="P1166">
        <v>-0.96634240000000005</v>
      </c>
      <c r="Q1166">
        <v>0.1009364</v>
      </c>
      <c r="R1166">
        <v>-0.23663149999999999</v>
      </c>
      <c r="S1166">
        <v>-3.1593019999999998</v>
      </c>
      <c r="T1166">
        <v>-0.30911450000000001</v>
      </c>
      <c r="U1166">
        <v>0.1043549</v>
      </c>
      <c r="V1166">
        <v>0.25894790000000001</v>
      </c>
      <c r="W1166">
        <v>0.1110825</v>
      </c>
      <c r="X1166">
        <v>0.95948250000000002</v>
      </c>
      <c r="Y1166">
        <v>0.5051504</v>
      </c>
      <c r="Z1166">
        <v>7.013614E-2</v>
      </c>
      <c r="AA1166">
        <v>0.86017670000000002</v>
      </c>
      <c r="AB1166">
        <v>26</v>
      </c>
      <c r="AC1166">
        <v>-10.9795</v>
      </c>
      <c r="AD1166">
        <v>-1.0977478039790001</v>
      </c>
      <c r="AE1166">
        <v>0.49209999999999299</v>
      </c>
      <c r="AF1166">
        <v>5.6565927280630302</v>
      </c>
      <c r="AG1166">
        <v>-1.0977478039790001</v>
      </c>
      <c r="AH1166">
        <v>9.2962375618340403</v>
      </c>
      <c r="AI1166">
        <v>95.760382587740907</v>
      </c>
      <c r="AJ1166">
        <v>58.680242188290499</v>
      </c>
      <c r="AK1166">
        <v>10.937189965359901</v>
      </c>
    </row>
    <row r="1167" spans="1:37" x14ac:dyDescent="0.2">
      <c r="A1167" t="str">
        <f>"20200111150608482"</f>
        <v>20200111150608482</v>
      </c>
      <c r="B1167" t="str">
        <f>"1578726368477396"</f>
        <v>1578726368477396</v>
      </c>
      <c r="C1167" t="s">
        <v>37</v>
      </c>
      <c r="D1167">
        <v>4.9565229999999998</v>
      </c>
      <c r="E1167">
        <v>0.5152139</v>
      </c>
      <c r="F1167" t="s">
        <v>39</v>
      </c>
      <c r="G1167">
        <v>-218.9967</v>
      </c>
      <c r="H1167" s="1">
        <v>-1.7795629999999999E-6</v>
      </c>
      <c r="I1167">
        <v>144.59540000000001</v>
      </c>
      <c r="J1167">
        <v>-196.8228</v>
      </c>
      <c r="K1167">
        <v>1.0980399999999999</v>
      </c>
      <c r="L1167">
        <v>147.94630000000001</v>
      </c>
      <c r="M1167">
        <v>-0.88011810000000001</v>
      </c>
      <c r="N1167">
        <v>0</v>
      </c>
      <c r="O1167">
        <v>-0.47454940000000001</v>
      </c>
      <c r="P1167">
        <v>-0.96529609999999899</v>
      </c>
      <c r="Q1167">
        <v>0.10337109999999999</v>
      </c>
      <c r="R1167">
        <v>-0.23982870000000001</v>
      </c>
      <c r="S1167">
        <v>-3.005951</v>
      </c>
      <c r="T1167">
        <v>-0.147290899999999</v>
      </c>
      <c r="U1167">
        <v>-0.46521000000000001</v>
      </c>
      <c r="V1167">
        <v>0.24851999999999999</v>
      </c>
      <c r="W1167">
        <v>0.1136018</v>
      </c>
      <c r="X1167">
        <v>0.96194199999999996</v>
      </c>
      <c r="Y1167">
        <v>0.33349709999999899</v>
      </c>
      <c r="Z1167">
        <v>3.027908E-2</v>
      </c>
      <c r="AA1167">
        <v>0.94226469999999996</v>
      </c>
      <c r="AB1167">
        <v>26</v>
      </c>
      <c r="AC1167">
        <v>-22.1739</v>
      </c>
      <c r="AD1167">
        <v>-1.098041779563</v>
      </c>
      <c r="AE1167">
        <v>-3.35089999999999</v>
      </c>
      <c r="AF1167">
        <v>7.55604656198547</v>
      </c>
      <c r="AG1167">
        <v>-1.098041779563</v>
      </c>
      <c r="AH1167">
        <v>21.057392644251198</v>
      </c>
      <c r="AI1167">
        <v>92.809880053150906</v>
      </c>
      <c r="AJ1167">
        <v>70.260436817882905</v>
      </c>
      <c r="AK1167">
        <v>22.398958019754499</v>
      </c>
    </row>
    <row r="1168" spans="1:37" x14ac:dyDescent="0.2">
      <c r="A1168" t="str">
        <f>"20200111150608504"</f>
        <v>20200111150608504</v>
      </c>
      <c r="B1168" t="str">
        <f>"1578726368497893"</f>
        <v>1578726368497893</v>
      </c>
      <c r="C1168" t="s">
        <v>37</v>
      </c>
      <c r="D1168">
        <v>5.002732</v>
      </c>
      <c r="E1168">
        <v>0.50998250000000001</v>
      </c>
      <c r="F1168" t="s">
        <v>39</v>
      </c>
      <c r="G1168">
        <v>-217.8546</v>
      </c>
      <c r="H1168" s="1">
        <v>-2.0626069999999999E-6</v>
      </c>
      <c r="I1168">
        <v>143.6302</v>
      </c>
      <c r="J1168">
        <v>-197.05240000000001</v>
      </c>
      <c r="K1168">
        <v>1.098311</v>
      </c>
      <c r="L1168">
        <v>147.83150000000001</v>
      </c>
      <c r="M1168">
        <v>-0.88337140000000003</v>
      </c>
      <c r="N1168">
        <v>0</v>
      </c>
      <c r="O1168">
        <v>-0.46847539999999999</v>
      </c>
      <c r="P1168">
        <v>-0.96423549999999902</v>
      </c>
      <c r="Q1168">
        <v>0.10434789999999999</v>
      </c>
      <c r="R1168">
        <v>-0.2436421</v>
      </c>
      <c r="S1168">
        <v>-2.97288499999999</v>
      </c>
      <c r="T1168">
        <v>-0.15520999999999999</v>
      </c>
      <c r="U1168">
        <v>-0.61009219999999997</v>
      </c>
      <c r="V1168">
        <v>0.23793339999999999</v>
      </c>
      <c r="W1168">
        <v>0.114607</v>
      </c>
      <c r="X1168">
        <v>0.96449619999999903</v>
      </c>
      <c r="Y1168">
        <v>0.28043559999999901</v>
      </c>
      <c r="Z1168">
        <v>3.040441E-2</v>
      </c>
      <c r="AA1168">
        <v>0.9593912</v>
      </c>
      <c r="AB1168">
        <v>26</v>
      </c>
      <c r="AC1168">
        <v>-20.802199999999999</v>
      </c>
      <c r="AD1168">
        <v>-1.0983130626069999</v>
      </c>
      <c r="AE1168">
        <v>-4.2012999999999998</v>
      </c>
      <c r="AF1168">
        <v>6.0184515977717998</v>
      </c>
      <c r="AG1168">
        <v>-1.0983130626069999</v>
      </c>
      <c r="AH1168">
        <v>20.291815146044101</v>
      </c>
      <c r="AI1168">
        <v>92.970505362875201</v>
      </c>
      <c r="AJ1168">
        <v>73.4799049033182</v>
      </c>
      <c r="AK1168">
        <v>21.1940041789993</v>
      </c>
    </row>
    <row r="1169" spans="1:37" x14ac:dyDescent="0.2">
      <c r="A1169" t="str">
        <f>"20200111150608525"</f>
        <v>20200111150608525</v>
      </c>
      <c r="B1169" t="str">
        <f>"1578726368517416"</f>
        <v>1578726368517416</v>
      </c>
      <c r="C1169" t="s">
        <v>37</v>
      </c>
      <c r="D1169">
        <v>4.9280390000000001</v>
      </c>
      <c r="E1169">
        <v>0.50847730000000002</v>
      </c>
      <c r="F1169" t="s">
        <v>39</v>
      </c>
      <c r="G1169">
        <v>-220.27760000000001</v>
      </c>
      <c r="H1169" s="1">
        <v>-4.7162249999999999E-6</v>
      </c>
      <c r="I1169">
        <v>142.63050000000001</v>
      </c>
      <c r="J1169">
        <v>-197.28110000000001</v>
      </c>
      <c r="K1169">
        <v>1.0985739999999999</v>
      </c>
      <c r="L1169">
        <v>147.71850000000001</v>
      </c>
      <c r="M1169">
        <v>-0.88636819999999905</v>
      </c>
      <c r="N1169">
        <v>0</v>
      </c>
      <c r="O1169">
        <v>-0.46279039999999999</v>
      </c>
      <c r="P1169">
        <v>-0.96362909999999902</v>
      </c>
      <c r="Q1169">
        <v>0.10373640000000001</v>
      </c>
      <c r="R1169">
        <v>-0.24628699999999901</v>
      </c>
      <c r="S1169">
        <v>-2.9589539999999999</v>
      </c>
      <c r="T1169">
        <v>-0.13992889999999999</v>
      </c>
      <c r="U1169">
        <v>-0.66261289999999995</v>
      </c>
      <c r="V1169">
        <v>0.22899939999999999</v>
      </c>
      <c r="W1169">
        <v>0.113967</v>
      </c>
      <c r="X1169">
        <v>0.96673199999999904</v>
      </c>
      <c r="Y1169">
        <v>0.25721889999999997</v>
      </c>
      <c r="Z1169">
        <v>2.6693499999999998E-2</v>
      </c>
      <c r="AA1169">
        <v>0.96598439999999997</v>
      </c>
      <c r="AB1169">
        <v>26</v>
      </c>
      <c r="AC1169">
        <v>-22.996500000000001</v>
      </c>
      <c r="AD1169">
        <v>-1.098578716225</v>
      </c>
      <c r="AE1169">
        <v>-5.0879999999999903</v>
      </c>
      <c r="AF1169">
        <v>6.1199445124304397</v>
      </c>
      <c r="AG1169">
        <v>-1.098578716225</v>
      </c>
      <c r="AH1169">
        <v>22.6906839770045</v>
      </c>
      <c r="AI1169">
        <v>92.676344800200297</v>
      </c>
      <c r="AJ1169">
        <v>74.9058183202186</v>
      </c>
      <c r="AK1169">
        <v>23.5271701522996</v>
      </c>
    </row>
    <row r="1170" spans="1:37" x14ac:dyDescent="0.2">
      <c r="A1170" t="str">
        <f>"20200111150608549"</f>
        <v>20200111150608549</v>
      </c>
      <c r="B1170" t="str">
        <f>"1578726368537908"</f>
        <v>1578726368537908</v>
      </c>
      <c r="C1170" t="s">
        <v>37</v>
      </c>
      <c r="D1170">
        <v>5.0510380000000001</v>
      </c>
      <c r="E1170">
        <v>0.50696839999999999</v>
      </c>
      <c r="F1170" t="s">
        <v>39</v>
      </c>
      <c r="G1170">
        <v>-218.5822</v>
      </c>
      <c r="H1170" s="1">
        <v>-1.4967339999999899E-6</v>
      </c>
      <c r="I1170">
        <v>142.79599999999999</v>
      </c>
      <c r="J1170">
        <v>-197.52709999999999</v>
      </c>
      <c r="K1170">
        <v>1.0988639999999901</v>
      </c>
      <c r="L1170">
        <v>147.59829999999999</v>
      </c>
      <c r="M1170">
        <v>-0.88934590000000002</v>
      </c>
      <c r="N1170">
        <v>0</v>
      </c>
      <c r="O1170">
        <v>-0.45705289999999998</v>
      </c>
      <c r="P1170">
        <v>-0.96352899999999997</v>
      </c>
      <c r="Q1170">
        <v>0.1042932</v>
      </c>
      <c r="R1170">
        <v>-0.24644389999999999</v>
      </c>
      <c r="S1170">
        <v>-2.9551090000000002</v>
      </c>
      <c r="T1170">
        <v>-0.15240629999999999</v>
      </c>
      <c r="U1170">
        <v>-0.68289180000000005</v>
      </c>
      <c r="V1170">
        <v>0.2224612</v>
      </c>
      <c r="W1170">
        <v>0.1144313</v>
      </c>
      <c r="X1170">
        <v>0.96820269999999997</v>
      </c>
      <c r="Y1170">
        <v>0.24426790000000001</v>
      </c>
      <c r="Z1170">
        <v>2.8490990000000001E-2</v>
      </c>
      <c r="AA1170">
        <v>0.96928919999999996</v>
      </c>
      <c r="AB1170">
        <v>26</v>
      </c>
      <c r="AC1170">
        <v>-21.055099999999999</v>
      </c>
      <c r="AD1170">
        <v>-1.0988654967339999</v>
      </c>
      <c r="AE1170">
        <v>-4.8022999999999998</v>
      </c>
      <c r="AF1170">
        <v>5.3390111217143801</v>
      </c>
      <c r="AG1170">
        <v>-1.0988654967339999</v>
      </c>
      <c r="AH1170">
        <v>20.8678848373834</v>
      </c>
      <c r="AI1170">
        <v>92.920412355555399</v>
      </c>
      <c r="AJ1170">
        <v>75.648825413879393</v>
      </c>
      <c r="AK1170">
        <v>21.568058853869999</v>
      </c>
    </row>
    <row r="1171" spans="1:37" x14ac:dyDescent="0.2">
      <c r="A1171" t="str">
        <f>"20200111150608572"</f>
        <v>20200111150608572</v>
      </c>
      <c r="B1171" t="str">
        <f>"1578726368567189"</f>
        <v>1578726368567189</v>
      </c>
      <c r="C1171" t="s">
        <v>37</v>
      </c>
      <c r="D1171">
        <v>5.4493099999999997</v>
      </c>
      <c r="E1171">
        <v>0.50674839999999999</v>
      </c>
      <c r="F1171" t="s">
        <v>39</v>
      </c>
      <c r="G1171">
        <v>-216.767</v>
      </c>
      <c r="H1171" s="1">
        <v>-2.4274069999999998E-6</v>
      </c>
      <c r="I1171">
        <v>143.06909999999999</v>
      </c>
      <c r="J1171">
        <v>-197.76769999999999</v>
      </c>
      <c r="K1171">
        <v>1.0991469999999901</v>
      </c>
      <c r="L1171">
        <v>147.4821</v>
      </c>
      <c r="M1171">
        <v>-0.89202459999999995</v>
      </c>
      <c r="N1171">
        <v>0</v>
      </c>
      <c r="O1171">
        <v>-0.45181279999999902</v>
      </c>
      <c r="P1171">
        <v>-0.96335919999999897</v>
      </c>
      <c r="Q1171">
        <v>0.1059638</v>
      </c>
      <c r="R1171">
        <v>-0.2463958</v>
      </c>
      <c r="S1171">
        <v>-2.9539490000000002</v>
      </c>
      <c r="T1171">
        <v>-0.16871169999999999</v>
      </c>
      <c r="U1171">
        <v>-0.69538880000000003</v>
      </c>
      <c r="V1171">
        <v>0.21664220000000001</v>
      </c>
      <c r="W1171">
        <v>0.11599719999999999</v>
      </c>
      <c r="X1171">
        <v>0.96933530000000001</v>
      </c>
      <c r="Y1171">
        <v>0.23441219999999999</v>
      </c>
      <c r="Z1171">
        <v>3.0988390000000001E-2</v>
      </c>
      <c r="AA1171">
        <v>0.97164329999999999</v>
      </c>
      <c r="AB1171">
        <v>26</v>
      </c>
      <c r="AC1171">
        <v>-18.999300000000002</v>
      </c>
      <c r="AD1171">
        <v>-1.0991494274069999</v>
      </c>
      <c r="AE1171">
        <v>-4.41300000000001</v>
      </c>
      <c r="AF1171">
        <v>4.6332747951862698</v>
      </c>
      <c r="AG1171">
        <v>-1.0991494274069999</v>
      </c>
      <c r="AH1171">
        <v>18.883218372476399</v>
      </c>
      <c r="AI1171">
        <v>93.235539301383795</v>
      </c>
      <c r="AJ1171">
        <v>76.213989640402204</v>
      </c>
      <c r="AK1171">
        <v>19.474375494328601</v>
      </c>
    </row>
    <row r="1172" spans="1:37" x14ac:dyDescent="0.2">
      <c r="A1172" t="str">
        <f>"20200111150608592"</f>
        <v>20200111150608592</v>
      </c>
      <c r="B1172" t="str">
        <f>"1578726368587685"</f>
        <v>1578726368587685</v>
      </c>
      <c r="C1172" t="s">
        <v>37</v>
      </c>
      <c r="D1172">
        <v>4.9846349999999999</v>
      </c>
      <c r="E1172">
        <v>0.50697139999999996</v>
      </c>
      <c r="F1172" t="s">
        <v>39</v>
      </c>
      <c r="G1172">
        <v>-218.05609999999999</v>
      </c>
      <c r="H1172" s="1">
        <v>-1.7182579999999901E-6</v>
      </c>
      <c r="I1172">
        <v>142.69399999999999</v>
      </c>
      <c r="J1172">
        <v>-197.98599999999999</v>
      </c>
      <c r="K1172">
        <v>1.09938799999999</v>
      </c>
      <c r="L1172">
        <v>147.37780000000001</v>
      </c>
      <c r="M1172">
        <v>-0.89425880000000002</v>
      </c>
      <c r="N1172">
        <v>0</v>
      </c>
      <c r="O1172">
        <v>-0.44738309999999998</v>
      </c>
      <c r="P1172">
        <v>-0.96316089999999999</v>
      </c>
      <c r="Q1172">
        <v>0.1061827</v>
      </c>
      <c r="R1172">
        <v>-0.24707579999999901</v>
      </c>
      <c r="S1172">
        <v>-2.95343</v>
      </c>
      <c r="T1172">
        <v>-0.1600058</v>
      </c>
      <c r="U1172">
        <v>-0.69702149999999996</v>
      </c>
      <c r="V1172">
        <v>0.2110496</v>
      </c>
      <c r="W1172">
        <v>0.116122699999999</v>
      </c>
      <c r="X1172">
        <v>0.97055319999999901</v>
      </c>
      <c r="Y1172">
        <v>0.22915099999999999</v>
      </c>
      <c r="Z1172">
        <v>2.9044460000000001E-2</v>
      </c>
      <c r="AA1172">
        <v>0.97295739999999997</v>
      </c>
      <c r="AB1172">
        <v>26</v>
      </c>
      <c r="AC1172">
        <v>-20.0701</v>
      </c>
      <c r="AD1172">
        <v>-1.0993897182579999</v>
      </c>
      <c r="AE1172">
        <v>-4.6838000000000104</v>
      </c>
      <c r="AF1172">
        <v>4.7772583187101496</v>
      </c>
      <c r="AG1172">
        <v>-1.0993897182579999</v>
      </c>
      <c r="AH1172">
        <v>19.9879379362694</v>
      </c>
      <c r="AI1172">
        <v>93.062171362333601</v>
      </c>
      <c r="AJ1172">
        <v>76.558071532179895</v>
      </c>
      <c r="AK1172">
        <v>20.580294403639002</v>
      </c>
    </row>
    <row r="1173" spans="1:37" x14ac:dyDescent="0.2">
      <c r="A1173" t="str">
        <f>"20200111150608616"</f>
        <v>20200111150608616</v>
      </c>
      <c r="B1173" t="str">
        <f>"1578726368607205"</f>
        <v>1578726368607205</v>
      </c>
      <c r="C1173" t="s">
        <v>37</v>
      </c>
      <c r="D1173">
        <v>5.0306280000000001</v>
      </c>
      <c r="E1173">
        <v>0.50729749999999996</v>
      </c>
      <c r="F1173" t="s">
        <v>39</v>
      </c>
      <c r="G1173">
        <v>-217.55459999999999</v>
      </c>
      <c r="H1173" s="1">
        <v>-1.9724069999999999E-6</v>
      </c>
      <c r="I1173">
        <v>142.75810000000001</v>
      </c>
      <c r="J1173">
        <v>-198.24359999999999</v>
      </c>
      <c r="K1173">
        <v>1.0996440000000001</v>
      </c>
      <c r="L1173">
        <v>147.2559</v>
      </c>
      <c r="M1173">
        <v>-0.89666409999999996</v>
      </c>
      <c r="N1173">
        <v>0</v>
      </c>
      <c r="O1173">
        <v>-0.4425519</v>
      </c>
      <c r="P1173">
        <v>-0.96319589999999999</v>
      </c>
      <c r="Q1173">
        <v>0.10511669999999999</v>
      </c>
      <c r="R1173">
        <v>-0.24739510000000001</v>
      </c>
      <c r="S1173">
        <v>-2.9541629999999999</v>
      </c>
      <c r="T1173">
        <v>-0.16596859999999999</v>
      </c>
      <c r="U1173">
        <v>-0.697403</v>
      </c>
      <c r="V1173">
        <v>0.2054368</v>
      </c>
      <c r="W1173">
        <v>0.1149372</v>
      </c>
      <c r="X1173">
        <v>0.97189769999999898</v>
      </c>
      <c r="Y1173">
        <v>0.223776899999999</v>
      </c>
      <c r="Z1173">
        <v>2.973139E-2</v>
      </c>
      <c r="AA1173">
        <v>0.97418680000000002</v>
      </c>
      <c r="AB1173">
        <v>26</v>
      </c>
      <c r="AC1173">
        <v>-19.311</v>
      </c>
      <c r="AD1173">
        <v>-1.099645972407</v>
      </c>
      <c r="AE1173">
        <v>-4.4977999999999803</v>
      </c>
      <c r="AF1173">
        <v>4.49958319468809</v>
      </c>
      <c r="AG1173">
        <v>-1.099645972407</v>
      </c>
      <c r="AH1173">
        <v>19.248151772095699</v>
      </c>
      <c r="AI1173">
        <v>93.1840913161532</v>
      </c>
      <c r="AJ1173">
        <v>76.842414223339603</v>
      </c>
      <c r="AK1173">
        <v>19.797646749858501</v>
      </c>
    </row>
    <row r="1174" spans="1:37" x14ac:dyDescent="0.2">
      <c r="A1174" t="str">
        <f>"20200111150608638"</f>
        <v>20200111150608638</v>
      </c>
      <c r="B1174" t="str">
        <f>"1578726368627701"</f>
        <v>1578726368627701</v>
      </c>
      <c r="C1174" t="s">
        <v>37</v>
      </c>
      <c r="D1174">
        <v>5.06135</v>
      </c>
      <c r="E1174">
        <v>0.50765729999999998</v>
      </c>
      <c r="F1174" t="s">
        <v>39</v>
      </c>
      <c r="G1174">
        <v>-217.19640000000001</v>
      </c>
      <c r="H1174" s="1">
        <v>-2.1520579999999998E-6</v>
      </c>
      <c r="I1174">
        <v>142.797</v>
      </c>
      <c r="J1174">
        <v>-198.47579999999999</v>
      </c>
      <c r="K1174">
        <v>1.0998429999999999</v>
      </c>
      <c r="L1174">
        <v>147.14689999999999</v>
      </c>
      <c r="M1174">
        <v>-0.89866100000000004</v>
      </c>
      <c r="N1174">
        <v>0</v>
      </c>
      <c r="O1174">
        <v>-0.43848999999999999</v>
      </c>
      <c r="P1174">
        <v>-0.96323530000000002</v>
      </c>
      <c r="Q1174">
        <v>0.10460899999999999</v>
      </c>
      <c r="R1174">
        <v>-0.24745619999999999</v>
      </c>
      <c r="S1174">
        <v>-2.9548030000000001</v>
      </c>
      <c r="T1174">
        <v>-0.17143820000000001</v>
      </c>
      <c r="U1174">
        <v>-0.69514469999999995</v>
      </c>
      <c r="V1174">
        <v>0.20092349999999901</v>
      </c>
      <c r="W1174">
        <v>0.11431279999999901</v>
      </c>
      <c r="X1174">
        <v>0.97291430000000001</v>
      </c>
      <c r="Y1174">
        <v>0.2200656</v>
      </c>
      <c r="Z1174">
        <v>3.0394190000000001E-2</v>
      </c>
      <c r="AA1174">
        <v>0.97501150000000003</v>
      </c>
      <c r="AB1174">
        <v>26</v>
      </c>
      <c r="AC1174">
        <v>-18.720600000000001</v>
      </c>
      <c r="AD1174">
        <v>-1.0998451520579999</v>
      </c>
      <c r="AE1174">
        <v>-4.3498999999999901</v>
      </c>
      <c r="AF1174">
        <v>4.2859647709117601</v>
      </c>
      <c r="AG1174">
        <v>-1.0998451520579999</v>
      </c>
      <c r="AH1174">
        <v>18.670980536319298</v>
      </c>
      <c r="AI1174">
        <v>93.285938454896595</v>
      </c>
      <c r="AJ1174">
        <v>77.071605524411297</v>
      </c>
      <c r="AK1174">
        <v>19.188138720668402</v>
      </c>
    </row>
    <row r="1175" spans="1:37" x14ac:dyDescent="0.2">
      <c r="A1175" t="str">
        <f>"20200111150608660"</f>
        <v>20200111150608660</v>
      </c>
      <c r="B1175" t="str">
        <f>"1578726368657957"</f>
        <v>1578726368657957</v>
      </c>
      <c r="C1175" t="s">
        <v>37</v>
      </c>
      <c r="D1175">
        <v>5.1279649999999997</v>
      </c>
      <c r="E1175">
        <v>0.50756000000000001</v>
      </c>
      <c r="F1175" t="s">
        <v>39</v>
      </c>
      <c r="G1175">
        <v>-217.66569999999999</v>
      </c>
      <c r="H1175" s="1">
        <v>-1.8908269999999899E-6</v>
      </c>
      <c r="I1175">
        <v>142.649</v>
      </c>
      <c r="J1175">
        <v>-198.7176</v>
      </c>
      <c r="K1175">
        <v>1.1000049999999999</v>
      </c>
      <c r="L1175">
        <v>147.03450000000001</v>
      </c>
      <c r="M1175">
        <v>-0.90060409999999902</v>
      </c>
      <c r="N1175">
        <v>0</v>
      </c>
      <c r="O1175">
        <v>-0.4344925</v>
      </c>
      <c r="P1175">
        <v>-0.96356679999999995</v>
      </c>
      <c r="Q1175">
        <v>0.10499939999999899</v>
      </c>
      <c r="R1175">
        <v>-0.24599689999999999</v>
      </c>
      <c r="S1175">
        <v>-2.954971</v>
      </c>
      <c r="T1175">
        <v>-0.16936010000000001</v>
      </c>
      <c r="U1175">
        <v>-0.69261169999999905</v>
      </c>
      <c r="V1175">
        <v>0.19800129999999999</v>
      </c>
      <c r="W1175">
        <v>0.114558199999999</v>
      </c>
      <c r="X1175">
        <v>0.97348440000000003</v>
      </c>
      <c r="Y1175">
        <v>0.21656719999999999</v>
      </c>
      <c r="Z1175">
        <v>2.9728520000000001E-2</v>
      </c>
      <c r="AA1175">
        <v>0.97581489999999904</v>
      </c>
      <c r="AB1175">
        <v>26</v>
      </c>
      <c r="AC1175">
        <v>-18.948099999999901</v>
      </c>
      <c r="AD1175">
        <v>-1.100006890827</v>
      </c>
      <c r="AE1175">
        <v>-4.3855000000000004</v>
      </c>
      <c r="AF1175">
        <v>4.2698247078850597</v>
      </c>
      <c r="AG1175">
        <v>-1.100006890827</v>
      </c>
      <c r="AH1175">
        <v>18.9109289360456</v>
      </c>
      <c r="AI1175">
        <v>93.247451544254602</v>
      </c>
      <c r="AJ1175">
        <v>77.276754339979206</v>
      </c>
      <c r="AK1175">
        <v>19.418152626346799</v>
      </c>
    </row>
    <row r="1176" spans="1:37" x14ac:dyDescent="0.2">
      <c r="A1176" t="str">
        <f>"20200111150608682"</f>
        <v>20200111150608682</v>
      </c>
      <c r="B1176" t="str">
        <f>"1578726368677477"</f>
        <v>1578726368677477</v>
      </c>
      <c r="C1176" t="s">
        <v>37</v>
      </c>
      <c r="D1176">
        <v>5.1187300000000002</v>
      </c>
      <c r="E1176">
        <v>0.50773849999999998</v>
      </c>
      <c r="F1176" t="s">
        <v>39</v>
      </c>
      <c r="G1176">
        <v>-218.2971</v>
      </c>
      <c r="H1176" s="1">
        <v>-1.5439580000000001E-6</v>
      </c>
      <c r="I1176">
        <v>142.46709999999999</v>
      </c>
      <c r="J1176">
        <v>-198.94739999999999</v>
      </c>
      <c r="K1176">
        <v>1.1001259999999999</v>
      </c>
      <c r="L1176">
        <v>146.92859999999999</v>
      </c>
      <c r="M1176">
        <v>-0.90233890000000005</v>
      </c>
      <c r="N1176">
        <v>0</v>
      </c>
      <c r="O1176">
        <v>-0.43088419999999999</v>
      </c>
      <c r="P1176">
        <v>-0.96381719999999904</v>
      </c>
      <c r="Q1176">
        <v>0.10488550000000001</v>
      </c>
      <c r="R1176">
        <v>-0.24506259999999999</v>
      </c>
      <c r="S1176">
        <v>-2.955505</v>
      </c>
      <c r="T1176">
        <v>-0.16604469999999999</v>
      </c>
      <c r="U1176">
        <v>-0.68943789999999905</v>
      </c>
      <c r="V1176">
        <v>0.19500889999999901</v>
      </c>
      <c r="W1176">
        <v>0.11431239999999999</v>
      </c>
      <c r="X1176">
        <v>0.97411719999999902</v>
      </c>
      <c r="Y1176">
        <v>0.21373619999999999</v>
      </c>
      <c r="Z1176">
        <v>2.8890199999999901E-2</v>
      </c>
      <c r="AA1176">
        <v>0.9764642</v>
      </c>
      <c r="AB1176">
        <v>26</v>
      </c>
      <c r="AC1176">
        <v>-19.349699999999999</v>
      </c>
      <c r="AD1176">
        <v>-1.1001275439579901</v>
      </c>
      <c r="AE1176">
        <v>-4.4615</v>
      </c>
      <c r="AF1176">
        <v>4.2987665972987497</v>
      </c>
      <c r="AG1176">
        <v>-1.1001275439579901</v>
      </c>
      <c r="AH1176">
        <v>19.3242597692633</v>
      </c>
      <c r="AI1176">
        <v>93.180738923493806</v>
      </c>
      <c r="AJ1176">
        <v>77.458516164685307</v>
      </c>
      <c r="AK1176">
        <v>19.8271705117244</v>
      </c>
    </row>
    <row r="1177" spans="1:37" x14ac:dyDescent="0.2">
      <c r="A1177" t="str">
        <f>"20200111150608703"</f>
        <v>20200111150608703</v>
      </c>
      <c r="B1177" t="str">
        <f>"1578726368697973"</f>
        <v>1578726368697973</v>
      </c>
      <c r="C1177" t="s">
        <v>37</v>
      </c>
      <c r="D1177">
        <v>5.1194750000000004</v>
      </c>
      <c r="E1177">
        <v>0.50794879999999998</v>
      </c>
      <c r="F1177" t="s">
        <v>39</v>
      </c>
      <c r="G1177">
        <v>-216.56120000000001</v>
      </c>
      <c r="H1177" s="1">
        <v>-2.46542499999999E-6</v>
      </c>
      <c r="I1177">
        <v>142.84630000000001</v>
      </c>
      <c r="J1177">
        <v>-199.17740000000001</v>
      </c>
      <c r="K1177">
        <v>1.1002259999999999</v>
      </c>
      <c r="L1177">
        <v>146.82339999999999</v>
      </c>
      <c r="M1177">
        <v>-0.90398129999999999</v>
      </c>
      <c r="N1177">
        <v>0</v>
      </c>
      <c r="O1177">
        <v>-0.4274327</v>
      </c>
      <c r="P1177">
        <v>-0.96374509999999902</v>
      </c>
      <c r="Q1177">
        <v>0.1047463</v>
      </c>
      <c r="R1177">
        <v>-0.24540500000000001</v>
      </c>
      <c r="S1177">
        <v>-2.958405</v>
      </c>
      <c r="T1177">
        <v>-0.1847762</v>
      </c>
      <c r="U1177">
        <v>-0.68565369999999903</v>
      </c>
      <c r="V1177">
        <v>0.1909062</v>
      </c>
      <c r="W1177">
        <v>0.11405799999999899</v>
      </c>
      <c r="X1177">
        <v>0.97495929999999997</v>
      </c>
      <c r="Y1177">
        <v>0.21119379999999999</v>
      </c>
      <c r="Z1177">
        <v>3.1850829999999997E-2</v>
      </c>
      <c r="AA1177">
        <v>0.97692509999999999</v>
      </c>
      <c r="AB1177">
        <v>26</v>
      </c>
      <c r="AC1177">
        <v>-17.383800000000001</v>
      </c>
      <c r="AD1177">
        <v>-1.1002284654250001</v>
      </c>
      <c r="AE1177">
        <v>-3.9770999999999699</v>
      </c>
      <c r="AF1177">
        <v>3.8208650212026001</v>
      </c>
      <c r="AG1177">
        <v>-1.1002284654250001</v>
      </c>
      <c r="AH1177">
        <v>17.349569600004301</v>
      </c>
      <c r="AI1177">
        <v>93.543873135044294</v>
      </c>
      <c r="AJ1177">
        <v>77.580109090665303</v>
      </c>
      <c r="AK1177">
        <v>17.799356097673101</v>
      </c>
    </row>
    <row r="1178" spans="1:37" x14ac:dyDescent="0.2">
      <c r="A1178" t="str">
        <f>"20200111150608726"</f>
        <v>20200111150608726</v>
      </c>
      <c r="B1178" t="str">
        <f>"1578726368717493"</f>
        <v>1578726368717493</v>
      </c>
      <c r="C1178" t="s">
        <v>37</v>
      </c>
      <c r="D1178">
        <v>4.6947299999999998</v>
      </c>
      <c r="E1178">
        <v>0.49819989999999997</v>
      </c>
      <c r="F1178" t="s">
        <v>39</v>
      </c>
      <c r="G1178">
        <v>-216.5455</v>
      </c>
      <c r="H1178" s="1">
        <v>-2.462195E-6</v>
      </c>
      <c r="I1178">
        <v>142.80609999999999</v>
      </c>
      <c r="J1178">
        <v>-199.4299</v>
      </c>
      <c r="K1178">
        <v>1.1003259999999999</v>
      </c>
      <c r="L1178">
        <v>146.70910000000001</v>
      </c>
      <c r="M1178">
        <v>-0.90569319999999898</v>
      </c>
      <c r="N1178">
        <v>0</v>
      </c>
      <c r="O1178">
        <v>-0.42379889999999998</v>
      </c>
      <c r="P1178">
        <v>-0.96392949999999999</v>
      </c>
      <c r="Q1178">
        <v>0.106083199999999</v>
      </c>
      <c r="R1178">
        <v>-0.2441033</v>
      </c>
      <c r="S1178">
        <v>-2.9589539999999999</v>
      </c>
      <c r="T1178">
        <v>-0.1874439</v>
      </c>
      <c r="U1178">
        <v>-0.68441770000000002</v>
      </c>
      <c r="V1178">
        <v>0.18821889999999999</v>
      </c>
      <c r="W1178">
        <v>0.11526119999999999</v>
      </c>
      <c r="X1178">
        <v>0.97534019999999999</v>
      </c>
      <c r="Y1178">
        <v>0.207673999999999</v>
      </c>
      <c r="Z1178">
        <v>3.199254E-2</v>
      </c>
      <c r="AA1178">
        <v>0.97767479999999995</v>
      </c>
      <c r="AB1178">
        <v>26</v>
      </c>
      <c r="AC1178">
        <v>-17.115600000000001</v>
      </c>
      <c r="AD1178">
        <v>-1.100328462195</v>
      </c>
      <c r="AE1178">
        <v>-3.90300000000002</v>
      </c>
      <c r="AF1178">
        <v>3.70431149616984</v>
      </c>
      <c r="AG1178">
        <v>-1.100328462195</v>
      </c>
      <c r="AH1178">
        <v>17.089411880314898</v>
      </c>
      <c r="AI1178">
        <v>93.600604088422401</v>
      </c>
      <c r="AJ1178">
        <v>77.769735730563795</v>
      </c>
      <c r="AK1178">
        <v>17.520863129435799</v>
      </c>
    </row>
    <row r="1179" spans="1:37" x14ac:dyDescent="0.2">
      <c r="A1179" t="str">
        <f>"20200111150608749"</f>
        <v>20200111150608749</v>
      </c>
      <c r="B1179" t="str">
        <f>"1578726368737988"</f>
        <v>1578726368737988</v>
      </c>
      <c r="C1179" t="s">
        <v>37</v>
      </c>
      <c r="D1179">
        <v>6.4091250000000004</v>
      </c>
      <c r="E1179">
        <v>0.51157699999999995</v>
      </c>
      <c r="F1179" t="s">
        <v>38</v>
      </c>
      <c r="G1179">
        <v>-200.13990000000001</v>
      </c>
      <c r="H1179">
        <v>0.88750429999999902</v>
      </c>
      <c r="I1179">
        <v>146.52799999999999</v>
      </c>
      <c r="J1179">
        <v>-199.6756</v>
      </c>
      <c r="K1179">
        <v>1.1004209999999901</v>
      </c>
      <c r="L1179">
        <v>146.59870000000001</v>
      </c>
      <c r="M1179">
        <v>-0.90728829999999905</v>
      </c>
      <c r="N1179">
        <v>0</v>
      </c>
      <c r="O1179">
        <v>-0.42037819999999998</v>
      </c>
      <c r="P1179">
        <v>-0.96440519999999996</v>
      </c>
      <c r="Q1179">
        <v>0.10671369999999999</v>
      </c>
      <c r="R1179">
        <v>-0.2419412</v>
      </c>
      <c r="S1179">
        <v>-3.0168300000000001</v>
      </c>
      <c r="T1179">
        <v>-0.90413399999999999</v>
      </c>
      <c r="U1179">
        <v>-0.76972959999999901</v>
      </c>
      <c r="V1179">
        <v>0.1866708</v>
      </c>
      <c r="W1179">
        <v>0.1157647</v>
      </c>
      <c r="X1179">
        <v>0.975578099999999</v>
      </c>
      <c r="Y1179">
        <v>0.1605144</v>
      </c>
      <c r="Z1179">
        <v>0.1401162</v>
      </c>
      <c r="AA1179">
        <v>0.97703770000000001</v>
      </c>
      <c r="AB1179">
        <v>26</v>
      </c>
      <c r="AC1179">
        <v>-0.46430000000000798</v>
      </c>
      <c r="AD1179">
        <v>-0.21291669999999999</v>
      </c>
      <c r="AE1179">
        <v>-7.0700000000016403E-2</v>
      </c>
      <c r="AF1179">
        <v>0.108702351571352</v>
      </c>
      <c r="AG1179">
        <v>-0.21291669999999999</v>
      </c>
      <c r="AH1179">
        <v>0.374110107055241</v>
      </c>
      <c r="AI1179">
        <v>118.657717572774</v>
      </c>
      <c r="AJ1179">
        <v>73.798119084144702</v>
      </c>
      <c r="AK1179">
        <v>0.44396857386183902</v>
      </c>
    </row>
    <row r="1180" spans="1:37" x14ac:dyDescent="0.2">
      <c r="A1180" t="str">
        <f>"20200111150608772"</f>
        <v>20200111150608772</v>
      </c>
      <c r="B1180" t="str">
        <f>"1578726368767268"</f>
        <v>1578726368767268</v>
      </c>
      <c r="C1180" t="s">
        <v>37</v>
      </c>
      <c r="D1180">
        <v>6.4314790000000004</v>
      </c>
      <c r="E1180">
        <v>0.50716740000000005</v>
      </c>
      <c r="F1180" t="s">
        <v>38</v>
      </c>
      <c r="G1180">
        <v>-200.36279999999999</v>
      </c>
      <c r="H1180">
        <v>0.87918479999999999</v>
      </c>
      <c r="I1180">
        <v>146.44999999999999</v>
      </c>
      <c r="J1180">
        <v>-199.91659999999999</v>
      </c>
      <c r="K1180">
        <v>1.1004929999999999</v>
      </c>
      <c r="L1180">
        <v>146.4914</v>
      </c>
      <c r="M1180">
        <v>-0.90879809999999905</v>
      </c>
      <c r="N1180">
        <v>0</v>
      </c>
      <c r="O1180">
        <v>-0.41710799999999998</v>
      </c>
      <c r="P1180">
        <v>-0.96492639999999996</v>
      </c>
      <c r="Q1180">
        <v>0.1074788</v>
      </c>
      <c r="R1180">
        <v>-0.2395109</v>
      </c>
      <c r="S1180">
        <v>-3.0536189999999999</v>
      </c>
      <c r="T1180">
        <v>-0.98305560000000003</v>
      </c>
      <c r="U1180">
        <v>-0.66120909999999999</v>
      </c>
      <c r="V1180">
        <v>0.18556</v>
      </c>
      <c r="W1180">
        <v>0.1164145</v>
      </c>
      <c r="X1180">
        <v>0.97571269999999999</v>
      </c>
      <c r="Y1180">
        <v>0.18773599999999999</v>
      </c>
      <c r="Z1180">
        <v>0.15420449999999999</v>
      </c>
      <c r="AA1180">
        <v>0.97003919999999999</v>
      </c>
      <c r="AB1180">
        <v>26</v>
      </c>
      <c r="AC1180">
        <v>-0.44620000000000398</v>
      </c>
      <c r="AD1180">
        <v>-0.22130819999999901</v>
      </c>
      <c r="AE1180">
        <v>-4.1400000000009998E-2</v>
      </c>
      <c r="AF1180">
        <v>0.119380334685376</v>
      </c>
      <c r="AG1180">
        <v>-0.22130819999999901</v>
      </c>
      <c r="AH1180">
        <v>0.33989575837170499</v>
      </c>
      <c r="AI1180">
        <v>121.563099379166</v>
      </c>
      <c r="AJ1180">
        <v>70.647382922989095</v>
      </c>
      <c r="AK1180">
        <v>0.42279795441310802</v>
      </c>
    </row>
    <row r="1181" spans="1:37" x14ac:dyDescent="0.2">
      <c r="A1181" t="str">
        <f>"20200111150608793"</f>
        <v>20200111150608793</v>
      </c>
      <c r="B1181" t="str">
        <f>"1578726368787764"</f>
        <v>1578726368787764</v>
      </c>
      <c r="C1181" t="s">
        <v>37</v>
      </c>
      <c r="D1181">
        <v>7.3234309999999896</v>
      </c>
      <c r="E1181">
        <v>0.50850680000000004</v>
      </c>
      <c r="F1181" t="s">
        <v>38</v>
      </c>
      <c r="G1181">
        <v>-200.58629999999999</v>
      </c>
      <c r="H1181">
        <v>0.90700439999999904</v>
      </c>
      <c r="I1181">
        <v>146.34049999999999</v>
      </c>
      <c r="J1181">
        <v>-200.15559999999999</v>
      </c>
      <c r="K1181">
        <v>1.100538</v>
      </c>
      <c r="L1181">
        <v>146.386</v>
      </c>
      <c r="M1181">
        <v>-0.91025610000000001</v>
      </c>
      <c r="N1181">
        <v>0</v>
      </c>
      <c r="O1181">
        <v>-0.4139197</v>
      </c>
      <c r="P1181">
        <v>-0.96562899999999996</v>
      </c>
      <c r="Q1181">
        <v>0.10627490000000001</v>
      </c>
      <c r="R1181">
        <v>-0.23720529999999901</v>
      </c>
      <c r="S1181">
        <v>-3.0367739999999999</v>
      </c>
      <c r="T1181">
        <v>-0.87721859999999996</v>
      </c>
      <c r="U1181">
        <v>-0.6847839</v>
      </c>
      <c r="V1181">
        <v>0.18450139999999901</v>
      </c>
      <c r="W1181">
        <v>0.1151068</v>
      </c>
      <c r="X1181">
        <v>0.97606849999999901</v>
      </c>
      <c r="Y1181">
        <v>0.18165770000000001</v>
      </c>
      <c r="Z1181">
        <v>0.1371771</v>
      </c>
      <c r="AA1181">
        <v>0.97374680000000002</v>
      </c>
      <c r="AB1181">
        <v>26</v>
      </c>
      <c r="AC1181">
        <v>-0.43070000000000103</v>
      </c>
      <c r="AD1181">
        <v>-0.1935336</v>
      </c>
      <c r="AE1181">
        <v>-4.5500000000004003E-2</v>
      </c>
      <c r="AF1181">
        <v>0.114084803612091</v>
      </c>
      <c r="AG1181">
        <v>-0.1935336</v>
      </c>
      <c r="AH1181">
        <v>0.34250862597563098</v>
      </c>
      <c r="AI1181">
        <v>118.195348865458</v>
      </c>
      <c r="AJ1181">
        <v>71.577809864928597</v>
      </c>
      <c r="AK1181">
        <v>0.409612933892332</v>
      </c>
    </row>
    <row r="1182" spans="1:37" x14ac:dyDescent="0.2">
      <c r="A1182" t="str">
        <f>"20200111150608816"</f>
        <v>20200111150608816</v>
      </c>
      <c r="B1182" t="str">
        <f>"1578726368807284"</f>
        <v>1578726368807284</v>
      </c>
      <c r="C1182" t="s">
        <v>37</v>
      </c>
      <c r="D1182">
        <v>4.7352480000000003</v>
      </c>
      <c r="E1182">
        <v>0.50360609999999995</v>
      </c>
      <c r="F1182" t="s">
        <v>39</v>
      </c>
      <c r="G1182">
        <v>-214.4419</v>
      </c>
      <c r="H1182" s="1">
        <v>-3.5713180000000001E-6</v>
      </c>
      <c r="I1182">
        <v>143.23740000000001</v>
      </c>
      <c r="J1182">
        <v>-200.40520000000001</v>
      </c>
      <c r="K1182">
        <v>1.100549</v>
      </c>
      <c r="L1182">
        <v>146.27680000000001</v>
      </c>
      <c r="M1182">
        <v>-0.91175260000000002</v>
      </c>
      <c r="N1182">
        <v>0</v>
      </c>
      <c r="O1182">
        <v>-0.41061589999999998</v>
      </c>
      <c r="P1182">
        <v>-0.96645029999999998</v>
      </c>
      <c r="Q1182">
        <v>0.1040683</v>
      </c>
      <c r="R1182">
        <v>-0.2348267</v>
      </c>
      <c r="S1182">
        <v>-2.9711150000000002</v>
      </c>
      <c r="T1182">
        <v>-0.22887950000000001</v>
      </c>
      <c r="U1182">
        <v>-0.65480039999999995</v>
      </c>
      <c r="V1182">
        <v>0.18344250000000001</v>
      </c>
      <c r="W1182">
        <v>0.11279690000000001</v>
      </c>
      <c r="X1182">
        <v>0.97653760000000001</v>
      </c>
      <c r="Y1182">
        <v>0.20312910000000001</v>
      </c>
      <c r="Z1182">
        <v>3.7873179999999999E-2</v>
      </c>
      <c r="AA1182">
        <v>0.97841919999999905</v>
      </c>
      <c r="AB1182">
        <v>27</v>
      </c>
      <c r="AC1182">
        <v>-14.0366999999999</v>
      </c>
      <c r="AD1182">
        <v>-1.100552571318</v>
      </c>
      <c r="AE1182">
        <v>-3.0394000000000001</v>
      </c>
      <c r="AF1182">
        <v>2.9751930751640598</v>
      </c>
      <c r="AG1182">
        <v>-1.100552571318</v>
      </c>
      <c r="AH1182">
        <v>13.9647364717845</v>
      </c>
      <c r="AI1182">
        <v>94.407613779166198</v>
      </c>
      <c r="AJ1182">
        <v>77.972929470830707</v>
      </c>
      <c r="AK1182">
        <v>14.320504688143</v>
      </c>
    </row>
    <row r="1183" spans="1:37" x14ac:dyDescent="0.2">
      <c r="A1183" t="str">
        <f>"20200111150608837"</f>
        <v>20200111150608837</v>
      </c>
      <c r="B1183" t="str">
        <f>"1578726368827781"</f>
        <v>1578726368827781</v>
      </c>
      <c r="C1183" t="s">
        <v>37</v>
      </c>
      <c r="D1183">
        <v>6.0055759999999996</v>
      </c>
      <c r="E1183">
        <v>0.50091470000000005</v>
      </c>
      <c r="F1183" t="s">
        <v>39</v>
      </c>
      <c r="G1183">
        <v>-222.179</v>
      </c>
      <c r="H1183" s="1">
        <v>-3.7698159999999999E-6</v>
      </c>
      <c r="I1183">
        <v>141.24100000000001</v>
      </c>
      <c r="J1183">
        <v>-200.6465</v>
      </c>
      <c r="K1183">
        <v>1.100535</v>
      </c>
      <c r="L1183">
        <v>146.17230000000001</v>
      </c>
      <c r="M1183">
        <v>-0.91318390000000005</v>
      </c>
      <c r="N1183">
        <v>0</v>
      </c>
      <c r="O1183">
        <v>-0.4074256</v>
      </c>
      <c r="P1183">
        <v>-0.96684720000000002</v>
      </c>
      <c r="Q1183">
        <v>0.10248409999999999</v>
      </c>
      <c r="R1183">
        <v>-0.23388829999999999</v>
      </c>
      <c r="S1183">
        <v>-2.954224</v>
      </c>
      <c r="T1183">
        <v>-0.14932129999999999</v>
      </c>
      <c r="U1183">
        <v>-0.68324280000000004</v>
      </c>
      <c r="V1183">
        <v>0.18103359999999999</v>
      </c>
      <c r="W1183">
        <v>0.111127</v>
      </c>
      <c r="X1183">
        <v>0.9771784</v>
      </c>
      <c r="Y1183">
        <v>0.1905046</v>
      </c>
      <c r="Z1183">
        <v>2.437168E-2</v>
      </c>
      <c r="AA1183">
        <v>0.98138369999999997</v>
      </c>
      <c r="AB1183">
        <v>27</v>
      </c>
      <c r="AC1183">
        <v>-21.532499999999999</v>
      </c>
      <c r="AD1183">
        <v>-1.1005387698160001</v>
      </c>
      <c r="AE1183">
        <v>-4.9312999999999896</v>
      </c>
      <c r="AF1183">
        <v>4.25934832867918</v>
      </c>
      <c r="AG1183">
        <v>-1.1005387698160001</v>
      </c>
      <c r="AH1183">
        <v>21.619686531409599</v>
      </c>
      <c r="AI1183">
        <v>92.8592293099356</v>
      </c>
      <c r="AJ1183">
        <v>78.854749740083605</v>
      </c>
      <c r="AK1183">
        <v>22.062730553703101</v>
      </c>
    </row>
    <row r="1184" spans="1:37" x14ac:dyDescent="0.2">
      <c r="A1184" t="str">
        <f>"20200111150608860"</f>
        <v>20200111150608860</v>
      </c>
      <c r="B1184" t="str">
        <f>"1578726368857060"</f>
        <v>1578726368857060</v>
      </c>
      <c r="C1184" t="s">
        <v>37</v>
      </c>
      <c r="D1184">
        <v>5.1577900000000003</v>
      </c>
      <c r="E1184">
        <v>0.504963099999999</v>
      </c>
      <c r="F1184" t="s">
        <v>39</v>
      </c>
      <c r="G1184">
        <v>-250.28</v>
      </c>
      <c r="H1184" s="1">
        <v>-5.0815530000000004E-6</v>
      </c>
      <c r="I1184">
        <v>134.3768</v>
      </c>
      <c r="J1184">
        <v>-200.89930000000001</v>
      </c>
      <c r="K1184">
        <v>1.100501</v>
      </c>
      <c r="L1184">
        <v>146.06389999999999</v>
      </c>
      <c r="M1184">
        <v>-0.91468470000000002</v>
      </c>
      <c r="N1184">
        <v>0</v>
      </c>
      <c r="O1184">
        <v>-0.40404770000000001</v>
      </c>
      <c r="P1184">
        <v>-0.96708839999999996</v>
      </c>
      <c r="Q1184">
        <v>0.10285229999999999</v>
      </c>
      <c r="R1184">
        <v>-0.23272559999999901</v>
      </c>
      <c r="S1184">
        <v>-2.9407199999999998</v>
      </c>
      <c r="T1184">
        <v>-6.5205689999999997E-2</v>
      </c>
      <c r="U1184">
        <v>-0.69886780000000004</v>
      </c>
      <c r="V1184">
        <v>0.17858929999999901</v>
      </c>
      <c r="W1184">
        <v>0.1114057</v>
      </c>
      <c r="X1184">
        <v>0.97759629999999997</v>
      </c>
      <c r="Y1184">
        <v>0.18149289999999901</v>
      </c>
      <c r="Z1184">
        <v>1.052111E-2</v>
      </c>
      <c r="AA1184">
        <v>0.98333599999999999</v>
      </c>
      <c r="AB1184">
        <v>27</v>
      </c>
      <c r="AC1184">
        <v>-49.380699999999898</v>
      </c>
      <c r="AD1184">
        <v>-1.1005060815529999</v>
      </c>
      <c r="AE1184">
        <v>-11.6870999999999</v>
      </c>
      <c r="AF1184">
        <v>9.2582431876880893</v>
      </c>
      <c r="AG1184">
        <v>-1.1005060815529999</v>
      </c>
      <c r="AH1184">
        <v>49.868890628292498</v>
      </c>
      <c r="AI1184">
        <v>91.242965315654601</v>
      </c>
      <c r="AJ1184">
        <v>79.482683328970694</v>
      </c>
      <c r="AK1184">
        <v>50.732952142118798</v>
      </c>
    </row>
    <row r="1185" spans="1:37" x14ac:dyDescent="0.2">
      <c r="A1185" t="str">
        <f>"20200111150608882"</f>
        <v>20200111150608882</v>
      </c>
      <c r="B1185" t="str">
        <f>"1578726368877556"</f>
        <v>1578726368877556</v>
      </c>
      <c r="C1185" t="s">
        <v>37</v>
      </c>
      <c r="D1185">
        <v>5.1343759999999996</v>
      </c>
      <c r="E1185">
        <v>0.50568069999999998</v>
      </c>
      <c r="F1185" t="s">
        <v>61</v>
      </c>
      <c r="G1185">
        <v>-331.17259999999999</v>
      </c>
      <c r="H1185">
        <v>2.4301499999999998</v>
      </c>
      <c r="I1185">
        <v>116.7041</v>
      </c>
      <c r="J1185">
        <v>-201.13720000000001</v>
      </c>
      <c r="K1185">
        <v>1.1004510000000001</v>
      </c>
      <c r="L1185">
        <v>145.96299999999999</v>
      </c>
      <c r="M1185">
        <v>-0.91611500000000001</v>
      </c>
      <c r="N1185">
        <v>0</v>
      </c>
      <c r="O1185">
        <v>-0.40079549999999903</v>
      </c>
      <c r="P1185">
        <v>-0.96703539999999999</v>
      </c>
      <c r="Q1185">
        <v>0.1059247</v>
      </c>
      <c r="R1185">
        <v>-0.2315661</v>
      </c>
      <c r="S1185">
        <v>-2.9394840000000002</v>
      </c>
      <c r="T1185">
        <v>3.000247E-2</v>
      </c>
      <c r="U1185">
        <v>-0.66247559999999905</v>
      </c>
      <c r="V1185">
        <v>0.17618879999999901</v>
      </c>
      <c r="W1185">
        <v>0.11439339999999899</v>
      </c>
      <c r="X1185">
        <v>0.97768690000000003</v>
      </c>
      <c r="Y1185">
        <v>0.1895559</v>
      </c>
      <c r="Z1185">
        <v>-4.8632620000000001E-3</v>
      </c>
      <c r="AA1185">
        <v>0.98185789999999995</v>
      </c>
      <c r="AB1185">
        <v>27</v>
      </c>
      <c r="AC1185">
        <v>-130.03539999999899</v>
      </c>
      <c r="AD1185">
        <v>1.32969899999999</v>
      </c>
      <c r="AE1185">
        <v>-29.258900000000001</v>
      </c>
      <c r="AF1185">
        <v>25.311785402236701</v>
      </c>
      <c r="AG1185">
        <v>1.32969899999999</v>
      </c>
      <c r="AH1185">
        <v>130.84749264354599</v>
      </c>
      <c r="AI1185">
        <v>89.428365208249701</v>
      </c>
      <c r="AJ1185">
        <v>79.051650515568895</v>
      </c>
      <c r="AK1185">
        <v>133.279859359103</v>
      </c>
    </row>
    <row r="1186" spans="1:37" x14ac:dyDescent="0.2">
      <c r="A1186" t="str">
        <f>"20200111150608904"</f>
        <v>20200111150608904</v>
      </c>
      <c r="B1186" t="str">
        <f>"1578726368897077"</f>
        <v>1578726368897077</v>
      </c>
      <c r="C1186" t="s">
        <v>37</v>
      </c>
      <c r="D1186">
        <v>4.7490940000000004</v>
      </c>
      <c r="E1186">
        <v>0.4936856</v>
      </c>
      <c r="F1186" t="s">
        <v>80</v>
      </c>
      <c r="G1186">
        <v>-326.90140000000002</v>
      </c>
      <c r="H1186">
        <v>5.0109680000000001</v>
      </c>
      <c r="I1186">
        <v>117.98739999999999</v>
      </c>
      <c r="J1186">
        <v>-201.38480000000001</v>
      </c>
      <c r="K1186">
        <v>1.1003689999999999</v>
      </c>
      <c r="L1186">
        <v>145.85910000000001</v>
      </c>
      <c r="M1186">
        <v>-0.91763939999999999</v>
      </c>
      <c r="N1186">
        <v>0</v>
      </c>
      <c r="O1186">
        <v>-0.39729490000000001</v>
      </c>
      <c r="P1186">
        <v>-0.96673539999999902</v>
      </c>
      <c r="Q1186">
        <v>0.1104131</v>
      </c>
      <c r="R1186">
        <v>-0.23071939999999999</v>
      </c>
      <c r="S1186">
        <v>-2.9358979999999999</v>
      </c>
      <c r="T1186">
        <v>9.1288919999999996E-2</v>
      </c>
      <c r="U1186">
        <v>-0.6530762</v>
      </c>
      <c r="V1186">
        <v>0.1731645</v>
      </c>
      <c r="W1186">
        <v>0.11879769999999901</v>
      </c>
      <c r="X1186">
        <v>0.97770199999999996</v>
      </c>
      <c r="Y1186">
        <v>0.18831439999999999</v>
      </c>
      <c r="Z1186">
        <v>-1.470191E-2</v>
      </c>
      <c r="AA1186">
        <v>0.981998699999999</v>
      </c>
      <c r="AB1186">
        <v>27</v>
      </c>
      <c r="AC1186">
        <v>-125.5166</v>
      </c>
      <c r="AD1186">
        <v>3.9105989999999999</v>
      </c>
      <c r="AE1186">
        <v>-27.871700000000001</v>
      </c>
      <c r="AF1186">
        <v>24.269633728304601</v>
      </c>
      <c r="AG1186">
        <v>3.9105989999999999</v>
      </c>
      <c r="AH1186">
        <v>126.141548409252</v>
      </c>
      <c r="AI1186">
        <v>88.256264741968096</v>
      </c>
      <c r="AJ1186">
        <v>79.109372890515502</v>
      </c>
      <c r="AK1186">
        <v>128.51458337841899</v>
      </c>
    </row>
    <row r="1187" spans="1:37" x14ac:dyDescent="0.2">
      <c r="A1187" t="str">
        <f>"20200111150608927"</f>
        <v>20200111150608927</v>
      </c>
      <c r="B1187" t="str">
        <f>"1578726368917572"</f>
        <v>1578726368917572</v>
      </c>
      <c r="C1187" t="s">
        <v>37</v>
      </c>
      <c r="D1187">
        <v>5.1495259999999998</v>
      </c>
      <c r="E1187">
        <v>0.49579600000000001</v>
      </c>
      <c r="F1187" t="s">
        <v>61</v>
      </c>
      <c r="G1187">
        <v>-327.44450000000001</v>
      </c>
      <c r="H1187">
        <v>33.18394</v>
      </c>
      <c r="I1187">
        <v>113.1943</v>
      </c>
      <c r="J1187">
        <v>-201.63810000000001</v>
      </c>
      <c r="K1187">
        <v>1.100252</v>
      </c>
      <c r="L1187">
        <v>145.7542</v>
      </c>
      <c r="M1187">
        <v>-0.91924570000000005</v>
      </c>
      <c r="N1187">
        <v>0</v>
      </c>
      <c r="O1187">
        <v>-0.3935651</v>
      </c>
      <c r="P1187">
        <v>-0.96661569999999997</v>
      </c>
      <c r="Q1187">
        <v>0.113849399999999</v>
      </c>
      <c r="R1187">
        <v>-0.229548999999999</v>
      </c>
      <c r="S1187">
        <v>-2.8446349999999998</v>
      </c>
      <c r="T1187">
        <v>0.72399069999999899</v>
      </c>
      <c r="U1187">
        <v>-0.73710629999999999</v>
      </c>
      <c r="V1187">
        <v>0.17027679999999901</v>
      </c>
      <c r="W1187">
        <v>0.1221496</v>
      </c>
      <c r="X1187">
        <v>0.97779609999999995</v>
      </c>
      <c r="Y1187">
        <v>0.13547690000000001</v>
      </c>
      <c r="Z1187">
        <v>-0.110539899999999</v>
      </c>
      <c r="AA1187">
        <v>0.98459479999999999</v>
      </c>
      <c r="AB1187">
        <v>27</v>
      </c>
      <c r="AC1187">
        <v>-125.8064</v>
      </c>
      <c r="AD1187">
        <v>32.083688000000002</v>
      </c>
      <c r="AE1187">
        <v>-32.559899999999999</v>
      </c>
      <c r="AF1187">
        <v>18.4582648566928</v>
      </c>
      <c r="AG1187">
        <v>32.083688000000002</v>
      </c>
      <c r="AH1187">
        <v>121.086681943041</v>
      </c>
      <c r="AI1187">
        <v>75.321786585932301</v>
      </c>
      <c r="AJ1187">
        <v>81.332645562850004</v>
      </c>
      <c r="AK1187">
        <v>126.61775199858999</v>
      </c>
    </row>
    <row r="1188" spans="1:37" x14ac:dyDescent="0.2">
      <c r="A1188" t="str">
        <f>"20200111150608949"</f>
        <v>20200111150608949</v>
      </c>
      <c r="B1188" t="str">
        <f>"1578726368947828"</f>
        <v>1578726368947828</v>
      </c>
      <c r="C1188" t="s">
        <v>37</v>
      </c>
      <c r="D1188">
        <v>5.2168700000000001</v>
      </c>
      <c r="E1188">
        <v>0.5135807</v>
      </c>
      <c r="F1188" t="s">
        <v>61</v>
      </c>
      <c r="G1188">
        <v>-328.18439999999998</v>
      </c>
      <c r="H1188">
        <v>31.3249</v>
      </c>
      <c r="I1188">
        <v>113.89230000000001</v>
      </c>
      <c r="J1188">
        <v>-201.89359999999999</v>
      </c>
      <c r="K1188">
        <v>1.1001030000000001</v>
      </c>
      <c r="L1188">
        <v>145.6497</v>
      </c>
      <c r="M1188">
        <v>-0.9209214</v>
      </c>
      <c r="N1188">
        <v>0</v>
      </c>
      <c r="O1188">
        <v>-0.38962909999999901</v>
      </c>
      <c r="P1188">
        <v>-0.96684369999999997</v>
      </c>
      <c r="Q1188">
        <v>0.1147966</v>
      </c>
      <c r="R1188">
        <v>-0.2281125</v>
      </c>
      <c r="S1188">
        <v>-2.8527979999999999</v>
      </c>
      <c r="T1188">
        <v>0.68136989999999997</v>
      </c>
      <c r="U1188">
        <v>-0.71827700000000005</v>
      </c>
      <c r="V1188">
        <v>0.16754949999999999</v>
      </c>
      <c r="W1188">
        <v>0.12301279999999901</v>
      </c>
      <c r="X1188">
        <v>0.978159</v>
      </c>
      <c r="Y1188">
        <v>0.139738</v>
      </c>
      <c r="Z1188">
        <v>-0.1037008</v>
      </c>
      <c r="AA1188">
        <v>0.98474340000000005</v>
      </c>
      <c r="AB1188">
        <v>27</v>
      </c>
      <c r="AC1188">
        <v>-126.2908</v>
      </c>
      <c r="AD1188">
        <v>30.224796999999999</v>
      </c>
      <c r="AE1188">
        <v>-31.757399999999901</v>
      </c>
      <c r="AF1188">
        <v>18.941056135884001</v>
      </c>
      <c r="AG1188">
        <v>30.224796999999999</v>
      </c>
      <c r="AH1188">
        <v>122.10554412232599</v>
      </c>
      <c r="AI1188">
        <v>76.255067243763193</v>
      </c>
      <c r="AJ1188">
        <v>81.182532729374003</v>
      </c>
      <c r="AK1188">
        <v>127.208749174902</v>
      </c>
    </row>
    <row r="1189" spans="1:37" x14ac:dyDescent="0.2">
      <c r="A1189" t="str">
        <f>"20200111150608974"</f>
        <v>20200111150608974</v>
      </c>
      <c r="B1189" t="str">
        <f>"1578726368967351"</f>
        <v>1578726368967351</v>
      </c>
      <c r="C1189" t="s">
        <v>37</v>
      </c>
      <c r="D1189">
        <v>5.2434050000000001</v>
      </c>
      <c r="E1189">
        <v>0.50597490000000001</v>
      </c>
      <c r="F1189" t="s">
        <v>39</v>
      </c>
      <c r="G1189">
        <v>-216.94220000000001</v>
      </c>
      <c r="H1189" s="1">
        <v>-2.25182099999999E-6</v>
      </c>
      <c r="I1189">
        <v>142.72030000000001</v>
      </c>
      <c r="J1189">
        <v>-202.16059999999999</v>
      </c>
      <c r="K1189">
        <v>1.0999239999999999</v>
      </c>
      <c r="L1189">
        <v>145.54220000000001</v>
      </c>
      <c r="M1189">
        <v>-0.92273830000000001</v>
      </c>
      <c r="N1189">
        <v>0</v>
      </c>
      <c r="O1189">
        <v>-0.38530789999999998</v>
      </c>
      <c r="P1189">
        <v>-0.967526</v>
      </c>
      <c r="Q1189">
        <v>0.1142219</v>
      </c>
      <c r="R1189">
        <v>-0.22549279999999999</v>
      </c>
      <c r="S1189">
        <v>-2.9914399999999999</v>
      </c>
      <c r="T1189">
        <v>-0.21868499999999999</v>
      </c>
      <c r="U1189">
        <v>-0.58233639999999998</v>
      </c>
      <c r="V1189">
        <v>0.165682</v>
      </c>
      <c r="W1189">
        <v>0.1223451</v>
      </c>
      <c r="X1189">
        <v>0.97856069999999995</v>
      </c>
      <c r="Y1189">
        <v>0.200461</v>
      </c>
      <c r="Z1189">
        <v>3.4306699999999898E-2</v>
      </c>
      <c r="AA1189">
        <v>0.97910079999999999</v>
      </c>
      <c r="AB1189">
        <v>27</v>
      </c>
      <c r="AC1189">
        <v>-14.781599999999999</v>
      </c>
      <c r="AD1189">
        <v>-1.099926251821</v>
      </c>
      <c r="AE1189">
        <v>-2.8218999999999901</v>
      </c>
      <c r="AF1189">
        <v>3.0753044767154099</v>
      </c>
      <c r="AG1189">
        <v>-1.099926251821</v>
      </c>
      <c r="AH1189">
        <v>14.649262718637001</v>
      </c>
      <c r="AI1189">
        <v>94.202674275925503</v>
      </c>
      <c r="AJ1189">
        <v>78.1441193482502</v>
      </c>
      <c r="AK1189">
        <v>15.008938456253301</v>
      </c>
    </row>
    <row r="1190" spans="1:37" x14ac:dyDescent="0.2">
      <c r="A1190" t="str">
        <f>"20200111150608996"</f>
        <v>20200111150608996</v>
      </c>
      <c r="B1190" t="str">
        <f>"1578726368987845"</f>
        <v>1578726368987845</v>
      </c>
      <c r="C1190" t="s">
        <v>37</v>
      </c>
      <c r="D1190">
        <v>5.2663880000000001</v>
      </c>
      <c r="E1190">
        <v>0.5039361</v>
      </c>
      <c r="F1190" t="s">
        <v>39</v>
      </c>
      <c r="G1190">
        <v>-217.01660000000001</v>
      </c>
      <c r="H1190" s="1">
        <v>-2.1292840000000001E-6</v>
      </c>
      <c r="I1190">
        <v>142.39189999999999</v>
      </c>
      <c r="J1190">
        <v>-202.4135</v>
      </c>
      <c r="K1190">
        <v>1.099756</v>
      </c>
      <c r="L1190">
        <v>145.44200000000001</v>
      </c>
      <c r="M1190">
        <v>-0.92451839999999996</v>
      </c>
      <c r="N1190">
        <v>0</v>
      </c>
      <c r="O1190">
        <v>-0.38101750000000001</v>
      </c>
      <c r="P1190">
        <v>-0.96852549999999904</v>
      </c>
      <c r="Q1190">
        <v>0.11344559999999999</v>
      </c>
      <c r="R1190">
        <v>-0.22155999999999901</v>
      </c>
      <c r="S1190">
        <v>-2.979492</v>
      </c>
      <c r="T1190">
        <v>-0.22059999999999999</v>
      </c>
      <c r="U1190">
        <v>-0.63180539999999996</v>
      </c>
      <c r="V1190">
        <v>0.1651861</v>
      </c>
      <c r="W1190">
        <v>0.12147709999999901</v>
      </c>
      <c r="X1190">
        <v>0.97875270000000003</v>
      </c>
      <c r="Y1190">
        <v>0.17955599999999999</v>
      </c>
      <c r="Z1190">
        <v>3.3611170000000003E-2</v>
      </c>
      <c r="AA1190">
        <v>0.98317339999999998</v>
      </c>
      <c r="AB1190">
        <v>27</v>
      </c>
      <c r="AC1190">
        <v>-14.6031</v>
      </c>
      <c r="AD1190">
        <v>-1.099758129284</v>
      </c>
      <c r="AE1190">
        <v>-3.0501000000000098</v>
      </c>
      <c r="AF1190">
        <v>2.7294552623842598</v>
      </c>
      <c r="AG1190">
        <v>-1.099758129284</v>
      </c>
      <c r="AH1190">
        <v>14.5843873492187</v>
      </c>
      <c r="AI1190">
        <v>94.238994320553203</v>
      </c>
      <c r="AJ1190">
        <v>79.399767109103706</v>
      </c>
      <c r="AK1190">
        <v>14.878297897418699</v>
      </c>
    </row>
    <row r="1191" spans="1:37" x14ac:dyDescent="0.2">
      <c r="A1191" t="str">
        <f>"20200111150609018"</f>
        <v>20200111150609018</v>
      </c>
      <c r="B1191" t="str">
        <f>"1578726369007365"</f>
        <v>1578726369007365</v>
      </c>
      <c r="C1191" t="s">
        <v>37</v>
      </c>
      <c r="D1191">
        <v>5.1735730000000002</v>
      </c>
      <c r="E1191">
        <v>0.5023012</v>
      </c>
      <c r="F1191" t="s">
        <v>38</v>
      </c>
      <c r="G1191">
        <v>-203.32079999999999</v>
      </c>
      <c r="H1191">
        <v>1.020637</v>
      </c>
      <c r="I1191">
        <v>145.24850000000001</v>
      </c>
      <c r="J1191">
        <v>-202.6566</v>
      </c>
      <c r="K1191">
        <v>1.099607</v>
      </c>
      <c r="L1191">
        <v>145.34710000000001</v>
      </c>
      <c r="M1191">
        <v>-0.92626559999999902</v>
      </c>
      <c r="N1191">
        <v>0</v>
      </c>
      <c r="O1191">
        <v>-0.37675120000000001</v>
      </c>
      <c r="P1191">
        <v>-0.96963500000000002</v>
      </c>
      <c r="Q1191">
        <v>0.1125625</v>
      </c>
      <c r="R1191">
        <v>-0.217113099999999</v>
      </c>
      <c r="S1191">
        <v>-2.982437</v>
      </c>
      <c r="T1191">
        <v>-0.26000029999999902</v>
      </c>
      <c r="U1191">
        <v>-0.63619999999999999</v>
      </c>
      <c r="V1191">
        <v>0.165235299999999</v>
      </c>
      <c r="W1191">
        <v>0.12051340000000001</v>
      </c>
      <c r="X1191">
        <v>0.9788635</v>
      </c>
      <c r="Y1191">
        <v>0.17332520000000001</v>
      </c>
      <c r="Z1191">
        <v>3.8942270000000001E-2</v>
      </c>
      <c r="AA1191">
        <v>0.98409439999999904</v>
      </c>
      <c r="AB1191">
        <v>27</v>
      </c>
      <c r="AC1191">
        <v>-0.66419999999999302</v>
      </c>
      <c r="AD1191">
        <v>-7.8969999999999901E-2</v>
      </c>
      <c r="AE1191">
        <v>-9.8600000000004601E-2</v>
      </c>
      <c r="AF1191">
        <v>0.15674754907775101</v>
      </c>
      <c r="AG1191">
        <v>-7.8969999999999901E-2</v>
      </c>
      <c r="AH1191">
        <v>0.64350241497338601</v>
      </c>
      <c r="AI1191">
        <v>96.799433491594201</v>
      </c>
      <c r="AJ1191">
        <v>76.310205826909197</v>
      </c>
      <c r="AK1191">
        <v>0.66700930512134704</v>
      </c>
    </row>
    <row r="1192" spans="1:37" x14ac:dyDescent="0.2">
      <c r="A1192" t="str">
        <f>"20200111150609040"</f>
        <v>20200111150609040</v>
      </c>
      <c r="B1192" t="str">
        <f>"1578726369037620"</f>
        <v>1578726369037620</v>
      </c>
      <c r="C1192" t="s">
        <v>37</v>
      </c>
      <c r="D1192">
        <v>5.2199229999999996</v>
      </c>
      <c r="E1192">
        <v>0.5037779</v>
      </c>
      <c r="F1192" t="s">
        <v>38</v>
      </c>
      <c r="G1192">
        <v>-203.54470000000001</v>
      </c>
      <c r="H1192">
        <v>1.0171520000000001</v>
      </c>
      <c r="I1192">
        <v>145.15799999999999</v>
      </c>
      <c r="J1192">
        <v>-202.91390000000001</v>
      </c>
      <c r="K1192">
        <v>1.099461</v>
      </c>
      <c r="L1192">
        <v>145.2482</v>
      </c>
      <c r="M1192">
        <v>-0.92814509999999995</v>
      </c>
      <c r="N1192">
        <v>0</v>
      </c>
      <c r="O1192">
        <v>-0.37209699999999901</v>
      </c>
      <c r="P1192">
        <v>-0.97088280000000005</v>
      </c>
      <c r="Q1192">
        <v>0.1108885</v>
      </c>
      <c r="R1192">
        <v>-0.21234420000000001</v>
      </c>
      <c r="S1192">
        <v>-2.9838100000000001</v>
      </c>
      <c r="T1192">
        <v>-0.27704499999999999</v>
      </c>
      <c r="U1192">
        <v>-0.63549800000000001</v>
      </c>
      <c r="V1192">
        <v>0.16522590000000001</v>
      </c>
      <c r="W1192">
        <v>0.118766899999999</v>
      </c>
      <c r="X1192">
        <v>0.97907849999999996</v>
      </c>
      <c r="Y1192">
        <v>0.16847519999999999</v>
      </c>
      <c r="Z1192">
        <v>4.0852649999999997E-2</v>
      </c>
      <c r="AA1192">
        <v>0.98485889999999998</v>
      </c>
      <c r="AB1192">
        <v>27</v>
      </c>
      <c r="AC1192">
        <v>-0.63079999999999303</v>
      </c>
      <c r="AD1192">
        <v>-8.2308999999999896E-2</v>
      </c>
      <c r="AE1192">
        <v>-9.0200000000009994E-2</v>
      </c>
      <c r="AF1192">
        <v>0.14852876084526301</v>
      </c>
      <c r="AG1192">
        <v>-8.2308999999999896E-2</v>
      </c>
      <c r="AH1192">
        <v>0.60890562615291799</v>
      </c>
      <c r="AI1192">
        <v>97.4815432864619</v>
      </c>
      <c r="AJ1192">
        <v>76.291689624477797</v>
      </c>
      <c r="AK1192">
        <v>0.63214051115231196</v>
      </c>
    </row>
    <row r="1193" spans="1:37" x14ac:dyDescent="0.2">
      <c r="A1193" t="str">
        <f>"20200111150609062"</f>
        <v>20200111150609062</v>
      </c>
      <c r="B1193" t="str">
        <f>"1578726369057141"</f>
        <v>1578726369057141</v>
      </c>
      <c r="C1193" t="s">
        <v>37</v>
      </c>
      <c r="D1193">
        <v>5.2874339999999904</v>
      </c>
      <c r="E1193">
        <v>0.57814889999999997</v>
      </c>
      <c r="F1193" t="s">
        <v>38</v>
      </c>
      <c r="G1193">
        <v>-203.77780000000001</v>
      </c>
      <c r="H1193">
        <v>1.0249010000000001</v>
      </c>
      <c r="I1193">
        <v>145.072</v>
      </c>
      <c r="J1193">
        <v>-203.1694</v>
      </c>
      <c r="K1193">
        <v>1.0993269999999999</v>
      </c>
      <c r="L1193">
        <v>145.1516</v>
      </c>
      <c r="M1193">
        <v>-0.93003329999999995</v>
      </c>
      <c r="N1193">
        <v>0</v>
      </c>
      <c r="O1193">
        <v>-0.36735309999999999</v>
      </c>
      <c r="P1193">
        <v>-0.97230260000000002</v>
      </c>
      <c r="Q1193">
        <v>0.1084116</v>
      </c>
      <c r="R1193">
        <v>-0.20706189999999999</v>
      </c>
      <c r="S1193">
        <v>-2.986084</v>
      </c>
      <c r="T1193">
        <v>-0.2576425</v>
      </c>
      <c r="U1193">
        <v>-0.60943599999999998</v>
      </c>
      <c r="V1193">
        <v>0.16566139999999999</v>
      </c>
      <c r="W1193">
        <v>0.11622449999999999</v>
      </c>
      <c r="X1193">
        <v>0.97931000000000001</v>
      </c>
      <c r="Y1193">
        <v>0.17212049999999901</v>
      </c>
      <c r="Z1193">
        <v>3.7801250000000002E-2</v>
      </c>
      <c r="AA1193">
        <v>0.98435030000000001</v>
      </c>
      <c r="AB1193">
        <v>27</v>
      </c>
      <c r="AC1193">
        <v>-0.60840000000001704</v>
      </c>
      <c r="AD1193">
        <v>-7.4425999999999798E-2</v>
      </c>
      <c r="AE1193">
        <v>-7.9599999999999199E-2</v>
      </c>
      <c r="AF1193">
        <v>0.147306372967313</v>
      </c>
      <c r="AG1193">
        <v>-7.4425999999999798E-2</v>
      </c>
      <c r="AH1193">
        <v>0.58647155009165597</v>
      </c>
      <c r="AI1193">
        <v>97.016764379510306</v>
      </c>
      <c r="AJ1193">
        <v>75.900468530017207</v>
      </c>
      <c r="AK1193">
        <v>0.60925140628454499</v>
      </c>
    </row>
    <row r="1194" spans="1:37" x14ac:dyDescent="0.2">
      <c r="A1194" t="str">
        <f>"20200111150609084"</f>
        <v>20200111150609084</v>
      </c>
      <c r="B1194" t="str">
        <f>"1578726369077259"</f>
        <v>1578726369077259</v>
      </c>
      <c r="C1194" t="s">
        <v>37</v>
      </c>
      <c r="D1194">
        <v>5.194788</v>
      </c>
      <c r="E1194">
        <v>0.56879190000000002</v>
      </c>
      <c r="F1194" t="s">
        <v>39</v>
      </c>
      <c r="G1194">
        <v>-217.35429999999999</v>
      </c>
      <c r="H1194" s="1">
        <v>-2.687648E-6</v>
      </c>
      <c r="I1194">
        <v>145.09049999999999</v>
      </c>
      <c r="J1194">
        <v>-203.42150000000001</v>
      </c>
      <c r="K1194">
        <v>1.099216</v>
      </c>
      <c r="L1194">
        <v>145.05789999999999</v>
      </c>
      <c r="M1194">
        <v>-0.93190680000000004</v>
      </c>
      <c r="N1194">
        <v>0</v>
      </c>
      <c r="O1194">
        <v>-0.36257420000000001</v>
      </c>
      <c r="P1194">
        <v>-0.97369089999999903</v>
      </c>
      <c r="Q1194">
        <v>0.1070817</v>
      </c>
      <c r="R1194">
        <v>-0.20114679999999999</v>
      </c>
      <c r="S1194">
        <v>-3.109467</v>
      </c>
      <c r="T1194">
        <v>-0.240983799999999</v>
      </c>
      <c r="U1194">
        <v>-1.339722E-2</v>
      </c>
      <c r="V1194">
        <v>0.16665629999999901</v>
      </c>
      <c r="W1194">
        <v>0.11483160000000001</v>
      </c>
      <c r="X1194">
        <v>0.9793056</v>
      </c>
      <c r="Y1194">
        <v>0.35645500000000002</v>
      </c>
      <c r="Z1194">
        <v>4.1350150000000002E-2</v>
      </c>
      <c r="AA1194">
        <v>0.93339709999999998</v>
      </c>
      <c r="AB1194">
        <v>27</v>
      </c>
      <c r="AC1194">
        <v>-13.932799999999901</v>
      </c>
      <c r="AD1194">
        <v>-1.0992186876479999</v>
      </c>
      <c r="AE1194">
        <v>3.26000000000021E-2</v>
      </c>
      <c r="AF1194">
        <v>5.0508439735015997</v>
      </c>
      <c r="AG1194">
        <v>-1.0992186876479999</v>
      </c>
      <c r="AH1194">
        <v>12.892585720393701</v>
      </c>
      <c r="AI1194">
        <v>94.538915619776603</v>
      </c>
      <c r="AJ1194">
        <v>68.606569143937705</v>
      </c>
      <c r="AK1194">
        <v>13.890215013657301</v>
      </c>
    </row>
    <row r="1195" spans="1:37" x14ac:dyDescent="0.2">
      <c r="A1195" t="str">
        <f>"20200111150609106"</f>
        <v>20200111150609106</v>
      </c>
      <c r="B1195" t="str">
        <f>"1578726369097754"</f>
        <v>1578726369097754</v>
      </c>
      <c r="C1195" t="s">
        <v>37</v>
      </c>
      <c r="D1195">
        <v>5.1932510000000001</v>
      </c>
      <c r="E1195">
        <v>0.5666736</v>
      </c>
      <c r="F1195" t="s">
        <v>39</v>
      </c>
      <c r="G1195">
        <v>-216.43029999999999</v>
      </c>
      <c r="H1195" s="1">
        <v>-3.039667E-6</v>
      </c>
      <c r="I1195">
        <v>144.77199999999999</v>
      </c>
      <c r="J1195">
        <v>-203.67619999999999</v>
      </c>
      <c r="K1195">
        <v>1.0991229999999901</v>
      </c>
      <c r="L1195">
        <v>144.9648</v>
      </c>
      <c r="M1195">
        <v>-0.93379979999999996</v>
      </c>
      <c r="N1195">
        <v>0</v>
      </c>
      <c r="O1195">
        <v>-0.35767100000000002</v>
      </c>
      <c r="P1195">
        <v>-0.9748618</v>
      </c>
      <c r="Q1195">
        <v>0.106617499999999</v>
      </c>
      <c r="R1195">
        <v>-0.1956454</v>
      </c>
      <c r="S1195">
        <v>-3.0957789999999998</v>
      </c>
      <c r="T1195">
        <v>-0.2615864</v>
      </c>
      <c r="U1195">
        <v>-6.8038940000000006E-2</v>
      </c>
      <c r="V1195">
        <v>0.16707520000000001</v>
      </c>
      <c r="W1195">
        <v>0.1143166</v>
      </c>
      <c r="X1195">
        <v>0.97929439999999901</v>
      </c>
      <c r="Y1195">
        <v>0.33466409999999902</v>
      </c>
      <c r="Z1195">
        <v>4.3732340000000001E-2</v>
      </c>
      <c r="AA1195">
        <v>0.94132209999999905</v>
      </c>
      <c r="AB1195">
        <v>27</v>
      </c>
      <c r="AC1195">
        <v>-12.7540999999999</v>
      </c>
      <c r="AD1195">
        <v>-1.099126039667</v>
      </c>
      <c r="AE1195">
        <v>-0.19279999999997699</v>
      </c>
      <c r="AF1195">
        <v>4.3496349380647699</v>
      </c>
      <c r="AG1195">
        <v>-1.099126039667</v>
      </c>
      <c r="AH1195">
        <v>11.8909799602161</v>
      </c>
      <c r="AI1195">
        <v>94.9613065730302</v>
      </c>
      <c r="AJ1195">
        <v>69.907843823272401</v>
      </c>
      <c r="AK1195">
        <v>12.709162307554699</v>
      </c>
    </row>
    <row r="1196" spans="1:37" x14ac:dyDescent="0.2">
      <c r="A1196" t="str">
        <f>"20200111150609129"</f>
        <v>20200111150609129</v>
      </c>
      <c r="B1196" t="str">
        <f>"1578726369127035"</f>
        <v>1578726369127035</v>
      </c>
      <c r="C1196" t="s">
        <v>37</v>
      </c>
      <c r="D1196">
        <v>5.2448040000000002</v>
      </c>
      <c r="E1196">
        <v>0.56514449999999905</v>
      </c>
      <c r="F1196" t="s">
        <v>39</v>
      </c>
      <c r="G1196">
        <v>-216.35599999999999</v>
      </c>
      <c r="H1196" s="1">
        <v>-3.0529800000000001E-6</v>
      </c>
      <c r="I1196">
        <v>144.68979999999999</v>
      </c>
      <c r="J1196">
        <v>-203.94669999999999</v>
      </c>
      <c r="K1196">
        <v>1.099046</v>
      </c>
      <c r="L1196">
        <v>144.86750000000001</v>
      </c>
      <c r="M1196">
        <v>-0.93580110000000005</v>
      </c>
      <c r="N1196">
        <v>0</v>
      </c>
      <c r="O1196">
        <v>-0.3524022</v>
      </c>
      <c r="P1196">
        <v>-0.97586039999999996</v>
      </c>
      <c r="Q1196">
        <v>0.10655439999999999</v>
      </c>
      <c r="R1196">
        <v>-0.19063840000000001</v>
      </c>
      <c r="S1196">
        <v>-3.0932009999999899</v>
      </c>
      <c r="T1196">
        <v>-0.26812909999999901</v>
      </c>
      <c r="U1196">
        <v>-6.7062380000000005E-2</v>
      </c>
      <c r="V1196">
        <v>0.16660459999999999</v>
      </c>
      <c r="W1196">
        <v>0.1142172</v>
      </c>
      <c r="X1196">
        <v>0.97938619999999899</v>
      </c>
      <c r="Y1196">
        <v>0.32954290000000003</v>
      </c>
      <c r="Z1196">
        <v>4.4207499999999997E-2</v>
      </c>
      <c r="AA1196">
        <v>0.94310509999999903</v>
      </c>
      <c r="AB1196">
        <v>27</v>
      </c>
      <c r="AC1196">
        <v>-12.4093</v>
      </c>
      <c r="AD1196">
        <v>-1.0990490529799899</v>
      </c>
      <c r="AE1196">
        <v>-0.17770000000001501</v>
      </c>
      <c r="AF1196">
        <v>4.17422390898155</v>
      </c>
      <c r="AG1196">
        <v>-1.0990490529799899</v>
      </c>
      <c r="AH1196">
        <v>11.5849240581149</v>
      </c>
      <c r="AI1196">
        <v>95.100248246057305</v>
      </c>
      <c r="AJ1196">
        <v>70.1851390199961</v>
      </c>
      <c r="AK1196">
        <v>12.362949465862</v>
      </c>
    </row>
    <row r="1197" spans="1:37" x14ac:dyDescent="0.2">
      <c r="A1197" t="str">
        <f>"20200111150609152"</f>
        <v>20200111150609152</v>
      </c>
      <c r="B1197" t="str">
        <f>"1578726369147531"</f>
        <v>1578726369147531</v>
      </c>
      <c r="C1197" t="s">
        <v>37</v>
      </c>
      <c r="D1197">
        <v>5.2538070000000001</v>
      </c>
      <c r="E1197">
        <v>0.56410079999999996</v>
      </c>
      <c r="F1197" t="s">
        <v>39</v>
      </c>
      <c r="G1197">
        <v>-216.35810000000001</v>
      </c>
      <c r="H1197" s="1">
        <v>-3.0317410000000002E-6</v>
      </c>
      <c r="I1197">
        <v>144.6138</v>
      </c>
      <c r="J1197">
        <v>-204.20670000000001</v>
      </c>
      <c r="K1197">
        <v>1.0989850000000001</v>
      </c>
      <c r="L1197">
        <v>144.7757</v>
      </c>
      <c r="M1197">
        <v>-0.9377103</v>
      </c>
      <c r="N1197">
        <v>0</v>
      </c>
      <c r="O1197">
        <v>-0.3472905</v>
      </c>
      <c r="P1197">
        <v>-0.9766994</v>
      </c>
      <c r="Q1197">
        <v>0.10652629999999901</v>
      </c>
      <c r="R1197">
        <v>-0.18630820000000001</v>
      </c>
      <c r="S1197">
        <v>-3.0917819999999998</v>
      </c>
      <c r="T1197">
        <v>-0.27378259999999899</v>
      </c>
      <c r="U1197">
        <v>-6.3201900000000005E-2</v>
      </c>
      <c r="V1197">
        <v>0.1656202</v>
      </c>
      <c r="W1197">
        <v>0.114167</v>
      </c>
      <c r="X1197">
        <v>0.97955899999999996</v>
      </c>
      <c r="Y1197">
        <v>0.32548480000000002</v>
      </c>
      <c r="Z1197">
        <v>4.4551790000000001E-2</v>
      </c>
      <c r="AA1197">
        <v>0.94449709999999998</v>
      </c>
      <c r="AB1197">
        <v>27</v>
      </c>
      <c r="AC1197">
        <v>-12.151399999999899</v>
      </c>
      <c r="AD1197">
        <v>-1.0989880317409999</v>
      </c>
      <c r="AE1197">
        <v>-0.16190000000000199</v>
      </c>
      <c r="AF1197">
        <v>4.0354285013025697</v>
      </c>
      <c r="AG1197">
        <v>-1.0989880317409999</v>
      </c>
      <c r="AH1197">
        <v>11.3583367318108</v>
      </c>
      <c r="AI1197">
        <v>95.2094153034041</v>
      </c>
      <c r="AJ1197">
        <v>70.440718617219801</v>
      </c>
      <c r="AK1197">
        <v>12.103894877114501</v>
      </c>
    </row>
    <row r="1198" spans="1:37" x14ac:dyDescent="0.2">
      <c r="A1198" t="str">
        <f>"20200111150609197"</f>
        <v>20200111150609197</v>
      </c>
      <c r="B1198" t="str">
        <f>"1578726369187547"</f>
        <v>1578726369187547</v>
      </c>
      <c r="C1198" t="s">
        <v>37</v>
      </c>
      <c r="D1198">
        <v>5.2809059999999999</v>
      </c>
      <c r="E1198">
        <v>0.56299589999999999</v>
      </c>
      <c r="F1198" t="s">
        <v>39</v>
      </c>
      <c r="G1198">
        <v>-216.40190000000001</v>
      </c>
      <c r="H1198" s="1">
        <v>-2.993667E-6</v>
      </c>
      <c r="I1198">
        <v>144.54859999999999</v>
      </c>
      <c r="J1198">
        <v>-204.726</v>
      </c>
      <c r="K1198">
        <v>1.0988899999999999</v>
      </c>
      <c r="L1198">
        <v>144.5975</v>
      </c>
      <c r="M1198">
        <v>-0.94147309999999995</v>
      </c>
      <c r="N1198">
        <v>0</v>
      </c>
      <c r="O1198">
        <v>-0.33695629999999999</v>
      </c>
      <c r="P1198">
        <v>-0.97796679999999903</v>
      </c>
      <c r="Q1198">
        <v>0.1074305</v>
      </c>
      <c r="R1198">
        <v>-0.1789955</v>
      </c>
      <c r="S1198">
        <v>-3.090973</v>
      </c>
      <c r="T1198">
        <v>-0.2785474</v>
      </c>
      <c r="U1198">
        <v>-5.755615E-2</v>
      </c>
      <c r="V1198">
        <v>0.1621746</v>
      </c>
      <c r="W1198">
        <v>0.11505839999999901</v>
      </c>
      <c r="X1198">
        <v>0.98003109999999904</v>
      </c>
      <c r="Y1198">
        <v>0.31678129999999999</v>
      </c>
      <c r="Z1198">
        <v>4.4065180000000002E-2</v>
      </c>
      <c r="AA1198">
        <v>0.9474745</v>
      </c>
      <c r="AB1198">
        <v>27</v>
      </c>
      <c r="AC1198">
        <v>-11.6759</v>
      </c>
      <c r="AD1198">
        <v>-1.098892993667</v>
      </c>
      <c r="AE1198">
        <v>-4.8900000000003198E-2</v>
      </c>
      <c r="AF1198">
        <v>3.85426276178833</v>
      </c>
      <c r="AG1198">
        <v>-1.098892993667</v>
      </c>
      <c r="AH1198">
        <v>10.912848986846299</v>
      </c>
      <c r="AI1198">
        <v>95.423925969519701</v>
      </c>
      <c r="AJ1198">
        <v>70.5475052739761</v>
      </c>
      <c r="AK1198">
        <v>11.625539998561401</v>
      </c>
    </row>
    <row r="1199" spans="1:37" x14ac:dyDescent="0.2">
      <c r="A1199" t="str">
        <f>"20200111150609218"</f>
        <v>20200111150609218</v>
      </c>
      <c r="B1199" t="str">
        <f>"1578726369207066"</f>
        <v>1578726369207066</v>
      </c>
      <c r="C1199" t="s">
        <v>37</v>
      </c>
      <c r="D1199">
        <v>5.2588530000000002</v>
      </c>
      <c r="E1199">
        <v>0.56178059999999996</v>
      </c>
      <c r="F1199" t="s">
        <v>39</v>
      </c>
      <c r="G1199">
        <v>-217.10560000000001</v>
      </c>
      <c r="H1199" s="1">
        <v>-2.628702E-6</v>
      </c>
      <c r="I1199">
        <v>144.4271</v>
      </c>
      <c r="J1199">
        <v>-204.98269999999999</v>
      </c>
      <c r="K1199">
        <v>1.098849</v>
      </c>
      <c r="L1199">
        <v>144.51179999999999</v>
      </c>
      <c r="M1199">
        <v>-0.9433028</v>
      </c>
      <c r="N1199">
        <v>0</v>
      </c>
      <c r="O1199">
        <v>-0.33180029999999999</v>
      </c>
      <c r="P1199">
        <v>-0.9784214</v>
      </c>
      <c r="Q1199">
        <v>0.1097259</v>
      </c>
      <c r="R1199">
        <v>-0.17507819999999999</v>
      </c>
      <c r="S1199">
        <v>-3.0899509999999899</v>
      </c>
      <c r="T1199">
        <v>-0.2742832</v>
      </c>
      <c r="U1199">
        <v>-4.2526250000000002E-2</v>
      </c>
      <c r="V1199">
        <v>0.1606862</v>
      </c>
      <c r="W1199">
        <v>0.1173488</v>
      </c>
      <c r="X1199">
        <v>0.98000469999999895</v>
      </c>
      <c r="Y1199">
        <v>0.31629479999999999</v>
      </c>
      <c r="Z1199">
        <v>4.2958709999999997E-2</v>
      </c>
      <c r="AA1199">
        <v>0.94768779999999997</v>
      </c>
      <c r="AB1199">
        <v>28</v>
      </c>
      <c r="AC1199">
        <v>-12.1229</v>
      </c>
      <c r="AD1199">
        <v>-1.098851628702</v>
      </c>
      <c r="AE1199">
        <v>-8.4699999999997999E-2</v>
      </c>
      <c r="AF1199">
        <v>3.9105306616567499</v>
      </c>
      <c r="AG1199">
        <v>-1.098851628702</v>
      </c>
      <c r="AH1199">
        <v>11.3707570836711</v>
      </c>
      <c r="AI1199">
        <v>95.221477415835196</v>
      </c>
      <c r="AJ1199">
        <v>71.021332794936797</v>
      </c>
      <c r="AK1199">
        <v>12.0745120652354</v>
      </c>
    </row>
    <row r="1200" spans="1:37" x14ac:dyDescent="0.2">
      <c r="A1200" t="str">
        <f>"20200111150609242"</f>
        <v>20200111150609242</v>
      </c>
      <c r="B1200" t="str">
        <f>"1578726369237323"</f>
        <v>1578726369237323</v>
      </c>
      <c r="C1200" t="s">
        <v>37</v>
      </c>
      <c r="D1200">
        <v>5.2441059999999897</v>
      </c>
      <c r="E1200">
        <v>0.54328290000000001</v>
      </c>
      <c r="F1200" t="s">
        <v>39</v>
      </c>
      <c r="G1200">
        <v>-217.7449</v>
      </c>
      <c r="H1200" s="1">
        <v>-2.3045760000000001E-6</v>
      </c>
      <c r="I1200">
        <v>144.34479999999999</v>
      </c>
      <c r="J1200">
        <v>-205.26570000000001</v>
      </c>
      <c r="K1200">
        <v>1.0988009999999999</v>
      </c>
      <c r="L1200">
        <v>144.41919999999999</v>
      </c>
      <c r="M1200">
        <v>-0.94529439999999998</v>
      </c>
      <c r="N1200">
        <v>0</v>
      </c>
      <c r="O1200">
        <v>-0.32608290000000001</v>
      </c>
      <c r="P1200">
        <v>-0.97930019999999995</v>
      </c>
      <c r="Q1200">
        <v>0.1115527</v>
      </c>
      <c r="R1200">
        <v>-0.16889979999999999</v>
      </c>
      <c r="S1200">
        <v>-3.08875999999999</v>
      </c>
      <c r="T1200">
        <v>-0.2659475</v>
      </c>
      <c r="U1200">
        <v>-4.0435789999999999E-2</v>
      </c>
      <c r="V1200">
        <v>0.16090189999999999</v>
      </c>
      <c r="W1200">
        <v>0.1191528</v>
      </c>
      <c r="X1200">
        <v>0.97975159999999994</v>
      </c>
      <c r="Y1200">
        <v>0.31137309999999901</v>
      </c>
      <c r="Z1200">
        <v>4.099469E-2</v>
      </c>
      <c r="AA1200">
        <v>0.94940309999999895</v>
      </c>
      <c r="AB1200">
        <v>28</v>
      </c>
      <c r="AC1200">
        <v>-12.479199999999899</v>
      </c>
      <c r="AD1200">
        <v>-1.098803304576</v>
      </c>
      <c r="AE1200">
        <v>-7.4399999999997093E-2</v>
      </c>
      <c r="AF1200">
        <v>3.96833549229145</v>
      </c>
      <c r="AG1200">
        <v>-1.098803304576</v>
      </c>
      <c r="AH1200">
        <v>11.7303596495061</v>
      </c>
      <c r="AI1200">
        <v>95.070679587158807</v>
      </c>
      <c r="AJ1200">
        <v>71.309519782858004</v>
      </c>
      <c r="AK1200">
        <v>12.4320711383216</v>
      </c>
    </row>
    <row r="1201" spans="1:37" x14ac:dyDescent="0.2">
      <c r="A1201" t="str">
        <f>"20200111150609262"</f>
        <v>20200111150609262</v>
      </c>
      <c r="B1201" t="str">
        <f>"1578726369257819"</f>
        <v>1578726369257819</v>
      </c>
      <c r="C1201" t="s">
        <v>37</v>
      </c>
      <c r="D1201">
        <v>5.2758279999999997</v>
      </c>
      <c r="E1201">
        <v>0.55308290000000004</v>
      </c>
      <c r="F1201" t="s">
        <v>78</v>
      </c>
      <c r="G1201">
        <v>-319.1354</v>
      </c>
      <c r="H1201" s="1">
        <v>-5.2798699999999996E-6</v>
      </c>
      <c r="I1201">
        <v>138.1414</v>
      </c>
      <c r="J1201">
        <v>-205.50530000000001</v>
      </c>
      <c r="K1201">
        <v>1.098762</v>
      </c>
      <c r="L1201">
        <v>144.34229999999999</v>
      </c>
      <c r="M1201">
        <v>-0.94696369999999896</v>
      </c>
      <c r="N1201">
        <v>0</v>
      </c>
      <c r="O1201">
        <v>-0.32120310000000002</v>
      </c>
      <c r="P1201">
        <v>-0.98000480000000001</v>
      </c>
      <c r="Q1201">
        <v>0.1126195</v>
      </c>
      <c r="R1201">
        <v>-0.16403609999999999</v>
      </c>
      <c r="S1201">
        <v>-3.0378720000000001</v>
      </c>
      <c r="T1201">
        <v>-2.931452E-2</v>
      </c>
      <c r="U1201">
        <v>-0.1674805</v>
      </c>
      <c r="V1201">
        <v>0.1606967</v>
      </c>
      <c r="W1201">
        <v>0.1202038</v>
      </c>
      <c r="X1201">
        <v>0.97965689999999905</v>
      </c>
      <c r="Y1201">
        <v>0.26857329999999902</v>
      </c>
      <c r="Z1201">
        <v>4.3430680000000003E-3</v>
      </c>
      <c r="AA1201">
        <v>0.96324940000000003</v>
      </c>
      <c r="AB1201">
        <v>28</v>
      </c>
      <c r="AC1201">
        <v>-113.6301</v>
      </c>
      <c r="AD1201">
        <v>-1.0987672798699999</v>
      </c>
      <c r="AE1201">
        <v>-6.2008999999999901</v>
      </c>
      <c r="AF1201">
        <v>30.624810701207799</v>
      </c>
      <c r="AG1201">
        <v>-1.0987672798699999</v>
      </c>
      <c r="AH1201">
        <v>109.589951705765</v>
      </c>
      <c r="AI1201">
        <v>90.553243409011998</v>
      </c>
      <c r="AJ1201">
        <v>74.387028538241495</v>
      </c>
      <c r="AK1201">
        <v>113.79386554156601</v>
      </c>
    </row>
    <row r="1202" spans="1:37" x14ac:dyDescent="0.2">
      <c r="A1202" t="str">
        <f>"20200111150609286"</f>
        <v>20200111150609286</v>
      </c>
      <c r="B1202" t="str">
        <f>"1578726369277339"</f>
        <v>1578726369277339</v>
      </c>
      <c r="C1202" t="s">
        <v>37</v>
      </c>
      <c r="D1202">
        <v>5.2750539999999999</v>
      </c>
      <c r="E1202">
        <v>0.55377569999999998</v>
      </c>
      <c r="F1202" t="s">
        <v>39</v>
      </c>
      <c r="G1202">
        <v>-218.6814</v>
      </c>
      <c r="H1202" s="1">
        <v>-1.7750729999999901E-6</v>
      </c>
      <c r="I1202">
        <v>144.01840000000001</v>
      </c>
      <c r="J1202">
        <v>-205.78829999999999</v>
      </c>
      <c r="K1202">
        <v>1.0987020000000001</v>
      </c>
      <c r="L1202">
        <v>144.25319999999999</v>
      </c>
      <c r="M1202">
        <v>-0.94891959999999997</v>
      </c>
      <c r="N1202">
        <v>0</v>
      </c>
      <c r="O1202">
        <v>-0.31537749999999998</v>
      </c>
      <c r="P1202">
        <v>-0.98093649999999999</v>
      </c>
      <c r="Q1202">
        <v>0.1127645</v>
      </c>
      <c r="R1202">
        <v>-0.15826519999999999</v>
      </c>
      <c r="S1202">
        <v>-3.078049</v>
      </c>
      <c r="T1202">
        <v>-0.25668079999999999</v>
      </c>
      <c r="U1202">
        <v>-7.5653079999999998E-2</v>
      </c>
      <c r="V1202">
        <v>0.16045619999999999</v>
      </c>
      <c r="W1202">
        <v>0.1203307</v>
      </c>
      <c r="X1202">
        <v>0.97968069999999896</v>
      </c>
      <c r="Y1202">
        <v>0.28991250000000002</v>
      </c>
      <c r="Z1202">
        <v>3.7946859999999999E-2</v>
      </c>
      <c r="AA1202">
        <v>0.95630059999999995</v>
      </c>
      <c r="AB1202">
        <v>28</v>
      </c>
      <c r="AC1202">
        <v>-12.8931</v>
      </c>
      <c r="AD1202">
        <v>-1.098703775073</v>
      </c>
      <c r="AE1202">
        <v>-0.234799999999978</v>
      </c>
      <c r="AF1202">
        <v>3.8158567004892499</v>
      </c>
      <c r="AG1202">
        <v>-1.098703775073</v>
      </c>
      <c r="AH1202">
        <v>12.220398267167401</v>
      </c>
      <c r="AI1202">
        <v>94.905151200008305</v>
      </c>
      <c r="AJ1202">
        <v>72.658866341358404</v>
      </c>
      <c r="AK1202">
        <v>12.8493597565099</v>
      </c>
    </row>
    <row r="1203" spans="1:37" x14ac:dyDescent="0.2">
      <c r="A1203" t="str">
        <f>"20200111150609308"</f>
        <v>20200111150609308</v>
      </c>
      <c r="B1203" t="str">
        <f>"1578726369297835"</f>
        <v>1578726369297835</v>
      </c>
      <c r="C1203" t="s">
        <v>37</v>
      </c>
      <c r="D1203">
        <v>5.2664970000000002</v>
      </c>
      <c r="E1203">
        <v>0.5526643</v>
      </c>
      <c r="F1203" t="s">
        <v>39</v>
      </c>
      <c r="G1203">
        <v>-219.1634</v>
      </c>
      <c r="H1203" s="1">
        <v>-1.5500960000000001E-6</v>
      </c>
      <c r="I1203">
        <v>144.0292</v>
      </c>
      <c r="J1203">
        <v>-206.05179999999999</v>
      </c>
      <c r="K1203">
        <v>1.0986340000000001</v>
      </c>
      <c r="L1203">
        <v>144.1721</v>
      </c>
      <c r="M1203">
        <v>-0.95072659999999998</v>
      </c>
      <c r="N1203">
        <v>0</v>
      </c>
      <c r="O1203">
        <v>-0.30988729999999998</v>
      </c>
      <c r="P1203">
        <v>-0.98190059999999901</v>
      </c>
      <c r="Q1203">
        <v>0.1127647</v>
      </c>
      <c r="R1203">
        <v>-0.15216879999999999</v>
      </c>
      <c r="S1203">
        <v>-3.079056</v>
      </c>
      <c r="T1203">
        <v>-0.25292969999999998</v>
      </c>
      <c r="U1203">
        <v>-5.155945E-2</v>
      </c>
      <c r="V1203">
        <v>0.16089890000000001</v>
      </c>
      <c r="W1203">
        <v>0.1203051</v>
      </c>
      <c r="X1203">
        <v>0.97961129999999996</v>
      </c>
      <c r="Y1203">
        <v>0.29194140000000002</v>
      </c>
      <c r="Z1203">
        <v>3.7044500000000001E-2</v>
      </c>
      <c r="AA1203">
        <v>0.95571849999999903</v>
      </c>
      <c r="AB1203">
        <v>28</v>
      </c>
      <c r="AC1203">
        <v>-13.111599999999999</v>
      </c>
      <c r="AD1203">
        <v>-1.0986355500959999</v>
      </c>
      <c r="AE1203">
        <v>-0.142899999999997</v>
      </c>
      <c r="AF1203">
        <v>3.9000550192076999</v>
      </c>
      <c r="AG1203">
        <v>-1.0986355500959999</v>
      </c>
      <c r="AH1203">
        <v>12.423173091202701</v>
      </c>
      <c r="AI1203">
        <v>94.822869648760403</v>
      </c>
      <c r="AJ1203">
        <v>72.571159490517701</v>
      </c>
      <c r="AK1203">
        <v>13.0672360841443</v>
      </c>
    </row>
    <row r="1204" spans="1:37" x14ac:dyDescent="0.2">
      <c r="A1204" t="str">
        <f>"20200111150609332"</f>
        <v>20200111150609332</v>
      </c>
      <c r="B1204" t="str">
        <f>"1578726369327116"</f>
        <v>1578726369327116</v>
      </c>
      <c r="C1204" t="s">
        <v>37</v>
      </c>
      <c r="D1204">
        <v>5.2829519999999999</v>
      </c>
      <c r="E1204">
        <v>0.55108440000000003</v>
      </c>
      <c r="F1204" t="s">
        <v>39</v>
      </c>
      <c r="G1204">
        <v>-219.45259999999999</v>
      </c>
      <c r="H1204" s="1">
        <v>-1.4033509999999999E-6</v>
      </c>
      <c r="I1204">
        <v>143.9914</v>
      </c>
      <c r="J1204">
        <v>-206.3466</v>
      </c>
      <c r="K1204">
        <v>1.098549</v>
      </c>
      <c r="L1204">
        <v>144.08320000000001</v>
      </c>
      <c r="M1204">
        <v>-0.95273259999999904</v>
      </c>
      <c r="N1204">
        <v>0</v>
      </c>
      <c r="O1204">
        <v>-0.30366389999999999</v>
      </c>
      <c r="P1204">
        <v>-0.98281430000000003</v>
      </c>
      <c r="Q1204">
        <v>0.1134247</v>
      </c>
      <c r="R1204">
        <v>-0.14564009999999999</v>
      </c>
      <c r="S1204">
        <v>-3.0778500000000002</v>
      </c>
      <c r="T1204">
        <v>-0.25233049999999901</v>
      </c>
      <c r="U1204">
        <v>-4.1488650000000002E-2</v>
      </c>
      <c r="V1204">
        <v>0.16101170000000001</v>
      </c>
      <c r="W1204">
        <v>0.1209384</v>
      </c>
      <c r="X1204">
        <v>0.97951469999999896</v>
      </c>
      <c r="Y1204">
        <v>0.28884699999999902</v>
      </c>
      <c r="Z1204">
        <v>3.6359660000000002E-2</v>
      </c>
      <c r="AA1204">
        <v>0.9566846</v>
      </c>
      <c r="AB1204">
        <v>28</v>
      </c>
      <c r="AC1204">
        <v>-13.1059999999999</v>
      </c>
      <c r="AD1204">
        <v>-1.0985504033509901</v>
      </c>
      <c r="AE1204">
        <v>-9.1800000000006293E-2</v>
      </c>
      <c r="AF1204">
        <v>3.8653748488578001</v>
      </c>
      <c r="AG1204">
        <v>-1.0985504033509901</v>
      </c>
      <c r="AH1204">
        <v>12.427635085199499</v>
      </c>
      <c r="AI1204">
        <v>94.824741621746099</v>
      </c>
      <c r="AJ1204">
        <v>72.722707367843796</v>
      </c>
      <c r="AK1204">
        <v>13.0611657030208</v>
      </c>
    </row>
    <row r="1205" spans="1:37" x14ac:dyDescent="0.2">
      <c r="A1205" t="str">
        <f>"20200111150609355"</f>
        <v>20200111150609355</v>
      </c>
      <c r="B1205" t="str">
        <f>"1578726369347611"</f>
        <v>1578726369347611</v>
      </c>
      <c r="C1205" t="s">
        <v>37</v>
      </c>
      <c r="D1205">
        <v>5.2225900000000003</v>
      </c>
      <c r="E1205">
        <v>0.54993210000000003</v>
      </c>
      <c r="F1205" t="s">
        <v>39</v>
      </c>
      <c r="G1205">
        <v>-219.9502</v>
      </c>
      <c r="H1205" s="1">
        <v>-1.152699E-6</v>
      </c>
      <c r="I1205">
        <v>143.93340000000001</v>
      </c>
      <c r="J1205">
        <v>-206.61680000000001</v>
      </c>
      <c r="K1205">
        <v>1.0984750000000001</v>
      </c>
      <c r="L1205">
        <v>144.00399999999999</v>
      </c>
      <c r="M1205">
        <v>-0.95455769999999995</v>
      </c>
      <c r="N1205">
        <v>0</v>
      </c>
      <c r="O1205">
        <v>-0.297877</v>
      </c>
      <c r="P1205">
        <v>-0.983581699999999</v>
      </c>
      <c r="Q1205">
        <v>0.11455410000000001</v>
      </c>
      <c r="R1205">
        <v>-0.1394445</v>
      </c>
      <c r="S1205">
        <v>-3.0761259999999999</v>
      </c>
      <c r="T1205">
        <v>-0.2484112</v>
      </c>
      <c r="U1205">
        <v>-3.3874509999999997E-2</v>
      </c>
      <c r="V1205">
        <v>0.16123579999999901</v>
      </c>
      <c r="W1205">
        <v>0.1220412</v>
      </c>
      <c r="X1205">
        <v>0.97934109999999996</v>
      </c>
      <c r="Y1205">
        <v>0.28548600000000002</v>
      </c>
      <c r="Z1205">
        <v>3.5235080000000002E-2</v>
      </c>
      <c r="AA1205">
        <v>0.95773489999999994</v>
      </c>
      <c r="AB1205">
        <v>28</v>
      </c>
      <c r="AC1205">
        <v>-13.3333999999999</v>
      </c>
      <c r="AD1205">
        <v>-1.0984761526989999</v>
      </c>
      <c r="AE1205">
        <v>-7.0599999999984606E-2</v>
      </c>
      <c r="AF1205">
        <v>3.8781732248992999</v>
      </c>
      <c r="AG1205">
        <v>-1.0984761526989999</v>
      </c>
      <c r="AH1205">
        <v>12.663149738690599</v>
      </c>
      <c r="AI1205">
        <v>94.741447714916205</v>
      </c>
      <c r="AJ1205">
        <v>72.972446770734507</v>
      </c>
      <c r="AK1205">
        <v>13.289177503701</v>
      </c>
    </row>
    <row r="1206" spans="1:37" x14ac:dyDescent="0.2">
      <c r="A1206" t="str">
        <f>"20200111150609376"</f>
        <v>20200111150609376</v>
      </c>
      <c r="B1206" t="str">
        <f>"1578726369367132"</f>
        <v>1578726369367132</v>
      </c>
      <c r="C1206" t="s">
        <v>37</v>
      </c>
      <c r="D1206">
        <v>5.2568699999999904</v>
      </c>
      <c r="E1206">
        <v>0.54919019999999996</v>
      </c>
      <c r="F1206" t="s">
        <v>39</v>
      </c>
      <c r="G1206">
        <v>-220.2757</v>
      </c>
      <c r="H1206" s="1">
        <v>-4.9417789999999999E-6</v>
      </c>
      <c r="I1206">
        <v>143.89850000000001</v>
      </c>
      <c r="J1206">
        <v>-206.88480000000001</v>
      </c>
      <c r="K1206">
        <v>1.098411</v>
      </c>
      <c r="L1206">
        <v>143.9271</v>
      </c>
      <c r="M1206">
        <v>-0.95635149999999902</v>
      </c>
      <c r="N1206">
        <v>0</v>
      </c>
      <c r="O1206">
        <v>-0.29206589999999999</v>
      </c>
      <c r="P1206">
        <v>-0.98424769999999995</v>
      </c>
      <c r="Q1206">
        <v>0.1162021</v>
      </c>
      <c r="R1206">
        <v>-0.13324339999999901</v>
      </c>
      <c r="S1206">
        <v>-3.0755159999999999</v>
      </c>
      <c r="T1206">
        <v>-0.24733920000000001</v>
      </c>
      <c r="U1206">
        <v>-2.3727419999999999E-2</v>
      </c>
      <c r="V1206">
        <v>0.16143440000000001</v>
      </c>
      <c r="W1206">
        <v>0.12366580000000001</v>
      </c>
      <c r="X1206">
        <v>0.97910459999999999</v>
      </c>
      <c r="Y1206">
        <v>0.2828579</v>
      </c>
      <c r="Z1206">
        <v>3.4538529999999998E-2</v>
      </c>
      <c r="AA1206">
        <v>0.95853980000000005</v>
      </c>
      <c r="AB1206">
        <v>28</v>
      </c>
      <c r="AC1206">
        <v>-13.390899999999901</v>
      </c>
      <c r="AD1206">
        <v>-1.098415941779</v>
      </c>
      <c r="AE1206">
        <v>-2.8599999999983E-2</v>
      </c>
      <c r="AF1206">
        <v>3.8578896163018901</v>
      </c>
      <c r="AG1206">
        <v>-1.098415941779</v>
      </c>
      <c r="AH1206">
        <v>12.729682261291501</v>
      </c>
      <c r="AI1206">
        <v>94.720703697029194</v>
      </c>
      <c r="AJ1206">
        <v>73.139910469368004</v>
      </c>
      <c r="AK1206">
        <v>13.3467089706101</v>
      </c>
    </row>
    <row r="1207" spans="1:37" x14ac:dyDescent="0.2">
      <c r="A1207" t="str">
        <f>"20200111150609401"</f>
        <v>20200111150609401</v>
      </c>
      <c r="B1207" t="str">
        <f>"1578726369397388"</f>
        <v>1578726369397388</v>
      </c>
      <c r="C1207" t="s">
        <v>37</v>
      </c>
      <c r="D1207">
        <v>5.2554589999999903</v>
      </c>
      <c r="E1207">
        <v>0.5476685</v>
      </c>
      <c r="F1207" t="s">
        <v>39</v>
      </c>
      <c r="G1207">
        <v>-220.7527</v>
      </c>
      <c r="H1207" s="1">
        <v>-4.7756289999999998E-6</v>
      </c>
      <c r="I1207">
        <v>143.87690000000001</v>
      </c>
      <c r="J1207">
        <v>-207.17619999999999</v>
      </c>
      <c r="K1207">
        <v>1.098349</v>
      </c>
      <c r="L1207">
        <v>143.84559999999999</v>
      </c>
      <c r="M1207">
        <v>-0.9582773</v>
      </c>
      <c r="N1207">
        <v>0</v>
      </c>
      <c r="O1207">
        <v>-0.2856842</v>
      </c>
      <c r="P1207">
        <v>-0.98511659999999901</v>
      </c>
      <c r="Q1207">
        <v>0.116899399999999</v>
      </c>
      <c r="R1207">
        <v>-0.12601660000000001</v>
      </c>
      <c r="S1207">
        <v>-3.075256</v>
      </c>
      <c r="T1207">
        <v>-0.24357759999999901</v>
      </c>
      <c r="U1207">
        <v>-1.112366E-2</v>
      </c>
      <c r="V1207">
        <v>0.16209760000000001</v>
      </c>
      <c r="W1207">
        <v>0.1243344</v>
      </c>
      <c r="X1207">
        <v>0.97891030000000001</v>
      </c>
      <c r="Y1207">
        <v>0.28047509999999998</v>
      </c>
      <c r="Z1207">
        <v>3.3439839999999998E-2</v>
      </c>
      <c r="AA1207">
        <v>0.95927859999999998</v>
      </c>
      <c r="AB1207">
        <v>28</v>
      </c>
      <c r="AC1207">
        <v>-13.576499999999999</v>
      </c>
      <c r="AD1207">
        <v>-1.0983537756290001</v>
      </c>
      <c r="AE1207">
        <v>3.1300000000015801E-2</v>
      </c>
      <c r="AF1207">
        <v>3.8833435643340199</v>
      </c>
      <c r="AG1207">
        <v>-1.0983537756290001</v>
      </c>
      <c r="AH1207">
        <v>12.9171473150911</v>
      </c>
      <c r="AI1207">
        <v>94.655345330903998</v>
      </c>
      <c r="AJ1207">
        <v>73.267395148580903</v>
      </c>
      <c r="AK1207">
        <v>13.532901869697399</v>
      </c>
    </row>
    <row r="1208" spans="1:37" x14ac:dyDescent="0.2">
      <c r="A1208" t="str">
        <f>"20200111150609442"</f>
        <v>20200111150609442</v>
      </c>
      <c r="B1208" t="str">
        <f>"1578726369437403"</f>
        <v>1578726369437403</v>
      </c>
      <c r="C1208" t="s">
        <v>37</v>
      </c>
      <c r="D1208">
        <v>5.254486</v>
      </c>
      <c r="E1208">
        <v>0.54528009999999905</v>
      </c>
      <c r="F1208" t="s">
        <v>39</v>
      </c>
      <c r="G1208">
        <v>-220.6362</v>
      </c>
      <c r="H1208" s="1">
        <v>-4.8079939999999998E-6</v>
      </c>
      <c r="I1208">
        <v>143.83590000000001</v>
      </c>
      <c r="J1208">
        <v>-207.6788</v>
      </c>
      <c r="K1208">
        <v>1.098266</v>
      </c>
      <c r="L1208">
        <v>143.71</v>
      </c>
      <c r="M1208">
        <v>-0.96152179999999998</v>
      </c>
      <c r="N1208">
        <v>0</v>
      </c>
      <c r="O1208">
        <v>-0.27456639999999999</v>
      </c>
      <c r="P1208">
        <v>-0.98627480000000001</v>
      </c>
      <c r="Q1208">
        <v>0.11746769999999999</v>
      </c>
      <c r="R1208">
        <v>-0.116034</v>
      </c>
      <c r="S1208">
        <v>-3.0747990000000001</v>
      </c>
      <c r="T1208">
        <v>-0.25090669999999998</v>
      </c>
      <c r="U1208">
        <v>-2.212524E-3</v>
      </c>
      <c r="V1208">
        <v>0.16068440000000001</v>
      </c>
      <c r="W1208">
        <v>0.1248865</v>
      </c>
      <c r="X1208">
        <v>0.97907299999999997</v>
      </c>
      <c r="Y1208">
        <v>0.27208769999999999</v>
      </c>
      <c r="Z1208">
        <v>3.323156E-2</v>
      </c>
      <c r="AA1208">
        <v>0.96169850000000001</v>
      </c>
      <c r="AB1208">
        <v>28</v>
      </c>
      <c r="AC1208">
        <v>-12.9574</v>
      </c>
      <c r="AD1208">
        <v>-1.098270807994</v>
      </c>
      <c r="AE1208">
        <v>0.12590000000000101</v>
      </c>
      <c r="AF1208">
        <v>3.6526470452509199</v>
      </c>
      <c r="AG1208">
        <v>-1.098270807994</v>
      </c>
      <c r="AH1208">
        <v>12.3361900675865</v>
      </c>
      <c r="AI1208">
        <v>94.879223834130997</v>
      </c>
      <c r="AJ1208">
        <v>73.506400457134504</v>
      </c>
      <c r="AK1208">
        <v>12.912382219733599</v>
      </c>
    </row>
    <row r="1209" spans="1:37" x14ac:dyDescent="0.2">
      <c r="A1209" t="str">
        <f>"20200111150609463"</f>
        <v>20200111150609463</v>
      </c>
      <c r="B1209" t="str">
        <f>"1578726369457899"</f>
        <v>1578726369457899</v>
      </c>
      <c r="C1209" t="s">
        <v>37</v>
      </c>
      <c r="D1209">
        <v>5.4201790000000001</v>
      </c>
      <c r="E1209">
        <v>0.5449792</v>
      </c>
      <c r="F1209" t="s">
        <v>39</v>
      </c>
      <c r="G1209">
        <v>-221.0429</v>
      </c>
      <c r="H1209" s="1">
        <v>-4.6543149999999998E-6</v>
      </c>
      <c r="I1209">
        <v>143.74979999999999</v>
      </c>
      <c r="J1209">
        <v>-207.93940000000001</v>
      </c>
      <c r="K1209">
        <v>1.0982319999999901</v>
      </c>
      <c r="L1209">
        <v>143.6422</v>
      </c>
      <c r="M1209">
        <v>-0.96315720000000005</v>
      </c>
      <c r="N1209">
        <v>0</v>
      </c>
      <c r="O1209">
        <v>-0.26877249999999903</v>
      </c>
      <c r="P1209">
        <v>-0.98686949999999996</v>
      </c>
      <c r="Q1209">
        <v>0.11667709999999901</v>
      </c>
      <c r="R1209">
        <v>-0.11169220000000001</v>
      </c>
      <c r="S1209">
        <v>-3.0729220000000002</v>
      </c>
      <c r="T1209">
        <v>-0.2525345</v>
      </c>
      <c r="U1209">
        <v>9.1552730000000002E-3</v>
      </c>
      <c r="V1209">
        <v>0.15912190000000001</v>
      </c>
      <c r="W1209">
        <v>0.12410299999999901</v>
      </c>
      <c r="X1209">
        <v>0.97942779999999996</v>
      </c>
      <c r="Y1209">
        <v>0.26985379999999998</v>
      </c>
      <c r="Z1209">
        <v>3.2916519999999998E-2</v>
      </c>
      <c r="AA1209">
        <v>0.96233849999999999</v>
      </c>
      <c r="AB1209">
        <v>28</v>
      </c>
      <c r="AC1209">
        <v>-13.103499999999899</v>
      </c>
      <c r="AD1209">
        <v>-1.0982366543149999</v>
      </c>
      <c r="AE1209">
        <v>0.10759999999999</v>
      </c>
      <c r="AF1209">
        <v>3.6003693180061598</v>
      </c>
      <c r="AG1209">
        <v>-1.0982366543149999</v>
      </c>
      <c r="AH1209">
        <v>12.5045416938286</v>
      </c>
      <c r="AI1209">
        <v>94.824235002210997</v>
      </c>
      <c r="AJ1209">
        <v>73.937571194004093</v>
      </c>
      <c r="AK1209">
        <v>13.058803388810899</v>
      </c>
    </row>
    <row r="1210" spans="1:37" x14ac:dyDescent="0.2">
      <c r="A1210" t="str">
        <f>"20200111150609485"</f>
        <v>20200111150609485</v>
      </c>
      <c r="B1210" t="str">
        <f>"1578726369477155"</f>
        <v>1578726369477155</v>
      </c>
      <c r="C1210" t="s">
        <v>37</v>
      </c>
      <c r="D1210">
        <v>5.3850689999999997</v>
      </c>
      <c r="E1210">
        <v>0.54452319999999999</v>
      </c>
      <c r="F1210" t="s">
        <v>39</v>
      </c>
      <c r="G1210">
        <v>-221.10839999999999</v>
      </c>
      <c r="H1210" s="1">
        <v>-4.6285419999999997E-6</v>
      </c>
      <c r="I1210">
        <v>143.73009999999999</v>
      </c>
      <c r="J1210">
        <v>-208.21510000000001</v>
      </c>
      <c r="K1210">
        <v>1.0982099999999999</v>
      </c>
      <c r="L1210">
        <v>143.57210000000001</v>
      </c>
      <c r="M1210">
        <v>-0.96484989999999904</v>
      </c>
      <c r="N1210">
        <v>0</v>
      </c>
      <c r="O1210">
        <v>-0.26263150000000002</v>
      </c>
      <c r="P1210">
        <v>-0.98741979999999996</v>
      </c>
      <c r="Q1210">
        <v>0.1162043</v>
      </c>
      <c r="R1210">
        <v>-0.1072323</v>
      </c>
      <c r="S1210">
        <v>-3.0725099999999999</v>
      </c>
      <c r="T1210">
        <v>-0.25623400000000002</v>
      </c>
      <c r="U1210">
        <v>2.0523070000000001E-2</v>
      </c>
      <c r="V1210">
        <v>0.15732209999999999</v>
      </c>
      <c r="W1210">
        <v>0.12364219999999999</v>
      </c>
      <c r="X1210">
        <v>0.97977669999999994</v>
      </c>
      <c r="Y1210">
        <v>0.26725840000000001</v>
      </c>
      <c r="Z1210">
        <v>3.2798899999999999E-2</v>
      </c>
      <c r="AA1210">
        <v>0.963066599999999</v>
      </c>
      <c r="AB1210">
        <v>28</v>
      </c>
      <c r="AC1210">
        <v>-12.893299999999901</v>
      </c>
      <c r="AD1210">
        <v>-1.098214628542</v>
      </c>
      <c r="AE1210">
        <v>0.15799999999998701</v>
      </c>
      <c r="AF1210">
        <v>3.5133054066313698</v>
      </c>
      <c r="AG1210">
        <v>-1.098214628542</v>
      </c>
      <c r="AH1210">
        <v>12.3098610274028</v>
      </c>
      <c r="AI1210">
        <v>94.903318988102797</v>
      </c>
      <c r="AJ1210">
        <v>74.070947813584695</v>
      </c>
      <c r="AK1210">
        <v>12.8484267038646</v>
      </c>
    </row>
    <row r="1211" spans="1:37" x14ac:dyDescent="0.2">
      <c r="A1211" t="str">
        <f>"20200111150609509"</f>
        <v>20200111150609509</v>
      </c>
      <c r="B1211" t="str">
        <f>"1578726369497651"</f>
        <v>1578726369497651</v>
      </c>
      <c r="C1211" t="s">
        <v>37</v>
      </c>
      <c r="D1211">
        <v>5.1119209999999997</v>
      </c>
      <c r="E1211">
        <v>0.54422950000000003</v>
      </c>
      <c r="F1211" t="s">
        <v>39</v>
      </c>
      <c r="G1211">
        <v>-221.30599999999899</v>
      </c>
      <c r="H1211" s="1">
        <v>-4.5568600000000001E-6</v>
      </c>
      <c r="I1211">
        <v>143.70500000000001</v>
      </c>
      <c r="J1211">
        <v>-208.50729999999999</v>
      </c>
      <c r="K1211">
        <v>1.098209</v>
      </c>
      <c r="L1211">
        <v>143.5</v>
      </c>
      <c r="M1211">
        <v>-0.9665975</v>
      </c>
      <c r="N1211">
        <v>0</v>
      </c>
      <c r="O1211">
        <v>-0.256125299999999</v>
      </c>
      <c r="P1211">
        <v>-0.98770480000000005</v>
      </c>
      <c r="Q1211">
        <v>0.11790249999999999</v>
      </c>
      <c r="R1211">
        <v>-0.102657199999999</v>
      </c>
      <c r="S1211">
        <v>-3.0719449999999999</v>
      </c>
      <c r="T1211">
        <v>-0.25771189999999999</v>
      </c>
      <c r="U1211">
        <v>3.1188960000000002E-2</v>
      </c>
      <c r="V1211">
        <v>0.15523239999999999</v>
      </c>
      <c r="W1211">
        <v>0.12535579999999999</v>
      </c>
      <c r="X1211">
        <v>0.97989230000000005</v>
      </c>
      <c r="Y1211">
        <v>0.26412390000000002</v>
      </c>
      <c r="Z1211">
        <v>3.2333590000000002E-2</v>
      </c>
      <c r="AA1211">
        <v>0.96394659999999999</v>
      </c>
      <c r="AB1211">
        <v>28</v>
      </c>
      <c r="AC1211">
        <v>-12.798699999999901</v>
      </c>
      <c r="AD1211">
        <v>-1.09821355686</v>
      </c>
      <c r="AE1211">
        <v>0.20500000000001201</v>
      </c>
      <c r="AF1211">
        <v>3.4509759837720799</v>
      </c>
      <c r="AG1211">
        <v>-1.09821355686</v>
      </c>
      <c r="AH1211">
        <v>12.2292166441178</v>
      </c>
      <c r="AI1211">
        <v>94.939637722093593</v>
      </c>
      <c r="AJ1211">
        <v>74.241406454373404</v>
      </c>
      <c r="AK1211">
        <v>12.754177667956901</v>
      </c>
    </row>
    <row r="1212" spans="1:37" x14ac:dyDescent="0.2">
      <c r="A1212" t="str">
        <f>"20200111150609575"</f>
        <v>20200111150609575</v>
      </c>
      <c r="B1212" t="str">
        <f>"1578726369567924"</f>
        <v>1578726369567924</v>
      </c>
      <c r="C1212" t="s">
        <v>37</v>
      </c>
      <c r="D1212">
        <v>7.2657280000000002</v>
      </c>
      <c r="E1212">
        <v>0.46102299999999902</v>
      </c>
      <c r="F1212" t="s">
        <v>39</v>
      </c>
      <c r="G1212">
        <v>-221.88919999999999</v>
      </c>
      <c r="H1212" s="1">
        <v>-4.3553749999999998E-6</v>
      </c>
      <c r="I1212">
        <v>143.68809999999999</v>
      </c>
      <c r="J1212">
        <v>-209.33969999999999</v>
      </c>
      <c r="K1212">
        <v>1.098193</v>
      </c>
      <c r="L1212">
        <v>143.3058</v>
      </c>
      <c r="M1212">
        <v>-0.97131509999999999</v>
      </c>
      <c r="N1212">
        <v>0</v>
      </c>
      <c r="O1212">
        <v>-0.23760879999999901</v>
      </c>
      <c r="P1212">
        <v>-0.98801879999999997</v>
      </c>
      <c r="Q1212">
        <v>0.12514719999999999</v>
      </c>
      <c r="R1212">
        <v>-9.0317350000000005E-2</v>
      </c>
      <c r="S1212">
        <v>-3.07193</v>
      </c>
      <c r="T1212">
        <v>-0.25210339999999998</v>
      </c>
      <c r="U1212">
        <v>4.3197630000000001E-2</v>
      </c>
      <c r="V1212">
        <v>0.14862259999999999</v>
      </c>
      <c r="W1212">
        <v>0.13265569999999999</v>
      </c>
      <c r="X1212">
        <v>0.97995599999999905</v>
      </c>
      <c r="Y1212">
        <v>0.2496264</v>
      </c>
      <c r="Z1212">
        <v>2.9558770000000002E-2</v>
      </c>
      <c r="AA1212">
        <v>0.96789099999999995</v>
      </c>
      <c r="AB1212">
        <v>28</v>
      </c>
      <c r="AC1212">
        <v>-12.549499999999901</v>
      </c>
      <c r="AD1212">
        <v>-1.098197355375</v>
      </c>
      <c r="AE1212">
        <v>0.38229999999998598</v>
      </c>
      <c r="AF1212">
        <v>3.32789373747132</v>
      </c>
      <c r="AG1212">
        <v>-1.098197355375</v>
      </c>
      <c r="AH1212">
        <v>12.0073541460652</v>
      </c>
      <c r="AI1212">
        <v>95.036912588773106</v>
      </c>
      <c r="AJ1212">
        <v>74.5090407479709</v>
      </c>
      <c r="AK1212">
        <v>12.5082959570152</v>
      </c>
    </row>
    <row r="1213" spans="1:37" x14ac:dyDescent="0.2">
      <c r="A1213" t="str">
        <f>"20200111150609598"</f>
        <v>20200111150609598</v>
      </c>
      <c r="B1213" t="str">
        <f>"1578726369587443"</f>
        <v>1578726369587443</v>
      </c>
      <c r="C1213" t="s">
        <v>37</v>
      </c>
      <c r="D1213">
        <v>7.6979369999999996</v>
      </c>
      <c r="E1213">
        <v>0.45732040000000002</v>
      </c>
      <c r="F1213" t="s">
        <v>38</v>
      </c>
      <c r="G1213">
        <v>-210.17150000000001</v>
      </c>
      <c r="H1213">
        <v>0.84661260000000005</v>
      </c>
      <c r="I1213">
        <v>143.15020000000001</v>
      </c>
      <c r="J1213">
        <v>-209.619</v>
      </c>
      <c r="K1213">
        <v>1.0981889999999901</v>
      </c>
      <c r="L1213">
        <v>143.24440000000001</v>
      </c>
      <c r="M1213">
        <v>-0.9728116</v>
      </c>
      <c r="N1213">
        <v>0</v>
      </c>
      <c r="O1213">
        <v>-0.231406</v>
      </c>
      <c r="P1213">
        <v>-0.98802230000000002</v>
      </c>
      <c r="Q1213">
        <v>0.12801560000000001</v>
      </c>
      <c r="R1213">
        <v>-8.6164740000000004E-2</v>
      </c>
      <c r="S1213">
        <v>-3.102112</v>
      </c>
      <c r="T1213">
        <v>-0.93808449999999999</v>
      </c>
      <c r="U1213">
        <v>-0.58074950000000003</v>
      </c>
      <c r="V1213">
        <v>0.1464394</v>
      </c>
      <c r="W1213">
        <v>0.13554379999999999</v>
      </c>
      <c r="X1213">
        <v>0.97988949999999997</v>
      </c>
      <c r="Y1213">
        <v>3.710078E-2</v>
      </c>
      <c r="Z1213">
        <v>7.251051E-2</v>
      </c>
      <c r="AA1213">
        <v>0.99667729999999999</v>
      </c>
      <c r="AB1213">
        <v>28</v>
      </c>
      <c r="AC1213">
        <v>-0.55249999999998001</v>
      </c>
      <c r="AD1213">
        <v>-0.25157639999999898</v>
      </c>
      <c r="AE1213">
        <v>-9.42000000000007E-2</v>
      </c>
      <c r="AF1213">
        <v>3.0141651056440101E-2</v>
      </c>
      <c r="AG1213">
        <v>-0.25157639999999898</v>
      </c>
      <c r="AH1213">
        <v>0.46551087571623501</v>
      </c>
      <c r="AI1213">
        <v>118.33804873290801</v>
      </c>
      <c r="AJ1213">
        <v>86.295291773144299</v>
      </c>
      <c r="AK1213">
        <v>0.52999960337293095</v>
      </c>
    </row>
    <row r="1214" spans="1:37" x14ac:dyDescent="0.2">
      <c r="A1214" t="str">
        <f>"20200111150609620"</f>
        <v>20200111150609620</v>
      </c>
      <c r="B1214" t="str">
        <f>"1578726369617699"</f>
        <v>1578726369617699</v>
      </c>
      <c r="C1214" t="s">
        <v>37</v>
      </c>
      <c r="D1214">
        <v>4.7151719999999999</v>
      </c>
      <c r="E1214">
        <v>0.49808619999999998</v>
      </c>
      <c r="F1214" t="s">
        <v>38</v>
      </c>
      <c r="G1214">
        <v>-210.4486</v>
      </c>
      <c r="H1214">
        <v>0.91272799999999998</v>
      </c>
      <c r="I1214">
        <v>143.08240000000001</v>
      </c>
      <c r="J1214">
        <v>-209.9</v>
      </c>
      <c r="K1214">
        <v>1.0981920000000001</v>
      </c>
      <c r="L1214">
        <v>143.18450000000001</v>
      </c>
      <c r="M1214">
        <v>-0.97427459999999899</v>
      </c>
      <c r="N1214">
        <v>0</v>
      </c>
      <c r="O1214">
        <v>-0.225166899999999</v>
      </c>
      <c r="P1214">
        <v>-0.9876161</v>
      </c>
      <c r="Q1214">
        <v>0.13329869999999999</v>
      </c>
      <c r="R1214">
        <v>-8.2740809999999998E-2</v>
      </c>
      <c r="S1214">
        <v>-3.0729829999999998</v>
      </c>
      <c r="T1214">
        <v>-0.6867394</v>
      </c>
      <c r="U1214">
        <v>-0.6006165</v>
      </c>
      <c r="V1214">
        <v>0.1434619</v>
      </c>
      <c r="W1214">
        <v>0.140854799999999</v>
      </c>
      <c r="X1214">
        <v>0.97958080000000003</v>
      </c>
      <c r="Y1214">
        <v>2.8213619999999998E-2</v>
      </c>
      <c r="Z1214">
        <v>5.1758779999999997E-2</v>
      </c>
      <c r="AA1214">
        <v>0.99826099999999995</v>
      </c>
      <c r="AB1214">
        <v>28</v>
      </c>
      <c r="AC1214">
        <v>-0.54859999999999298</v>
      </c>
      <c r="AD1214">
        <v>-0.18546399999999999</v>
      </c>
      <c r="AE1214">
        <v>-0.102100000000007</v>
      </c>
      <c r="AF1214">
        <v>2.16613953555207E-2</v>
      </c>
      <c r="AG1214">
        <v>-0.18546399999999999</v>
      </c>
      <c r="AH1214">
        <v>0.50204374244648897</v>
      </c>
      <c r="AI1214">
        <v>110.257824357478</v>
      </c>
      <c r="AJ1214">
        <v>87.529423967450498</v>
      </c>
      <c r="AK1214">
        <v>0.53564356681885394</v>
      </c>
    </row>
    <row r="1215" spans="1:37" x14ac:dyDescent="0.2">
      <c r="A1215" t="str">
        <f>"20200111150609642"</f>
        <v>20200111150609642</v>
      </c>
      <c r="B1215" t="str">
        <f>"1578726369637219"</f>
        <v>1578726369637219</v>
      </c>
      <c r="C1215" t="s">
        <v>37</v>
      </c>
      <c r="D1215">
        <v>5.1326519999999896</v>
      </c>
      <c r="E1215">
        <v>0.49576140000000002</v>
      </c>
      <c r="F1215" t="s">
        <v>39</v>
      </c>
      <c r="G1215">
        <v>-260.61279999999999</v>
      </c>
      <c r="H1215" s="1">
        <v>-4.166635E-6</v>
      </c>
      <c r="I1215">
        <v>138.72970000000001</v>
      </c>
      <c r="J1215">
        <v>-210.17250000000001</v>
      </c>
      <c r="K1215">
        <v>1.0981860000000001</v>
      </c>
      <c r="L1215">
        <v>143.12819999999999</v>
      </c>
      <c r="M1215">
        <v>-0.97565199999999996</v>
      </c>
      <c r="N1215">
        <v>0</v>
      </c>
      <c r="O1215">
        <v>-0.21912139999999999</v>
      </c>
      <c r="P1215">
        <v>-0.98758519999999905</v>
      </c>
      <c r="Q1215">
        <v>0.13624710000000001</v>
      </c>
      <c r="R1215">
        <v>-7.8181410000000007E-2</v>
      </c>
      <c r="S1215">
        <v>-3.0242</v>
      </c>
      <c r="T1215">
        <v>-6.5489770000000003E-2</v>
      </c>
      <c r="U1215">
        <v>-0.26565549999999999</v>
      </c>
      <c r="V1215">
        <v>0.1418595</v>
      </c>
      <c r="W1215">
        <v>0.1438151</v>
      </c>
      <c r="X1215">
        <v>0.97938400000000003</v>
      </c>
      <c r="Y1215">
        <v>0.13283029999999901</v>
      </c>
      <c r="Z1215">
        <v>6.130524E-3</v>
      </c>
      <c r="AA1215">
        <v>0.99111990000000005</v>
      </c>
      <c r="AB1215">
        <v>28</v>
      </c>
      <c r="AC1215">
        <v>-50.440299999999901</v>
      </c>
      <c r="AD1215">
        <v>-1.098190166635</v>
      </c>
      <c r="AE1215">
        <v>-4.3984999999999799</v>
      </c>
      <c r="AF1215">
        <v>6.7582652782414296</v>
      </c>
      <c r="AG1215">
        <v>-1.098190166635</v>
      </c>
      <c r="AH1215">
        <v>50.154622663538802</v>
      </c>
      <c r="AI1215">
        <v>91.243121695858903</v>
      </c>
      <c r="AJ1215">
        <v>82.325698941353295</v>
      </c>
      <c r="AK1215">
        <v>50.619821668345899</v>
      </c>
    </row>
    <row r="1216" spans="1:37" x14ac:dyDescent="0.2">
      <c r="A1216" t="str">
        <f>"20200111150609664"</f>
        <v>20200111150609664</v>
      </c>
      <c r="B1216" t="str">
        <f>"1578726369657715"</f>
        <v>1578726369657715</v>
      </c>
      <c r="C1216" t="s">
        <v>37</v>
      </c>
      <c r="D1216">
        <v>5.1217059999999996</v>
      </c>
      <c r="E1216">
        <v>0.49558099999999999</v>
      </c>
      <c r="F1216" t="s">
        <v>46</v>
      </c>
      <c r="G1216">
        <v>-490.8306</v>
      </c>
      <c r="H1216">
        <v>-0.05</v>
      </c>
      <c r="I1216">
        <v>117.9624</v>
      </c>
      <c r="J1216">
        <v>-210.45410000000001</v>
      </c>
      <c r="K1216">
        <v>1.0981889999999901</v>
      </c>
      <c r="L1216">
        <v>143.0718</v>
      </c>
      <c r="M1216">
        <v>-0.97703359999999995</v>
      </c>
      <c r="N1216">
        <v>0</v>
      </c>
      <c r="O1216">
        <v>-0.2128767</v>
      </c>
      <c r="P1216">
        <v>-0.98772409999999999</v>
      </c>
      <c r="Q1216">
        <v>0.13855590000000001</v>
      </c>
      <c r="R1216">
        <v>-7.2135340000000006E-2</v>
      </c>
      <c r="S1216">
        <v>-3.0179900000000002</v>
      </c>
      <c r="T1216">
        <v>-1.234674E-2</v>
      </c>
      <c r="U1216">
        <v>-0.27061459999999998</v>
      </c>
      <c r="V1216">
        <v>0.1415537</v>
      </c>
      <c r="W1216">
        <v>0.1461152</v>
      </c>
      <c r="X1216">
        <v>0.97908779999999995</v>
      </c>
      <c r="Y1216">
        <v>0.12477100000000001</v>
      </c>
      <c r="Z1216">
        <v>1.1167919999999999E-3</v>
      </c>
      <c r="AA1216">
        <v>0.99218490000000004</v>
      </c>
      <c r="AB1216">
        <v>29</v>
      </c>
      <c r="AC1216">
        <v>-280.37650000000002</v>
      </c>
      <c r="AD1216">
        <v>-1.1481889999999999</v>
      </c>
      <c r="AE1216">
        <v>-25.109399999999901</v>
      </c>
      <c r="AF1216">
        <v>35.153873608310697</v>
      </c>
      <c r="AG1216">
        <v>-1.1481889999999999</v>
      </c>
      <c r="AH1216">
        <v>279.29022947604</v>
      </c>
      <c r="AI1216">
        <v>90.233703160974102</v>
      </c>
      <c r="AJ1216">
        <v>82.825986742007899</v>
      </c>
      <c r="AK1216">
        <v>281.49626187292102</v>
      </c>
    </row>
    <row r="1217" spans="1:37" x14ac:dyDescent="0.2">
      <c r="A1217" t="str">
        <f>"20200111150609686"</f>
        <v>20200111150609686</v>
      </c>
      <c r="B1217" t="str">
        <f>"1578726369677235"</f>
        <v>1578726369677235</v>
      </c>
      <c r="C1217" t="s">
        <v>37</v>
      </c>
      <c r="D1217">
        <v>5.1300739999999996</v>
      </c>
      <c r="E1217">
        <v>0.49805240000000001</v>
      </c>
      <c r="F1217" t="s">
        <v>53</v>
      </c>
      <c r="G1217">
        <v>0</v>
      </c>
      <c r="H1217">
        <v>0</v>
      </c>
      <c r="I1217">
        <v>0</v>
      </c>
      <c r="J1217">
        <v>-210.74289999999999</v>
      </c>
      <c r="K1217">
        <v>1.0981879999999999</v>
      </c>
      <c r="L1217">
        <v>143.01580000000001</v>
      </c>
      <c r="M1217">
        <v>-0.97840519999999997</v>
      </c>
      <c r="N1217">
        <v>0</v>
      </c>
      <c r="O1217">
        <v>-0.20648029999999901</v>
      </c>
      <c r="P1217">
        <v>-0.9878169</v>
      </c>
      <c r="Q1217">
        <v>0.1404077</v>
      </c>
      <c r="R1217">
        <v>-6.7106550000000001E-2</v>
      </c>
      <c r="S1217">
        <v>-3.0081020000000001</v>
      </c>
      <c r="T1217">
        <v>7.5418949999999998E-2</v>
      </c>
      <c r="U1217">
        <v>-0.25454710000000003</v>
      </c>
      <c r="V1217">
        <v>0.1401029</v>
      </c>
      <c r="W1217">
        <v>0.14797299999999999</v>
      </c>
      <c r="X1217">
        <v>0.97901740000000004</v>
      </c>
      <c r="Y1217">
        <v>0.1231505</v>
      </c>
      <c r="Z1217">
        <v>-6.6685069999999997E-3</v>
      </c>
      <c r="AA1217">
        <v>0.99236559999999996</v>
      </c>
      <c r="AB1217">
        <v>29</v>
      </c>
      <c r="AC1217">
        <v>-3.0081020000000001</v>
      </c>
      <c r="AD1217">
        <v>7.5418949999999998E-2</v>
      </c>
      <c r="AE1217">
        <v>-0.25454710000000003</v>
      </c>
      <c r="AF1217">
        <v>0.371848100360682</v>
      </c>
      <c r="AG1217">
        <v>7.5418949999999998E-2</v>
      </c>
      <c r="AH1217">
        <v>2.9939665101875499</v>
      </c>
      <c r="AI1217">
        <v>88.568004287654901</v>
      </c>
      <c r="AJ1217">
        <v>82.920167404321205</v>
      </c>
      <c r="AK1217">
        <v>3.0179122737226098</v>
      </c>
    </row>
    <row r="1218" spans="1:37" x14ac:dyDescent="0.2">
      <c r="A1218" t="str">
        <f>"20200111150609710"</f>
        <v>20200111150609710</v>
      </c>
      <c r="B1218" t="str">
        <f>"1578726369707491"</f>
        <v>1578726369707491</v>
      </c>
      <c r="C1218" t="s">
        <v>37</v>
      </c>
      <c r="D1218">
        <v>5.2133370000000001</v>
      </c>
      <c r="E1218">
        <v>0.49947439999999999</v>
      </c>
      <c r="F1218" t="s">
        <v>53</v>
      </c>
      <c r="G1218">
        <v>0</v>
      </c>
      <c r="H1218">
        <v>0</v>
      </c>
      <c r="I1218">
        <v>0</v>
      </c>
      <c r="J1218">
        <v>-211.0341</v>
      </c>
      <c r="K1218">
        <v>1.09819</v>
      </c>
      <c r="L1218">
        <v>142.96129999999999</v>
      </c>
      <c r="M1218">
        <v>-0.9797418</v>
      </c>
      <c r="N1218">
        <v>0</v>
      </c>
      <c r="O1218">
        <v>-0.2000429</v>
      </c>
      <c r="P1218">
        <v>-0.98789939999999998</v>
      </c>
      <c r="Q1218">
        <v>0.14188299999999901</v>
      </c>
      <c r="R1218">
        <v>-6.2642119999999996E-2</v>
      </c>
      <c r="S1218">
        <v>-3.0121150000000001</v>
      </c>
      <c r="T1218">
        <v>6.9957489999999997E-2</v>
      </c>
      <c r="U1218">
        <v>-0.21992489999999901</v>
      </c>
      <c r="V1218">
        <v>0.13806589999999999</v>
      </c>
      <c r="W1218">
        <v>0.1494635</v>
      </c>
      <c r="X1218">
        <v>0.97908039999999996</v>
      </c>
      <c r="Y1218">
        <v>0.12808599999999901</v>
      </c>
      <c r="Z1218">
        <v>-6.09261E-3</v>
      </c>
      <c r="AA1218">
        <v>0.99174430000000002</v>
      </c>
      <c r="AB1218">
        <v>29</v>
      </c>
      <c r="AC1218">
        <v>-3.0121150000000001</v>
      </c>
      <c r="AD1218">
        <v>6.9957489999999997E-2</v>
      </c>
      <c r="AE1218">
        <v>-0.21992489999999901</v>
      </c>
      <c r="AF1218">
        <v>0.38689220845178901</v>
      </c>
      <c r="AG1218">
        <v>6.9957489999999997E-2</v>
      </c>
      <c r="AH1218">
        <v>2.99361619538587</v>
      </c>
      <c r="AI1218">
        <v>88.672342678402003</v>
      </c>
      <c r="AJ1218">
        <v>82.635964882771702</v>
      </c>
      <c r="AK1218">
        <v>3.0193240231290801</v>
      </c>
    </row>
    <row r="1219" spans="1:37" x14ac:dyDescent="0.2">
      <c r="A1219" t="str">
        <f>"20200111150609731"</f>
        <v>20200111150609731</v>
      </c>
      <c r="B1219" t="str">
        <f>"1578726369727987"</f>
        <v>1578726369727987</v>
      </c>
      <c r="C1219" t="s">
        <v>37</v>
      </c>
      <c r="D1219">
        <v>5.2124620000000004</v>
      </c>
      <c r="E1219">
        <v>0.4987568</v>
      </c>
      <c r="F1219" t="s">
        <v>53</v>
      </c>
      <c r="G1219">
        <v>0</v>
      </c>
      <c r="H1219">
        <v>0</v>
      </c>
      <c r="I1219">
        <v>0</v>
      </c>
      <c r="J1219">
        <v>-211.30850000000001</v>
      </c>
      <c r="K1219">
        <v>1.0981799999999999</v>
      </c>
      <c r="L1219">
        <v>142.9118</v>
      </c>
      <c r="M1219">
        <v>-0.9809582</v>
      </c>
      <c r="N1219">
        <v>0</v>
      </c>
      <c r="O1219">
        <v>-0.19399029999999901</v>
      </c>
      <c r="P1219">
        <v>-0.98790140000000004</v>
      </c>
      <c r="Q1219">
        <v>0.1432956</v>
      </c>
      <c r="R1219">
        <v>-5.9305660000000003E-2</v>
      </c>
      <c r="S1219">
        <v>-3.0082399999999998</v>
      </c>
      <c r="T1219">
        <v>0.1124047</v>
      </c>
      <c r="U1219">
        <v>-0.1950836</v>
      </c>
      <c r="V1219">
        <v>0.135302799999999</v>
      </c>
      <c r="W1219">
        <v>0.15090329999999999</v>
      </c>
      <c r="X1219">
        <v>0.97924529999999999</v>
      </c>
      <c r="Y1219">
        <v>0.12988479999999999</v>
      </c>
      <c r="Z1219">
        <v>-9.6159350000000008E-3</v>
      </c>
      <c r="AA1219">
        <v>0.99148239999999999</v>
      </c>
      <c r="AB1219">
        <v>29</v>
      </c>
      <c r="AC1219">
        <v>-3.0082399999999998</v>
      </c>
      <c r="AD1219">
        <v>0.1124047</v>
      </c>
      <c r="AE1219">
        <v>-0.1950836</v>
      </c>
      <c r="AF1219">
        <v>0.39167337298362798</v>
      </c>
      <c r="AG1219">
        <v>0.1124047</v>
      </c>
      <c r="AH1219">
        <v>2.9847848242230999</v>
      </c>
      <c r="AI1219">
        <v>87.8616193621842</v>
      </c>
      <c r="AJ1219">
        <v>82.524172483900202</v>
      </c>
      <c r="AK1219">
        <v>3.0124712935726001</v>
      </c>
    </row>
    <row r="1220" spans="1:37" x14ac:dyDescent="0.2">
      <c r="A1220" t="str">
        <f>"20200111150609755"</f>
        <v>20200111150609755</v>
      </c>
      <c r="B1220" t="str">
        <f>"1578726369747509"</f>
        <v>1578726369747509</v>
      </c>
      <c r="C1220" t="s">
        <v>37</v>
      </c>
      <c r="D1220">
        <v>5.2023779999999897</v>
      </c>
      <c r="E1220">
        <v>0.49914969999999997</v>
      </c>
      <c r="F1220" t="s">
        <v>53</v>
      </c>
      <c r="G1220">
        <v>0</v>
      </c>
      <c r="H1220">
        <v>0</v>
      </c>
      <c r="I1220">
        <v>0</v>
      </c>
      <c r="J1220">
        <v>-211.60230000000001</v>
      </c>
      <c r="K1220">
        <v>1.0981730000000001</v>
      </c>
      <c r="L1220">
        <v>142.86070000000001</v>
      </c>
      <c r="M1220">
        <v>-0.982212999999999</v>
      </c>
      <c r="N1220">
        <v>0</v>
      </c>
      <c r="O1220">
        <v>-0.1875339</v>
      </c>
      <c r="P1220">
        <v>-0.98810089999999995</v>
      </c>
      <c r="Q1220">
        <v>0.14342729999999901</v>
      </c>
      <c r="R1220">
        <v>-5.5546320000000003E-2</v>
      </c>
      <c r="S1220">
        <v>-3.016235</v>
      </c>
      <c r="T1220">
        <v>6.1907530000000002E-2</v>
      </c>
      <c r="U1220">
        <v>-0.19203190000000001</v>
      </c>
      <c r="V1220">
        <v>0.13258249999999999</v>
      </c>
      <c r="W1220">
        <v>0.15106449999999999</v>
      </c>
      <c r="X1220">
        <v>0.97959240000000003</v>
      </c>
      <c r="Y1220">
        <v>0.1246883</v>
      </c>
      <c r="Z1220">
        <v>-5.10021E-3</v>
      </c>
      <c r="AA1220">
        <v>0.99218289999999998</v>
      </c>
      <c r="AB1220">
        <v>29</v>
      </c>
      <c r="AC1220">
        <v>-3.016235</v>
      </c>
      <c r="AD1220">
        <v>6.1907530000000002E-2</v>
      </c>
      <c r="AE1220">
        <v>-0.19203190000000001</v>
      </c>
      <c r="AF1220">
        <v>0.37688866943927202</v>
      </c>
      <c r="AG1220">
        <v>6.1907530000000002E-2</v>
      </c>
      <c r="AH1220">
        <v>2.9974730179703299</v>
      </c>
      <c r="AI1220">
        <v>88.826065318398193</v>
      </c>
      <c r="AJ1220">
        <v>82.8334965588964</v>
      </c>
      <c r="AK1220">
        <v>3.0217084745028902</v>
      </c>
    </row>
    <row r="1221" spans="1:37" x14ac:dyDescent="0.2">
      <c r="A1221" t="str">
        <f>"20200111150609777"</f>
        <v>20200111150609777</v>
      </c>
      <c r="B1221" t="str">
        <f>"1578726369768003"</f>
        <v>1578726369768003</v>
      </c>
      <c r="C1221" t="s">
        <v>37</v>
      </c>
      <c r="D1221">
        <v>5.2090839999999998</v>
      </c>
      <c r="E1221">
        <v>0.49933459999999902</v>
      </c>
      <c r="F1221" t="s">
        <v>53</v>
      </c>
      <c r="G1221">
        <v>0</v>
      </c>
      <c r="H1221">
        <v>0</v>
      </c>
      <c r="I1221">
        <v>0</v>
      </c>
      <c r="J1221">
        <v>-211.90190000000001</v>
      </c>
      <c r="K1221">
        <v>1.0981719999999999</v>
      </c>
      <c r="L1221">
        <v>142.8107</v>
      </c>
      <c r="M1221">
        <v>-0.98344290000000001</v>
      </c>
      <c r="N1221">
        <v>0</v>
      </c>
      <c r="O1221">
        <v>-0.18097369999999999</v>
      </c>
      <c r="P1221">
        <v>-0.98836139999999995</v>
      </c>
      <c r="Q1221">
        <v>0.14313419999999999</v>
      </c>
      <c r="R1221">
        <v>-5.15211E-2</v>
      </c>
      <c r="S1221">
        <v>-3.021881</v>
      </c>
      <c r="T1221">
        <v>2.9324889999999999E-2</v>
      </c>
      <c r="U1221">
        <v>-0.177764899999999</v>
      </c>
      <c r="V1221">
        <v>0.1300346</v>
      </c>
      <c r="W1221">
        <v>0.1508005</v>
      </c>
      <c r="X1221">
        <v>0.97997459999999903</v>
      </c>
      <c r="Y1221">
        <v>0.1229006</v>
      </c>
      <c r="Z1221">
        <v>-2.3408869999999998E-3</v>
      </c>
      <c r="AA1221">
        <v>0.99241619999999997</v>
      </c>
      <c r="AB1221">
        <v>29</v>
      </c>
      <c r="AC1221">
        <v>-3.021881</v>
      </c>
      <c r="AD1221">
        <v>2.9324889999999999E-2</v>
      </c>
      <c r="AE1221">
        <v>-0.177764899999999</v>
      </c>
      <c r="AF1221">
        <v>0.37204092208093398</v>
      </c>
      <c r="AG1221">
        <v>2.9324889999999999E-2</v>
      </c>
      <c r="AH1221">
        <v>3.0038693436736401</v>
      </c>
      <c r="AI1221">
        <v>89.444916017774801</v>
      </c>
      <c r="AJ1221">
        <v>82.9396493921938</v>
      </c>
      <c r="AK1221">
        <v>3.0269630705938</v>
      </c>
    </row>
    <row r="1222" spans="1:37" x14ac:dyDescent="0.2">
      <c r="A1222" t="str">
        <f>"20200111150609799"</f>
        <v>20200111150609799</v>
      </c>
      <c r="B1222" t="str">
        <f>"1578726369788500"</f>
        <v>1578726369788500</v>
      </c>
      <c r="C1222" t="s">
        <v>37</v>
      </c>
      <c r="D1222">
        <v>5.1746150000000002</v>
      </c>
      <c r="E1222">
        <v>0.49936570000000002</v>
      </c>
      <c r="F1222" t="s">
        <v>53</v>
      </c>
      <c r="G1222">
        <v>0</v>
      </c>
      <c r="H1222">
        <v>0</v>
      </c>
      <c r="I1222">
        <v>0</v>
      </c>
      <c r="J1222">
        <v>-212.17250000000001</v>
      </c>
      <c r="K1222">
        <v>1.0981730000000001</v>
      </c>
      <c r="L1222">
        <v>142.7672</v>
      </c>
      <c r="M1222">
        <v>-0.98451239999999995</v>
      </c>
      <c r="N1222">
        <v>0</v>
      </c>
      <c r="O1222">
        <v>-0.1750631</v>
      </c>
      <c r="P1222">
        <v>-0.98831899999999995</v>
      </c>
      <c r="Q1222">
        <v>0.14410390000000001</v>
      </c>
      <c r="R1222">
        <v>-4.9594720000000002E-2</v>
      </c>
      <c r="S1222">
        <v>-3.026672</v>
      </c>
      <c r="T1222">
        <v>7.4064729999999998E-4</v>
      </c>
      <c r="U1222">
        <v>-0.163970899999999</v>
      </c>
      <c r="V1222">
        <v>0.12603919999999999</v>
      </c>
      <c r="W1222">
        <v>0.1518177</v>
      </c>
      <c r="X1222">
        <v>0.98033950000000003</v>
      </c>
      <c r="Y1222">
        <v>0.12155389999999899</v>
      </c>
      <c r="Z1222" s="1">
        <v>-5.7454090000000002E-5</v>
      </c>
      <c r="AA1222">
        <v>0.99258480000000004</v>
      </c>
      <c r="AB1222">
        <v>29</v>
      </c>
      <c r="AC1222">
        <v>-3.026672</v>
      </c>
      <c r="AD1222">
        <v>7.4064729999999998E-4</v>
      </c>
      <c r="AE1222">
        <v>-0.163970899999999</v>
      </c>
      <c r="AF1222">
        <v>0.36844343376947197</v>
      </c>
      <c r="AG1222">
        <v>7.4064729999999998E-4</v>
      </c>
      <c r="AH1222">
        <v>3.0086339409483198</v>
      </c>
      <c r="AI1222">
        <v>89.985999860967397</v>
      </c>
      <c r="AJ1222">
        <v>83.018205647173005</v>
      </c>
      <c r="AK1222">
        <v>3.0311102426458301</v>
      </c>
    </row>
    <row r="1223" spans="1:37" x14ac:dyDescent="0.2">
      <c r="A1223" t="str">
        <f>"20200111150609822"</f>
        <v>20200111150609822</v>
      </c>
      <c r="B1223" t="str">
        <f>"1578726369817779"</f>
        <v>1578726369817779</v>
      </c>
      <c r="C1223" t="s">
        <v>37</v>
      </c>
      <c r="D1223">
        <v>6.0495219999999996</v>
      </c>
      <c r="E1223">
        <v>0.49940319999999999</v>
      </c>
      <c r="F1223" t="s">
        <v>55</v>
      </c>
      <c r="G1223">
        <v>-614.36320000000001</v>
      </c>
      <c r="H1223">
        <v>-0.1</v>
      </c>
      <c r="I1223">
        <v>121.82080000000001</v>
      </c>
      <c r="J1223">
        <v>-212.4785</v>
      </c>
      <c r="K1223">
        <v>1.098147</v>
      </c>
      <c r="L1223">
        <v>142.72</v>
      </c>
      <c r="M1223">
        <v>-0.98567359999999904</v>
      </c>
      <c r="N1223">
        <v>0</v>
      </c>
      <c r="O1223">
        <v>-0.16840269999999999</v>
      </c>
      <c r="P1223">
        <v>-0.98866089999999995</v>
      </c>
      <c r="Q1223">
        <v>0.14231839999999901</v>
      </c>
      <c r="R1223">
        <v>-4.7907150000000003E-2</v>
      </c>
      <c r="S1223">
        <v>-3.0288539999999999</v>
      </c>
      <c r="T1223">
        <v>-9.0233090000000002E-3</v>
      </c>
      <c r="U1223">
        <v>-0.15774540000000001</v>
      </c>
      <c r="V1223">
        <v>0.12110019999999901</v>
      </c>
      <c r="W1223">
        <v>0.1500957</v>
      </c>
      <c r="X1223">
        <v>0.98122679999999995</v>
      </c>
      <c r="Y1223">
        <v>0.1169134</v>
      </c>
      <c r="Z1223">
        <v>6.7305239999999997E-4</v>
      </c>
      <c r="AA1223">
        <v>0.99314190000000002</v>
      </c>
      <c r="AB1223">
        <v>29</v>
      </c>
      <c r="AC1223">
        <v>-401.88470000000001</v>
      </c>
      <c r="AD1223">
        <v>-1.1981470000000001</v>
      </c>
      <c r="AE1223">
        <v>-20.8992</v>
      </c>
      <c r="AF1223">
        <v>47.080335130666398</v>
      </c>
      <c r="AG1223">
        <v>-1.1981470000000001</v>
      </c>
      <c r="AH1223">
        <v>399.66068060846499</v>
      </c>
      <c r="AI1223">
        <v>90.170587572901297</v>
      </c>
      <c r="AJ1223">
        <v>83.281476688499197</v>
      </c>
      <c r="AK1223">
        <v>402.42595981953201</v>
      </c>
    </row>
    <row r="1224" spans="1:37" x14ac:dyDescent="0.2">
      <c r="A1224" t="str">
        <f>"20200111150609844"</f>
        <v>20200111150609844</v>
      </c>
      <c r="B1224" t="str">
        <f>"1578726369837299"</f>
        <v>1578726369837299</v>
      </c>
      <c r="C1224" t="s">
        <v>37</v>
      </c>
      <c r="D1224">
        <v>5.1671149999999999</v>
      </c>
      <c r="E1224">
        <v>0.49940319999999999</v>
      </c>
      <c r="F1224" t="s">
        <v>39</v>
      </c>
      <c r="G1224">
        <v>-328.01440000000002</v>
      </c>
      <c r="H1224" s="1">
        <v>-1.3724629999999901E-6</v>
      </c>
      <c r="I1224">
        <v>136.9453</v>
      </c>
      <c r="J1224">
        <v>-212.7628</v>
      </c>
      <c r="K1224">
        <v>1.0980909999999999</v>
      </c>
      <c r="L1224">
        <v>142.678</v>
      </c>
      <c r="M1224">
        <v>-0.98670740000000001</v>
      </c>
      <c r="N1224">
        <v>0</v>
      </c>
      <c r="O1224">
        <v>-0.1622355</v>
      </c>
      <c r="P1224">
        <v>-0.99012579999999994</v>
      </c>
      <c r="Q1224">
        <v>0.13198879999999999</v>
      </c>
      <c r="R1224">
        <v>-4.7222590000000002E-2</v>
      </c>
      <c r="S1224">
        <v>-3.0312189999999899</v>
      </c>
      <c r="T1224">
        <v>-2.8811219999999998E-2</v>
      </c>
      <c r="U1224">
        <v>-0.15150449999999999</v>
      </c>
      <c r="V1224">
        <v>0.1157435</v>
      </c>
      <c r="W1224">
        <v>0.1398469</v>
      </c>
      <c r="X1224">
        <v>0.98338510000000001</v>
      </c>
      <c r="Y1224">
        <v>0.11277039999999899</v>
      </c>
      <c r="Z1224">
        <v>2.0699809999999998E-3</v>
      </c>
      <c r="AA1224">
        <v>0.99361889999999997</v>
      </c>
      <c r="AB1224">
        <v>29</v>
      </c>
      <c r="AC1224">
        <v>-115.2516</v>
      </c>
      <c r="AD1224">
        <v>-1.0980923724629901</v>
      </c>
      <c r="AE1224">
        <v>-5.7326999999999897</v>
      </c>
      <c r="AF1224">
        <v>13.040797368741799</v>
      </c>
      <c r="AG1224">
        <v>-1.0980923724629901</v>
      </c>
      <c r="AH1224">
        <v>114.644325937462</v>
      </c>
      <c r="AI1224">
        <v>90.545260665358896</v>
      </c>
      <c r="AJ1224">
        <v>83.510495898013403</v>
      </c>
      <c r="AK1224">
        <v>115.38886286174299</v>
      </c>
    </row>
    <row r="1225" spans="1:37" x14ac:dyDescent="0.2">
      <c r="A1225" t="str">
        <f>"20200111150609867"</f>
        <v>20200111150609867</v>
      </c>
      <c r="B1225" t="str">
        <f>"1578726369857795"</f>
        <v>1578726369857795</v>
      </c>
      <c r="C1225" t="s">
        <v>37</v>
      </c>
      <c r="D1225">
        <v>5.311979</v>
      </c>
      <c r="E1225">
        <v>0.4236473</v>
      </c>
      <c r="F1225" t="s">
        <v>39</v>
      </c>
      <c r="G1225">
        <v>-267.80079999999998</v>
      </c>
      <c r="H1225" s="1">
        <v>-1.0247820000000001E-6</v>
      </c>
      <c r="I1225">
        <v>139.98830000000001</v>
      </c>
      <c r="J1225">
        <v>-213.05860000000001</v>
      </c>
      <c r="K1225">
        <v>1.0980700000000001</v>
      </c>
      <c r="L1225">
        <v>142.6361</v>
      </c>
      <c r="M1225">
        <v>-0.98773770000000005</v>
      </c>
      <c r="N1225">
        <v>0</v>
      </c>
      <c r="O1225">
        <v>-0.15584049999999999</v>
      </c>
      <c r="P1225">
        <v>-0.99082959999999998</v>
      </c>
      <c r="Q1225">
        <v>0.1262713</v>
      </c>
      <c r="R1225">
        <v>-4.8089149999999997E-2</v>
      </c>
      <c r="S1225">
        <v>-3.0309140000000001</v>
      </c>
      <c r="T1225">
        <v>-6.0471419999999998E-2</v>
      </c>
      <c r="U1225">
        <v>-0.1481171</v>
      </c>
      <c r="V1225">
        <v>0.1085489</v>
      </c>
      <c r="W1225">
        <v>0.1342284</v>
      </c>
      <c r="X1225">
        <v>0.98498730000000001</v>
      </c>
      <c r="Y1225">
        <v>0.10739559999999999</v>
      </c>
      <c r="Z1225">
        <v>4.16534E-3</v>
      </c>
      <c r="AA1225">
        <v>0.99420759999999897</v>
      </c>
      <c r="AB1225">
        <v>29</v>
      </c>
      <c r="AC1225">
        <v>-54.742199999999897</v>
      </c>
      <c r="AD1225">
        <v>-1.098071024782</v>
      </c>
      <c r="AE1225">
        <v>-2.6477999999999802</v>
      </c>
      <c r="AF1225">
        <v>5.9136063170617303</v>
      </c>
      <c r="AG1225">
        <v>-1.098071024782</v>
      </c>
      <c r="AH1225">
        <v>54.464102832379197</v>
      </c>
      <c r="AI1225">
        <v>91.148258168027098</v>
      </c>
      <c r="AJ1225">
        <v>83.803211365266407</v>
      </c>
      <c r="AK1225">
        <v>54.795209617124698</v>
      </c>
    </row>
    <row r="1226" spans="1:37" x14ac:dyDescent="0.2">
      <c r="A1226" t="str">
        <f>"20200111150609888"</f>
        <v>20200111150609888</v>
      </c>
      <c r="B1226" t="str">
        <f>"1578726369877316"</f>
        <v>1578726369877316</v>
      </c>
      <c r="C1226" t="s">
        <v>37</v>
      </c>
      <c r="D1226">
        <v>5.1788889999999999</v>
      </c>
      <c r="E1226">
        <v>0.41994019999999999</v>
      </c>
      <c r="F1226" t="s">
        <v>39</v>
      </c>
      <c r="G1226">
        <v>-235.20339999999999</v>
      </c>
      <c r="H1226" s="1">
        <v>-2.48819999999999E-6</v>
      </c>
      <c r="I1226">
        <v>137.08969999999999</v>
      </c>
      <c r="J1226">
        <v>-213.33340000000001</v>
      </c>
      <c r="K1226">
        <v>1.098087</v>
      </c>
      <c r="L1226">
        <v>142.59889999999999</v>
      </c>
      <c r="M1226">
        <v>-0.98865249999999905</v>
      </c>
      <c r="N1226">
        <v>0</v>
      </c>
      <c r="O1226">
        <v>-0.1499269</v>
      </c>
      <c r="P1226">
        <v>-0.99046990000000001</v>
      </c>
      <c r="Q1226">
        <v>0.12908989999999901</v>
      </c>
      <c r="R1226">
        <v>-4.8012260000000001E-2</v>
      </c>
      <c r="S1226">
        <v>-3.0101930000000001</v>
      </c>
      <c r="T1226">
        <v>-0.1492637</v>
      </c>
      <c r="U1226">
        <v>-0.75392150000000002</v>
      </c>
      <c r="V1226">
        <v>0.1027015</v>
      </c>
      <c r="W1226">
        <v>0.13711970000000001</v>
      </c>
      <c r="X1226">
        <v>0.98521599999999998</v>
      </c>
      <c r="Y1226">
        <v>-9.48267E-2</v>
      </c>
      <c r="Z1226">
        <v>4.9490230000000003E-3</v>
      </c>
      <c r="AA1226">
        <v>0.99548150000000002</v>
      </c>
      <c r="AB1226">
        <v>29</v>
      </c>
      <c r="AC1226">
        <v>-21.869999999999902</v>
      </c>
      <c r="AD1226">
        <v>-1.0980894882000001</v>
      </c>
      <c r="AE1226">
        <v>-5.5091999999999901</v>
      </c>
      <c r="AF1226">
        <v>-2.1627515957372498</v>
      </c>
      <c r="AG1226">
        <v>-1.0980894882000001</v>
      </c>
      <c r="AH1226">
        <v>22.395705782759901</v>
      </c>
      <c r="AI1226">
        <v>92.794058427927595</v>
      </c>
      <c r="AJ1226">
        <v>95.515944709108496</v>
      </c>
      <c r="AK1226">
        <v>22.5266715805266</v>
      </c>
    </row>
    <row r="1227" spans="1:37" x14ac:dyDescent="0.2">
      <c r="A1227" t="str">
        <f>"20200111150609911"</f>
        <v>20200111150609911</v>
      </c>
      <c r="B1227" t="str">
        <f>"1578726369907572"</f>
        <v>1578726369907572</v>
      </c>
      <c r="C1227" t="s">
        <v>37</v>
      </c>
      <c r="D1227">
        <v>5.2342529999999998</v>
      </c>
      <c r="E1227">
        <v>0.4186397</v>
      </c>
      <c r="F1227" t="s">
        <v>39</v>
      </c>
      <c r="G1227">
        <v>-233.83709999999999</v>
      </c>
      <c r="H1227" s="1">
        <v>-3.0406979999999999E-6</v>
      </c>
      <c r="I1227">
        <v>137.27930000000001</v>
      </c>
      <c r="J1227">
        <v>-213.62389999999999</v>
      </c>
      <c r="K1227">
        <v>1.0981030000000001</v>
      </c>
      <c r="L1227">
        <v>142.56139999999999</v>
      </c>
      <c r="M1227">
        <v>-0.98957580000000001</v>
      </c>
      <c r="N1227">
        <v>0</v>
      </c>
      <c r="O1227">
        <v>-0.14370629999999901</v>
      </c>
      <c r="P1227">
        <v>-0.99044639999999995</v>
      </c>
      <c r="Q1227">
        <v>0.13028339999999999</v>
      </c>
      <c r="R1227">
        <v>-4.5192509999999998E-2</v>
      </c>
      <c r="S1227">
        <v>-3.0120089999999999</v>
      </c>
      <c r="T1227">
        <v>-0.1613098</v>
      </c>
      <c r="U1227">
        <v>-0.78144840000000004</v>
      </c>
      <c r="V1227">
        <v>9.9295359999999999E-2</v>
      </c>
      <c r="W1227">
        <v>0.1383566</v>
      </c>
      <c r="X1227">
        <v>0.9853923</v>
      </c>
      <c r="Y1227">
        <v>-0.10946060000000001</v>
      </c>
      <c r="Z1227">
        <v>4.6306009999999998E-3</v>
      </c>
      <c r="AA1227">
        <v>0.99398030000000004</v>
      </c>
      <c r="AB1227">
        <v>29</v>
      </c>
      <c r="AC1227">
        <v>-20.213200000000001</v>
      </c>
      <c r="AD1227">
        <v>-1.0981060406980001</v>
      </c>
      <c r="AE1227">
        <v>-5.2820999999999803</v>
      </c>
      <c r="AF1227">
        <v>-2.31597830964943</v>
      </c>
      <c r="AG1227">
        <v>-1.0981060406980001</v>
      </c>
      <c r="AH1227">
        <v>20.705278619069599</v>
      </c>
      <c r="AI1227">
        <v>93.017061754336495</v>
      </c>
      <c r="AJ1227">
        <v>96.382261165449293</v>
      </c>
      <c r="AK1227">
        <v>20.863320807117098</v>
      </c>
    </row>
    <row r="1228" spans="1:37" x14ac:dyDescent="0.2">
      <c r="A1228" t="str">
        <f>"20200111150609933"</f>
        <v>20200111150609933</v>
      </c>
      <c r="B1228" t="str">
        <f>"1578726369928067"</f>
        <v>1578726369928067</v>
      </c>
      <c r="C1228" t="s">
        <v>37</v>
      </c>
      <c r="D1228">
        <v>6.2805179999999998</v>
      </c>
      <c r="E1228">
        <v>0.41750169999999998</v>
      </c>
      <c r="F1228" t="s">
        <v>39</v>
      </c>
      <c r="G1228">
        <v>-232.7911</v>
      </c>
      <c r="H1228" s="1">
        <v>-3.4338079999999999E-6</v>
      </c>
      <c r="I1228">
        <v>137.59299999999999</v>
      </c>
      <c r="J1228">
        <v>-213.93199999999999</v>
      </c>
      <c r="K1228">
        <v>1.098122</v>
      </c>
      <c r="L1228">
        <v>142.52359999999999</v>
      </c>
      <c r="M1228">
        <v>-0.99050509999999903</v>
      </c>
      <c r="N1228">
        <v>0</v>
      </c>
      <c r="O1228">
        <v>-0.13715479999999899</v>
      </c>
      <c r="P1228">
        <v>-0.99071189999999998</v>
      </c>
      <c r="Q1228">
        <v>0.12957469999999999</v>
      </c>
      <c r="R1228">
        <v>-4.1235319999999999E-2</v>
      </c>
      <c r="S1228">
        <v>-3.016006</v>
      </c>
      <c r="T1228">
        <v>-0.1727899</v>
      </c>
      <c r="U1228">
        <v>-0.78178409999999998</v>
      </c>
      <c r="V1228">
        <v>9.6706929999999997E-2</v>
      </c>
      <c r="W1228">
        <v>0.13768459999999999</v>
      </c>
      <c r="X1228">
        <v>0.98574379999999995</v>
      </c>
      <c r="Y1228">
        <v>-0.115806199999999</v>
      </c>
      <c r="Z1228">
        <v>4.4116499999999996E-3</v>
      </c>
      <c r="AA1228">
        <v>0.99326209999999904</v>
      </c>
      <c r="AB1228">
        <v>29</v>
      </c>
      <c r="AC1228">
        <v>-18.859099999999899</v>
      </c>
      <c r="AD1228">
        <v>-1.098125433808</v>
      </c>
      <c r="AE1228">
        <v>-4.9305999999999903</v>
      </c>
      <c r="AF1228">
        <v>-2.2900022105437801</v>
      </c>
      <c r="AG1228">
        <v>-1.098125433808</v>
      </c>
      <c r="AH1228">
        <v>19.295907144422799</v>
      </c>
      <c r="AI1228">
        <v>93.234525711534303</v>
      </c>
      <c r="AJ1228">
        <v>96.768099444420699</v>
      </c>
      <c r="AK1228">
        <v>19.462323142905099</v>
      </c>
    </row>
    <row r="1229" spans="1:37" x14ac:dyDescent="0.2">
      <c r="A1229" t="str">
        <f>"20200111150609955"</f>
        <v>20200111150609955</v>
      </c>
      <c r="B1229" t="str">
        <f>"1578726369947590"</f>
        <v>1578726369947590</v>
      </c>
      <c r="C1229" t="s">
        <v>37</v>
      </c>
      <c r="D1229">
        <v>5.2867050000000004</v>
      </c>
      <c r="E1229">
        <v>0.41723260000000001</v>
      </c>
      <c r="F1229" t="s">
        <v>39</v>
      </c>
      <c r="G1229">
        <v>-231.048</v>
      </c>
      <c r="H1229" s="1">
        <v>-4.0882969999999996E-6</v>
      </c>
      <c r="I1229">
        <v>138.1189</v>
      </c>
      <c r="J1229">
        <v>-214.2056</v>
      </c>
      <c r="K1229">
        <v>1.0981540000000001</v>
      </c>
      <c r="L1229">
        <v>142.49180000000001</v>
      </c>
      <c r="M1229">
        <v>-0.99128649999999996</v>
      </c>
      <c r="N1229">
        <v>0</v>
      </c>
      <c r="O1229">
        <v>-0.13138859999999999</v>
      </c>
      <c r="P1229">
        <v>-0.99054179999999903</v>
      </c>
      <c r="Q1229">
        <v>0.13166820000000001</v>
      </c>
      <c r="R1229">
        <v>-3.8606359999999999E-2</v>
      </c>
      <c r="S1229">
        <v>-3.0211030000000001</v>
      </c>
      <c r="T1229">
        <v>-0.19382769999999999</v>
      </c>
      <c r="U1229">
        <v>-0.77745059999999999</v>
      </c>
      <c r="V1229">
        <v>9.3563789999999994E-2</v>
      </c>
      <c r="W1229">
        <v>0.13981569999999999</v>
      </c>
      <c r="X1229">
        <v>0.98574709999999999</v>
      </c>
      <c r="Y1229">
        <v>-0.11983189999999901</v>
      </c>
      <c r="Z1229">
        <v>4.4557829999999996E-3</v>
      </c>
      <c r="AA1229">
        <v>0.99278419999999901</v>
      </c>
      <c r="AB1229">
        <v>29</v>
      </c>
      <c r="AC1229">
        <v>-16.842399999999898</v>
      </c>
      <c r="AD1229">
        <v>-1.0981580882969999</v>
      </c>
      <c r="AE1229">
        <v>-4.3729000000000102</v>
      </c>
      <c r="AF1229">
        <v>-2.1135728975914998</v>
      </c>
      <c r="AG1229">
        <v>-1.0981580882969999</v>
      </c>
      <c r="AH1229">
        <v>17.202439725293502</v>
      </c>
      <c r="AI1229">
        <v>93.625465569896406</v>
      </c>
      <c r="AJ1229">
        <v>97.004524381816594</v>
      </c>
      <c r="AK1229">
        <v>17.3665504370523</v>
      </c>
    </row>
    <row r="1230" spans="1:37" x14ac:dyDescent="0.2">
      <c r="A1230" t="str">
        <f>"20200111150609978"</f>
        <v>20200111150609978</v>
      </c>
      <c r="B1230" t="str">
        <f>"1578726369968082"</f>
        <v>1578726369968082</v>
      </c>
      <c r="C1230" t="s">
        <v>37</v>
      </c>
      <c r="D1230">
        <v>5.2401470000000003</v>
      </c>
      <c r="E1230">
        <v>0.41729820000000001</v>
      </c>
      <c r="F1230" t="s">
        <v>39</v>
      </c>
      <c r="G1230">
        <v>-232.2516</v>
      </c>
      <c r="H1230" s="1">
        <v>-3.6115909999999998E-6</v>
      </c>
      <c r="I1230">
        <v>137.8954</v>
      </c>
      <c r="J1230">
        <v>-214.5197</v>
      </c>
      <c r="K1230">
        <v>1.0981879999999999</v>
      </c>
      <c r="L1230">
        <v>142.4572</v>
      </c>
      <c r="M1230">
        <v>-0.99213449999999903</v>
      </c>
      <c r="N1230">
        <v>0</v>
      </c>
      <c r="O1230">
        <v>-0.124825299999999</v>
      </c>
      <c r="P1230">
        <v>-0.99010409999999904</v>
      </c>
      <c r="Q1230">
        <v>0.1359389</v>
      </c>
      <c r="R1230">
        <v>-3.4846330000000002E-2</v>
      </c>
      <c r="S1230">
        <v>-3.0230869999999999</v>
      </c>
      <c r="T1230">
        <v>-0.18396409999999999</v>
      </c>
      <c r="U1230">
        <v>-0.76997380000000004</v>
      </c>
      <c r="V1230">
        <v>9.0747250000000002E-2</v>
      </c>
      <c r="W1230">
        <v>0.14411099999999999</v>
      </c>
      <c r="X1230">
        <v>0.98539179999999904</v>
      </c>
      <c r="Y1230">
        <v>-0.1239194</v>
      </c>
      <c r="Z1230">
        <v>3.7188220000000001E-3</v>
      </c>
      <c r="AA1230">
        <v>0.99228530000000004</v>
      </c>
      <c r="AB1230">
        <v>29</v>
      </c>
      <c r="AC1230">
        <v>-17.7318999999999</v>
      </c>
      <c r="AD1230">
        <v>-1.098191611591</v>
      </c>
      <c r="AE1230">
        <v>-4.5617999999999999</v>
      </c>
      <c r="AF1230">
        <v>-2.30434082814251</v>
      </c>
      <c r="AG1230">
        <v>-1.098191611591</v>
      </c>
      <c r="AH1230">
        <v>18.097547203879099</v>
      </c>
      <c r="AI1230">
        <v>93.444807831807907</v>
      </c>
      <c r="AJ1230">
        <v>97.256361903612799</v>
      </c>
      <c r="AK1230">
        <v>18.276685319407498</v>
      </c>
    </row>
    <row r="1231" spans="1:37" x14ac:dyDescent="0.2">
      <c r="A1231" t="str">
        <f>"20200111150610000"</f>
        <v>20200111150610000</v>
      </c>
      <c r="B1231" t="str">
        <f>"1578726369997363"</f>
        <v>1578726369997363</v>
      </c>
      <c r="C1231" t="s">
        <v>37</v>
      </c>
      <c r="D1231">
        <v>5.2090540000000001</v>
      </c>
      <c r="E1231">
        <v>0.41743029999999998</v>
      </c>
      <c r="F1231" t="s">
        <v>39</v>
      </c>
      <c r="G1231">
        <v>-233.703</v>
      </c>
      <c r="H1231" s="1">
        <v>-3.0327460000000002E-6</v>
      </c>
      <c r="I1231">
        <v>137.64850000000001</v>
      </c>
      <c r="J1231">
        <v>-214.80019999999999</v>
      </c>
      <c r="K1231">
        <v>1.0982099999999999</v>
      </c>
      <c r="L1231">
        <v>142.42789999999999</v>
      </c>
      <c r="M1231">
        <v>-0.99284680000000003</v>
      </c>
      <c r="N1231">
        <v>0</v>
      </c>
      <c r="O1231">
        <v>-0.11902799999999999</v>
      </c>
      <c r="P1231">
        <v>-0.99015409999999904</v>
      </c>
      <c r="Q1231">
        <v>0.13622579999999901</v>
      </c>
      <c r="R1231">
        <v>-3.2211549999999999E-2</v>
      </c>
      <c r="S1231">
        <v>-3.0270540000000001</v>
      </c>
      <c r="T1231">
        <v>-0.17329059999999999</v>
      </c>
      <c r="U1231">
        <v>-0.75878909999999999</v>
      </c>
      <c r="V1231">
        <v>8.7597090000000002E-2</v>
      </c>
      <c r="W1231">
        <v>0.14442669999999999</v>
      </c>
      <c r="X1231">
        <v>0.98563060000000002</v>
      </c>
      <c r="Y1231">
        <v>-0.12594559999999999</v>
      </c>
      <c r="Z1231">
        <v>3.1215520000000001E-3</v>
      </c>
      <c r="AA1231">
        <v>0.99203220000000003</v>
      </c>
      <c r="AB1231">
        <v>29</v>
      </c>
      <c r="AC1231">
        <v>-18.902799999999999</v>
      </c>
      <c r="AD1231">
        <v>-1.098213032746</v>
      </c>
      <c r="AE1231">
        <v>-4.7793999999999803</v>
      </c>
      <c r="AF1231">
        <v>-2.4874671615894299</v>
      </c>
      <c r="AG1231">
        <v>-1.098213032746</v>
      </c>
      <c r="AH1231">
        <v>19.2761590103974</v>
      </c>
      <c r="AI1231">
        <v>93.234006971484504</v>
      </c>
      <c r="AJ1231">
        <v>97.353025019288296</v>
      </c>
      <c r="AK1231">
        <v>19.466994399223601</v>
      </c>
    </row>
    <row r="1232" spans="1:37" x14ac:dyDescent="0.2">
      <c r="A1232" t="str">
        <f>"20200111150610022"</f>
        <v>20200111150610022</v>
      </c>
      <c r="B1232" t="str">
        <f>"1578726370017859"</f>
        <v>1578726370017859</v>
      </c>
      <c r="C1232" t="s">
        <v>37</v>
      </c>
      <c r="D1232">
        <v>5.2788139999999997</v>
      </c>
      <c r="E1232">
        <v>0.41738559999999902</v>
      </c>
      <c r="F1232" t="s">
        <v>39</v>
      </c>
      <c r="G1232">
        <v>-234.21119999999999</v>
      </c>
      <c r="H1232" s="1">
        <v>-2.8204129999999999E-6</v>
      </c>
      <c r="I1232">
        <v>137.6164</v>
      </c>
      <c r="J1232">
        <v>-215.1011</v>
      </c>
      <c r="K1232">
        <v>1.0982289999999999</v>
      </c>
      <c r="L1232">
        <v>142.39830000000001</v>
      </c>
      <c r="M1232">
        <v>-0.99356250000000002</v>
      </c>
      <c r="N1232">
        <v>0</v>
      </c>
      <c r="O1232">
        <v>-0.1129006</v>
      </c>
      <c r="P1232">
        <v>-0.99042249999999998</v>
      </c>
      <c r="Q1232">
        <v>0.13457829999999901</v>
      </c>
      <c r="R1232">
        <v>-3.0857860000000001E-2</v>
      </c>
      <c r="S1232">
        <v>-3.0290219999999999</v>
      </c>
      <c r="T1232">
        <v>-0.17137239999999901</v>
      </c>
      <c r="U1232">
        <v>-0.7508087</v>
      </c>
      <c r="V1232">
        <v>8.2846840000000005E-2</v>
      </c>
      <c r="W1232">
        <v>0.14282229999999899</v>
      </c>
      <c r="X1232">
        <v>0.98627489999999995</v>
      </c>
      <c r="Y1232">
        <v>-0.129438</v>
      </c>
      <c r="Z1232">
        <v>2.6519579999999998E-3</v>
      </c>
      <c r="AA1232">
        <v>0.99158389999999996</v>
      </c>
      <c r="AB1232">
        <v>29</v>
      </c>
      <c r="AC1232">
        <v>-19.1100999999999</v>
      </c>
      <c r="AD1232">
        <v>-1.0982318204129999</v>
      </c>
      <c r="AE1232">
        <v>-4.7819000000000003</v>
      </c>
      <c r="AF1232">
        <v>-2.5856513039399398</v>
      </c>
      <c r="AG1232">
        <v>-1.0982318204129999</v>
      </c>
      <c r="AH1232">
        <v>19.467302591942001</v>
      </c>
      <c r="AI1232">
        <v>93.200821162325596</v>
      </c>
      <c r="AJ1232">
        <v>97.565755408820905</v>
      </c>
      <c r="AK1232">
        <v>19.668949539900801</v>
      </c>
    </row>
    <row r="1233" spans="1:37" x14ac:dyDescent="0.2">
      <c r="A1233" t="str">
        <f>"20200111150610045"</f>
        <v>20200111150610045</v>
      </c>
      <c r="B1233" t="str">
        <f>"1578726370037379"</f>
        <v>1578726370037379</v>
      </c>
      <c r="C1233" t="s">
        <v>37</v>
      </c>
      <c r="D1233">
        <v>5.229317</v>
      </c>
      <c r="E1233">
        <v>0.417491</v>
      </c>
      <c r="F1233" t="s">
        <v>39</v>
      </c>
      <c r="G1233">
        <v>-233.95689999999999</v>
      </c>
      <c r="H1233" s="1">
        <v>-2.9066389999999999E-6</v>
      </c>
      <c r="I1233">
        <v>137.74529999999999</v>
      </c>
      <c r="J1233">
        <v>-215.40180000000001</v>
      </c>
      <c r="K1233">
        <v>1.098271</v>
      </c>
      <c r="L1233">
        <v>142.37039999999999</v>
      </c>
      <c r="M1233">
        <v>-0.99422569999999999</v>
      </c>
      <c r="N1233">
        <v>0</v>
      </c>
      <c r="O1233">
        <v>-0.1069069</v>
      </c>
      <c r="P1233">
        <v>-0.99080789999999996</v>
      </c>
      <c r="Q1233">
        <v>0.1320684</v>
      </c>
      <c r="R1233">
        <v>-2.9288149999999999E-2</v>
      </c>
      <c r="S1233">
        <v>-3.0296939999999899</v>
      </c>
      <c r="T1233">
        <v>-0.17646020000000001</v>
      </c>
      <c r="U1233">
        <v>-0.74761959999999905</v>
      </c>
      <c r="V1233">
        <v>7.8438649999999999E-2</v>
      </c>
      <c r="W1233">
        <v>0.14034549999999901</v>
      </c>
      <c r="X1233">
        <v>0.98699059999999905</v>
      </c>
      <c r="Y1233">
        <v>-0.1343625</v>
      </c>
      <c r="Z1233">
        <v>2.2494070000000001E-3</v>
      </c>
      <c r="AA1233">
        <v>0.99092969999999903</v>
      </c>
      <c r="AB1233">
        <v>29</v>
      </c>
      <c r="AC1233">
        <v>-18.5550999999999</v>
      </c>
      <c r="AD1233">
        <v>-1.0982739066389999</v>
      </c>
      <c r="AE1233">
        <v>-4.6250999999999998</v>
      </c>
      <c r="AF1233">
        <v>-2.6062410496634101</v>
      </c>
      <c r="AG1233">
        <v>-1.0982739066389999</v>
      </c>
      <c r="AH1233">
        <v>18.880949822083</v>
      </c>
      <c r="AI1233">
        <v>93.297850263677702</v>
      </c>
      <c r="AJ1233">
        <v>97.8591860135638</v>
      </c>
      <c r="AK1233">
        <v>19.0915940708724</v>
      </c>
    </row>
    <row r="1234" spans="1:37" x14ac:dyDescent="0.2">
      <c r="A1234" t="str">
        <f>"20200111150610067"</f>
        <v>20200111150610067</v>
      </c>
      <c r="B1234" t="str">
        <f>"1578726370057878"</f>
        <v>1578726370057878</v>
      </c>
      <c r="C1234" t="s">
        <v>37</v>
      </c>
      <c r="D1234">
        <v>5.287687</v>
      </c>
      <c r="E1234">
        <v>0.41743950000000002</v>
      </c>
      <c r="F1234" t="s">
        <v>39</v>
      </c>
      <c r="G1234">
        <v>-233.227</v>
      </c>
      <c r="H1234" s="1">
        <v>-3.17401299999999E-6</v>
      </c>
      <c r="I1234">
        <v>138.00319999999999</v>
      </c>
      <c r="J1234">
        <v>-215.69829999999999</v>
      </c>
      <c r="K1234">
        <v>1.0983559999999899</v>
      </c>
      <c r="L1234">
        <v>142.34450000000001</v>
      </c>
      <c r="M1234">
        <v>-0.99482709999999996</v>
      </c>
      <c r="N1234">
        <v>0</v>
      </c>
      <c r="O1234">
        <v>-0.101162</v>
      </c>
      <c r="P1234">
        <v>-0.9910466</v>
      </c>
      <c r="Q1234">
        <v>0.1309167</v>
      </c>
      <c r="R1234">
        <v>-2.6222760000000001E-2</v>
      </c>
      <c r="S1234">
        <v>-3.03076199999999</v>
      </c>
      <c r="T1234">
        <v>-0.1867355</v>
      </c>
      <c r="U1234">
        <v>-0.74252320000000005</v>
      </c>
      <c r="V1234">
        <v>7.575498E-2</v>
      </c>
      <c r="W1234">
        <v>0.1392052</v>
      </c>
      <c r="X1234">
        <v>0.98736170000000001</v>
      </c>
      <c r="Y1234">
        <v>-0.13841029999999899</v>
      </c>
      <c r="Z1234">
        <v>1.912279E-3</v>
      </c>
      <c r="AA1234">
        <v>0.99037310000000001</v>
      </c>
      <c r="AB1234">
        <v>30</v>
      </c>
      <c r="AC1234">
        <v>-17.528700000000001</v>
      </c>
      <c r="AD1234">
        <v>-1.0983591740129901</v>
      </c>
      <c r="AE1234">
        <v>-4.3413000000000102</v>
      </c>
      <c r="AF1234">
        <v>-2.5363301249220802</v>
      </c>
      <c r="AG1234">
        <v>-1.0983591740129901</v>
      </c>
      <c r="AH1234">
        <v>17.812068276699399</v>
      </c>
      <c r="AI1234">
        <v>93.4934551646069</v>
      </c>
      <c r="AJ1234">
        <v>98.104090452429105</v>
      </c>
      <c r="AK1234">
        <v>18.025236189063602</v>
      </c>
    </row>
    <row r="1235" spans="1:37" x14ac:dyDescent="0.2">
      <c r="A1235" t="str">
        <f>"20200111150610090"</f>
        <v>20200111150610090</v>
      </c>
      <c r="B1235" t="str">
        <f>"1578726370088132"</f>
        <v>1578726370088132</v>
      </c>
      <c r="C1235" t="s">
        <v>37</v>
      </c>
      <c r="D1235">
        <v>5.1603859999999999</v>
      </c>
      <c r="E1235">
        <v>0.41743009999999903</v>
      </c>
      <c r="F1235" t="s">
        <v>39</v>
      </c>
      <c r="G1235">
        <v>-232.7578</v>
      </c>
      <c r="H1235" s="1">
        <v>-3.3373400000000001E-6</v>
      </c>
      <c r="I1235">
        <v>138.21719999999999</v>
      </c>
      <c r="J1235">
        <v>-215.99879999999999</v>
      </c>
      <c r="K1235">
        <v>1.098473</v>
      </c>
      <c r="L1235">
        <v>142.31979999999999</v>
      </c>
      <c r="M1235">
        <v>-0.9953824</v>
      </c>
      <c r="N1235">
        <v>0</v>
      </c>
      <c r="O1235">
        <v>-9.5546839999999994E-2</v>
      </c>
      <c r="P1235">
        <v>-0.99134869999999997</v>
      </c>
      <c r="Q1235">
        <v>0.1294043</v>
      </c>
      <c r="R1235">
        <v>-2.196538E-2</v>
      </c>
      <c r="S1235">
        <v>-3.0334629999999998</v>
      </c>
      <c r="T1235">
        <v>-0.19530629999999999</v>
      </c>
      <c r="U1235">
        <v>-0.733886699999999</v>
      </c>
      <c r="V1235">
        <v>7.4379000000000001E-2</v>
      </c>
      <c r="W1235">
        <v>0.13769020000000001</v>
      </c>
      <c r="X1235">
        <v>0.98767859999999996</v>
      </c>
      <c r="Y1235">
        <v>-0.14111009999999999</v>
      </c>
      <c r="Z1235">
        <v>1.560781E-3</v>
      </c>
      <c r="AA1235">
        <v>0.98999269999999995</v>
      </c>
      <c r="AB1235">
        <v>30</v>
      </c>
      <c r="AC1235">
        <v>-16.759</v>
      </c>
      <c r="AD1235">
        <v>-1.0984763373399999</v>
      </c>
      <c r="AE1235">
        <v>-4.10259999999999</v>
      </c>
      <c r="AF1235">
        <v>-2.4724697785801699</v>
      </c>
      <c r="AG1235">
        <v>-1.0984763373399999</v>
      </c>
      <c r="AH1235">
        <v>17.005398974832701</v>
      </c>
      <c r="AI1235">
        <v>93.657577551892501</v>
      </c>
      <c r="AJ1235">
        <v>98.272452118286097</v>
      </c>
      <c r="AK1235">
        <v>17.2192726722975</v>
      </c>
    </row>
    <row r="1236" spans="1:37" x14ac:dyDescent="0.2">
      <c r="A1236" t="str">
        <f>"20200111150610113"</f>
        <v>20200111150610113</v>
      </c>
      <c r="B1236" t="str">
        <f>"1578726370107651"</f>
        <v>1578726370107651</v>
      </c>
      <c r="C1236" t="s">
        <v>37</v>
      </c>
      <c r="D1236">
        <v>5.101159</v>
      </c>
      <c r="E1236">
        <v>0.41886610000000002</v>
      </c>
      <c r="F1236" t="s">
        <v>39</v>
      </c>
      <c r="G1236">
        <v>-232.49029999999999</v>
      </c>
      <c r="H1236" s="1">
        <v>-3.4194199999999902E-6</v>
      </c>
      <c r="I1236">
        <v>138.4016</v>
      </c>
      <c r="J1236">
        <v>-216.29939999999999</v>
      </c>
      <c r="K1236">
        <v>1.098624</v>
      </c>
      <c r="L1236">
        <v>142.29650000000001</v>
      </c>
      <c r="M1236">
        <v>-0.99588269999999901</v>
      </c>
      <c r="N1236">
        <v>0</v>
      </c>
      <c r="O1236">
        <v>-9.018806E-2</v>
      </c>
      <c r="P1236">
        <v>-0.99173579999999995</v>
      </c>
      <c r="Q1236">
        <v>0.12710050000000001</v>
      </c>
      <c r="R1236">
        <v>-1.7482319999999999E-2</v>
      </c>
      <c r="S1236">
        <v>-3.036575</v>
      </c>
      <c r="T1236">
        <v>-0.20226250000000001</v>
      </c>
      <c r="U1236">
        <v>-0.72145079999999995</v>
      </c>
      <c r="V1236">
        <v>7.3472179999999998E-2</v>
      </c>
      <c r="W1236">
        <v>0.13538039999999901</v>
      </c>
      <c r="X1236">
        <v>0.98806579999999999</v>
      </c>
      <c r="Y1236">
        <v>-0.14235200000000001</v>
      </c>
      <c r="Z1236">
        <v>1.226319E-3</v>
      </c>
      <c r="AA1236">
        <v>0.98981540000000001</v>
      </c>
      <c r="AB1236">
        <v>30</v>
      </c>
      <c r="AC1236">
        <v>-16.190899999999999</v>
      </c>
      <c r="AD1236">
        <v>-1.0986274194200001</v>
      </c>
      <c r="AE1236">
        <v>-3.8948999999999998</v>
      </c>
      <c r="AF1236">
        <v>-2.4082573190872898</v>
      </c>
      <c r="AG1236">
        <v>-1.0986274194200001</v>
      </c>
      <c r="AH1236">
        <v>16.404800817549798</v>
      </c>
      <c r="AI1236">
        <v>93.790860067848399</v>
      </c>
      <c r="AJ1236">
        <v>98.351481323447402</v>
      </c>
      <c r="AK1236">
        <v>16.616984545491999</v>
      </c>
    </row>
    <row r="1237" spans="1:37" x14ac:dyDescent="0.2">
      <c r="A1237" t="str">
        <f>"20200111150610136"</f>
        <v>20200111150610136</v>
      </c>
      <c r="B1237" t="str">
        <f>"1578726370127171"</f>
        <v>1578726370127171</v>
      </c>
      <c r="C1237" t="s">
        <v>37</v>
      </c>
      <c r="D1237">
        <v>5.2433069999999997</v>
      </c>
      <c r="E1237">
        <v>0.48981039999999998</v>
      </c>
      <c r="F1237" t="s">
        <v>39</v>
      </c>
      <c r="G1237">
        <v>-232.88849999999999</v>
      </c>
      <c r="H1237" s="1">
        <v>-3.2321170000000002E-6</v>
      </c>
      <c r="I1237">
        <v>138.49449999999999</v>
      </c>
      <c r="J1237">
        <v>-216.62540000000001</v>
      </c>
      <c r="K1237">
        <v>1.0988309999999999</v>
      </c>
      <c r="L1237">
        <v>142.27279999999999</v>
      </c>
      <c r="M1237">
        <v>-0.99636170000000002</v>
      </c>
      <c r="N1237">
        <v>0</v>
      </c>
      <c r="O1237">
        <v>-8.4739980000000006E-2</v>
      </c>
      <c r="P1237">
        <v>-0.99185689999999904</v>
      </c>
      <c r="Q1237">
        <v>0.1266987</v>
      </c>
      <c r="R1237">
        <v>-1.2945409999999999E-2</v>
      </c>
      <c r="S1237">
        <v>-3.0385279999999999</v>
      </c>
      <c r="T1237">
        <v>-0.20122960000000001</v>
      </c>
      <c r="U1237">
        <v>-0.69638059999999902</v>
      </c>
      <c r="V1237">
        <v>7.251457E-2</v>
      </c>
      <c r="W1237">
        <v>0.13497500000000001</v>
      </c>
      <c r="X1237">
        <v>0.98819199999999996</v>
      </c>
      <c r="Y1237">
        <v>-0.13987169999999999</v>
      </c>
      <c r="Z1237">
        <v>9.4890039999999897E-4</v>
      </c>
      <c r="AA1237">
        <v>0.99016919999999897</v>
      </c>
      <c r="AB1237">
        <v>30</v>
      </c>
      <c r="AC1237">
        <v>-16.263099999999898</v>
      </c>
      <c r="AD1237">
        <v>-1.0988342321169999</v>
      </c>
      <c r="AE1237">
        <v>-3.7783000000000002</v>
      </c>
      <c r="AF1237">
        <v>-2.3762247204087701</v>
      </c>
      <c r="AG1237">
        <v>-1.0988342321169999</v>
      </c>
      <c r="AH1237">
        <v>16.4535180058501</v>
      </c>
      <c r="AI1237">
        <v>93.781657964597699</v>
      </c>
      <c r="AJ1237">
        <v>98.217863400256604</v>
      </c>
      <c r="AK1237">
        <v>16.6604962519244</v>
      </c>
    </row>
    <row r="1238" spans="1:37" x14ac:dyDescent="0.2">
      <c r="A1238" t="str">
        <f>"20200111150610156"</f>
        <v>20200111150610156</v>
      </c>
      <c r="B1238" t="str">
        <f>"1578726370147667"</f>
        <v>1578726370147667</v>
      </c>
      <c r="C1238" t="s">
        <v>37</v>
      </c>
      <c r="D1238">
        <v>5.1542050000000001</v>
      </c>
      <c r="E1238">
        <v>0.49156670000000002</v>
      </c>
      <c r="F1238" t="s">
        <v>39</v>
      </c>
      <c r="G1238">
        <v>-239.96950000000001</v>
      </c>
      <c r="H1238" s="1">
        <v>-4.5991599999999997E-6</v>
      </c>
      <c r="I1238">
        <v>141.3794</v>
      </c>
      <c r="J1238">
        <v>-216.8921</v>
      </c>
      <c r="K1238">
        <v>1.099</v>
      </c>
      <c r="L1238">
        <v>142.25450000000001</v>
      </c>
      <c r="M1238">
        <v>-0.99671409999999905</v>
      </c>
      <c r="N1238">
        <v>0</v>
      </c>
      <c r="O1238">
        <v>-8.04927E-2</v>
      </c>
      <c r="P1238">
        <v>-0.99180789999999996</v>
      </c>
      <c r="Q1238">
        <v>0.12733349999999999</v>
      </c>
      <c r="R1238">
        <v>-1.017259E-2</v>
      </c>
      <c r="S1238">
        <v>-3.041382</v>
      </c>
      <c r="T1238">
        <v>-0.1431616</v>
      </c>
      <c r="U1238">
        <v>-0.116394</v>
      </c>
      <c r="V1238">
        <v>7.1006390000000003E-2</v>
      </c>
      <c r="W1238">
        <v>0.13561419999999999</v>
      </c>
      <c r="X1238">
        <v>0.98821399999999904</v>
      </c>
      <c r="Y1238">
        <v>4.2183699999999998E-2</v>
      </c>
      <c r="Z1238">
        <v>4.7729410000000002E-3</v>
      </c>
      <c r="AA1238">
        <v>0.9990985</v>
      </c>
      <c r="AB1238">
        <v>30</v>
      </c>
      <c r="AC1238">
        <v>-23.077400000000001</v>
      </c>
      <c r="AD1238">
        <v>-1.0990045991599999</v>
      </c>
      <c r="AE1238">
        <v>-0.87510000000000299</v>
      </c>
      <c r="AF1238">
        <v>0.983151597044433</v>
      </c>
      <c r="AG1238">
        <v>-1.0990045991599999</v>
      </c>
      <c r="AH1238">
        <v>23.0208201980784</v>
      </c>
      <c r="AI1238">
        <v>92.730716740048905</v>
      </c>
      <c r="AJ1238">
        <v>87.554551611229499</v>
      </c>
      <c r="AK1238">
        <v>23.067998629356602</v>
      </c>
    </row>
    <row r="1239" spans="1:37" x14ac:dyDescent="0.2">
      <c r="A1239" t="str">
        <f>"20200111150610203"</f>
        <v>20200111150610203</v>
      </c>
      <c r="B1239" t="str">
        <f>"1578726370197443"</f>
        <v>1578726370197443</v>
      </c>
      <c r="C1239" t="s">
        <v>37</v>
      </c>
      <c r="D1239">
        <v>5.1579040000000003</v>
      </c>
      <c r="E1239">
        <v>0.4910776</v>
      </c>
      <c r="F1239" t="s">
        <v>39</v>
      </c>
      <c r="G1239">
        <v>-239.74770000000001</v>
      </c>
      <c r="H1239" s="1">
        <v>-6.0541719999999999E-7</v>
      </c>
      <c r="I1239">
        <v>141.55119999999999</v>
      </c>
      <c r="J1239">
        <v>-217.50640000000001</v>
      </c>
      <c r="K1239">
        <v>1.0994010000000001</v>
      </c>
      <c r="L1239">
        <v>142.21559999999999</v>
      </c>
      <c r="M1239">
        <v>-0.99739120000000003</v>
      </c>
      <c r="N1239">
        <v>0</v>
      </c>
      <c r="O1239">
        <v>-7.1627040000000003E-2</v>
      </c>
      <c r="P1239">
        <v>-0.99181819999999898</v>
      </c>
      <c r="Q1239">
        <v>0.12759609999999999</v>
      </c>
      <c r="R1239">
        <v>-4.0278400000000004E-3</v>
      </c>
      <c r="S1239">
        <v>-3.04260299999999</v>
      </c>
      <c r="T1239">
        <v>-0.1463025</v>
      </c>
      <c r="U1239">
        <v>-9.3612669999999995E-2</v>
      </c>
      <c r="V1239">
        <v>6.8203559999999996E-2</v>
      </c>
      <c r="W1239">
        <v>0.1358896</v>
      </c>
      <c r="X1239">
        <v>0.98837359999999896</v>
      </c>
      <c r="Y1239">
        <v>4.0792699999999897E-2</v>
      </c>
      <c r="Z1239">
        <v>4.4182930000000002E-3</v>
      </c>
      <c r="AA1239">
        <v>0.99915779999999998</v>
      </c>
      <c r="AB1239">
        <v>30</v>
      </c>
      <c r="AC1239">
        <v>-22.241299999999899</v>
      </c>
      <c r="AD1239">
        <v>-1.09940160541719</v>
      </c>
      <c r="AE1239">
        <v>-0.66439999999999999</v>
      </c>
      <c r="AF1239">
        <v>0.92818326860474998</v>
      </c>
      <c r="AG1239">
        <v>-1.09940160541719</v>
      </c>
      <c r="AH1239">
        <v>22.177618995648899</v>
      </c>
      <c r="AI1239">
        <v>92.835497733374496</v>
      </c>
      <c r="AJ1239">
        <v>87.603441302152902</v>
      </c>
      <c r="AK1239">
        <v>22.2242433478911</v>
      </c>
    </row>
    <row r="1240" spans="1:37" x14ac:dyDescent="0.2">
      <c r="A1240" t="str">
        <f>"20200111150610225"</f>
        <v>20200111150610225</v>
      </c>
      <c r="B1240" t="str">
        <f>"1578726370217939"</f>
        <v>1578726370217939</v>
      </c>
      <c r="C1240" t="s">
        <v>37</v>
      </c>
      <c r="D1240">
        <v>5.0644</v>
      </c>
      <c r="E1240">
        <v>0.49023719999999998</v>
      </c>
      <c r="F1240" t="s">
        <v>39</v>
      </c>
      <c r="G1240">
        <v>-238.55090000000001</v>
      </c>
      <c r="H1240" s="1">
        <v>-1.1515899999999901E-6</v>
      </c>
      <c r="I1240">
        <v>141.67449999999999</v>
      </c>
      <c r="J1240">
        <v>-217.81059999999999</v>
      </c>
      <c r="K1240">
        <v>1.0996090000000001</v>
      </c>
      <c r="L1240">
        <v>142.1979</v>
      </c>
      <c r="M1240">
        <v>-0.99766469999999896</v>
      </c>
      <c r="N1240">
        <v>0</v>
      </c>
      <c r="O1240">
        <v>-6.7715780000000003E-2</v>
      </c>
      <c r="P1240">
        <v>-0.99191649999999998</v>
      </c>
      <c r="Q1240">
        <v>0.12687760000000001</v>
      </c>
      <c r="R1240">
        <v>-2.0004549999999999E-3</v>
      </c>
      <c r="S1240">
        <v>-3.0448909999999998</v>
      </c>
      <c r="T1240">
        <v>-0.15907009999999999</v>
      </c>
      <c r="U1240">
        <v>-7.8292849999999997E-2</v>
      </c>
      <c r="V1240">
        <v>6.6274449999999999E-2</v>
      </c>
      <c r="W1240">
        <v>0.13518759999999999</v>
      </c>
      <c r="X1240">
        <v>0.98860099999999995</v>
      </c>
      <c r="Y1240">
        <v>4.1901540000000001E-2</v>
      </c>
      <c r="Z1240">
        <v>4.6255059999999997E-3</v>
      </c>
      <c r="AA1240">
        <v>0.99911109999999903</v>
      </c>
      <c r="AB1240">
        <v>30</v>
      </c>
      <c r="AC1240">
        <v>-20.740300000000001</v>
      </c>
      <c r="AD1240">
        <v>-1.0996101515900001</v>
      </c>
      <c r="AE1240">
        <v>-0.52340000000000897</v>
      </c>
      <c r="AF1240">
        <v>0.87983150119440701</v>
      </c>
      <c r="AG1240">
        <v>-1.0996101515900001</v>
      </c>
      <c r="AH1240">
        <v>20.670069063011098</v>
      </c>
      <c r="AI1240">
        <v>93.042411254285199</v>
      </c>
      <c r="AJ1240">
        <v>87.562648697656797</v>
      </c>
      <c r="AK1240">
        <v>20.717987378739799</v>
      </c>
    </row>
    <row r="1241" spans="1:37" x14ac:dyDescent="0.2">
      <c r="A1241" t="str">
        <f>"20200111150610245"</f>
        <v>20200111150610245</v>
      </c>
      <c r="B1241" t="str">
        <f>"1578726370237459"</f>
        <v>1578726370237459</v>
      </c>
      <c r="C1241" t="s">
        <v>37</v>
      </c>
      <c r="D1241">
        <v>5.0558199999999998</v>
      </c>
      <c r="E1241">
        <v>0.4894888</v>
      </c>
      <c r="F1241" t="s">
        <v>39</v>
      </c>
      <c r="G1241">
        <v>-237.63579999999999</v>
      </c>
      <c r="H1241" s="1">
        <v>-1.546662E-6</v>
      </c>
      <c r="I1241">
        <v>141.68369999999999</v>
      </c>
      <c r="J1241">
        <v>-218.08179999999999</v>
      </c>
      <c r="K1241">
        <v>1.0998129999999999</v>
      </c>
      <c r="L1241">
        <v>142.18289999999999</v>
      </c>
      <c r="M1241">
        <v>-0.9978766</v>
      </c>
      <c r="N1241">
        <v>0</v>
      </c>
      <c r="O1241">
        <v>-6.452099E-2</v>
      </c>
      <c r="P1241">
        <v>-0.99198790000000003</v>
      </c>
      <c r="Q1241">
        <v>0.12633230000000001</v>
      </c>
      <c r="R1241">
        <v>3.2968629999999998E-4</v>
      </c>
      <c r="S1241">
        <v>-3.0459139999999998</v>
      </c>
      <c r="T1241">
        <v>-0.1689427</v>
      </c>
      <c r="U1241">
        <v>-7.8994750000000002E-2</v>
      </c>
      <c r="V1241">
        <v>6.5359909999999993E-2</v>
      </c>
      <c r="W1241">
        <v>0.13465460000000001</v>
      </c>
      <c r="X1241">
        <v>0.98873469999999997</v>
      </c>
      <c r="Y1241">
        <v>3.8471899999999899E-2</v>
      </c>
      <c r="Z1241">
        <v>4.6387920000000001E-3</v>
      </c>
      <c r="AA1241">
        <v>0.9992489</v>
      </c>
      <c r="AB1241">
        <v>30</v>
      </c>
      <c r="AC1241">
        <v>-19.553999999999998</v>
      </c>
      <c r="AD1241">
        <v>-1.099814546662</v>
      </c>
      <c r="AE1241">
        <v>-0.49920000000000098</v>
      </c>
      <c r="AF1241">
        <v>0.76112746936127795</v>
      </c>
      <c r="AG1241">
        <v>-1.099814546662</v>
      </c>
      <c r="AH1241">
        <v>19.483866185288399</v>
      </c>
      <c r="AI1241">
        <v>93.228314987564104</v>
      </c>
      <c r="AJ1241">
        <v>87.7629065819456</v>
      </c>
      <c r="AK1241">
        <v>19.529719623893499</v>
      </c>
    </row>
    <row r="1242" spans="1:37" x14ac:dyDescent="0.2">
      <c r="A1242" t="str">
        <f>"20200111150610268"</f>
        <v>20200111150610268</v>
      </c>
      <c r="B1242" t="str">
        <f>"1578726370257955"</f>
        <v>1578726370257955</v>
      </c>
      <c r="C1242" t="s">
        <v>37</v>
      </c>
      <c r="D1242">
        <v>5.0764120000000004</v>
      </c>
      <c r="E1242">
        <v>0.48863779999999901</v>
      </c>
      <c r="F1242" t="s">
        <v>39</v>
      </c>
      <c r="G1242">
        <v>-238.35509999999999</v>
      </c>
      <c r="H1242" s="1">
        <v>-1.2323489999999999E-6</v>
      </c>
      <c r="I1242">
        <v>141.66220000000001</v>
      </c>
      <c r="J1242">
        <v>-218.40170000000001</v>
      </c>
      <c r="K1242">
        <v>1.100106</v>
      </c>
      <c r="L1242">
        <v>142.16589999999999</v>
      </c>
      <c r="M1242">
        <v>-0.99808759999999996</v>
      </c>
      <c r="N1242">
        <v>0</v>
      </c>
      <c r="O1242">
        <v>-6.1175229999999997E-2</v>
      </c>
      <c r="P1242">
        <v>-0.99236119999999906</v>
      </c>
      <c r="Q1242">
        <v>0.123324</v>
      </c>
      <c r="R1242">
        <v>3.2536179999999998E-3</v>
      </c>
      <c r="S1242">
        <v>-3.0453030000000001</v>
      </c>
      <c r="T1242">
        <v>-0.16520579999999899</v>
      </c>
      <c r="U1242">
        <v>-7.8201290000000007E-2</v>
      </c>
      <c r="V1242">
        <v>6.4861219999999997E-2</v>
      </c>
      <c r="W1242">
        <v>0.13166829999999999</v>
      </c>
      <c r="X1242">
        <v>0.98916959999999998</v>
      </c>
      <c r="Y1242">
        <v>3.5392939999999998E-2</v>
      </c>
      <c r="Z1242">
        <v>4.2728180000000003E-3</v>
      </c>
      <c r="AA1242">
        <v>0.99936429999999998</v>
      </c>
      <c r="AB1242">
        <v>30</v>
      </c>
      <c r="AC1242">
        <v>-19.953399999999899</v>
      </c>
      <c r="AD1242">
        <v>-1.100107232349</v>
      </c>
      <c r="AE1242">
        <v>-0.50369999999998005</v>
      </c>
      <c r="AF1242">
        <v>0.71577100301378604</v>
      </c>
      <c r="AG1242">
        <v>-1.100107232349</v>
      </c>
      <c r="AH1242">
        <v>19.8864292960093</v>
      </c>
      <c r="AI1242">
        <v>93.164301473126997</v>
      </c>
      <c r="AJ1242">
        <v>87.938646447786397</v>
      </c>
      <c r="AK1242">
        <v>19.929692275511901</v>
      </c>
    </row>
    <row r="1243" spans="1:37" x14ac:dyDescent="0.2">
      <c r="A1243" t="str">
        <f>"20200111150610292"</f>
        <v>20200111150610292</v>
      </c>
      <c r="B1243" t="str">
        <f>"1578726370287235"</f>
        <v>1578726370287235</v>
      </c>
      <c r="C1243" t="s">
        <v>37</v>
      </c>
      <c r="D1243">
        <v>5.0294189999999999</v>
      </c>
      <c r="E1243">
        <v>0.48794739999999998</v>
      </c>
      <c r="F1243" t="s">
        <v>39</v>
      </c>
      <c r="G1243">
        <v>-237.0675</v>
      </c>
      <c r="H1243" s="1">
        <v>-1.794571E-6</v>
      </c>
      <c r="I1243">
        <v>141.69919999999999</v>
      </c>
      <c r="J1243">
        <v>-218.7201</v>
      </c>
      <c r="K1243">
        <v>1.1004399999999901</v>
      </c>
      <c r="L1243">
        <v>142.14940000000001</v>
      </c>
      <c r="M1243">
        <v>-0.99825869999999906</v>
      </c>
      <c r="N1243">
        <v>0</v>
      </c>
      <c r="O1243">
        <v>-5.8322699999999998E-2</v>
      </c>
      <c r="P1243">
        <v>-0.99294490000000002</v>
      </c>
      <c r="Q1243">
        <v>0.1184268</v>
      </c>
      <c r="R1243">
        <v>5.9767300000000004E-3</v>
      </c>
      <c r="S1243">
        <v>-3.045639</v>
      </c>
      <c r="T1243">
        <v>-0.17950079999999999</v>
      </c>
      <c r="U1243">
        <v>-7.6126100000000002E-2</v>
      </c>
      <c r="V1243">
        <v>6.4641450000000003E-2</v>
      </c>
      <c r="W1243">
        <v>0.12680279999999999</v>
      </c>
      <c r="X1243">
        <v>0.98981949999999996</v>
      </c>
      <c r="Y1243">
        <v>3.3203419999999997E-2</v>
      </c>
      <c r="Z1243">
        <v>4.4093489999999999E-3</v>
      </c>
      <c r="AA1243">
        <v>0.99943890000000002</v>
      </c>
      <c r="AB1243">
        <v>30</v>
      </c>
      <c r="AC1243">
        <v>-18.3474</v>
      </c>
      <c r="AD1243">
        <v>-1.1004417945710001</v>
      </c>
      <c r="AE1243">
        <v>-0.45020000000002303</v>
      </c>
      <c r="AF1243">
        <v>0.61845458447002499</v>
      </c>
      <c r="AG1243">
        <v>-1.1004417945710001</v>
      </c>
      <c r="AH1243">
        <v>18.276715656570602</v>
      </c>
      <c r="AI1243">
        <v>93.443655247876194</v>
      </c>
      <c r="AJ1243">
        <v>88.061942707133497</v>
      </c>
      <c r="AK1243">
        <v>18.320256368496199</v>
      </c>
    </row>
    <row r="1244" spans="1:37" x14ac:dyDescent="0.2">
      <c r="A1244" t="str">
        <f>"20200111150610315"</f>
        <v>20200111150610315</v>
      </c>
      <c r="B1244" t="str">
        <f>"1578726370307731"</f>
        <v>1578726370307731</v>
      </c>
      <c r="C1244" t="s">
        <v>37</v>
      </c>
      <c r="D1244">
        <v>4.9824549999999999</v>
      </c>
      <c r="E1244">
        <v>0.4875369</v>
      </c>
      <c r="F1244" t="s">
        <v>39</v>
      </c>
      <c r="G1244">
        <v>-235.77500000000001</v>
      </c>
      <c r="H1244" s="1">
        <v>-2.36021899999999E-6</v>
      </c>
      <c r="I1244">
        <v>141.74109999999999</v>
      </c>
      <c r="J1244">
        <v>-219.02760000000001</v>
      </c>
      <c r="K1244">
        <v>1.100803</v>
      </c>
      <c r="L1244">
        <v>142.13399999999999</v>
      </c>
      <c r="M1244">
        <v>-0.99838719999999903</v>
      </c>
      <c r="N1244">
        <v>0</v>
      </c>
      <c r="O1244">
        <v>-5.6082510000000002E-2</v>
      </c>
      <c r="P1244">
        <v>-0.99325739999999996</v>
      </c>
      <c r="Q1244">
        <v>0.115606999999999</v>
      </c>
      <c r="R1244">
        <v>8.6423330000000003E-3</v>
      </c>
      <c r="S1244">
        <v>-3.0451809999999999</v>
      </c>
      <c r="T1244">
        <v>-0.19648660000000001</v>
      </c>
      <c r="U1244">
        <v>-7.2891239999999996E-2</v>
      </c>
      <c r="V1244">
        <v>6.4969289999999999E-2</v>
      </c>
      <c r="W1244">
        <v>0.1240164</v>
      </c>
      <c r="X1244">
        <v>0.99015089999999994</v>
      </c>
      <c r="Y1244">
        <v>3.1993670000000002E-2</v>
      </c>
      <c r="Z1244">
        <v>4.6434479999999997E-3</v>
      </c>
      <c r="AA1244">
        <v>0.99947730000000001</v>
      </c>
      <c r="AB1244">
        <v>30</v>
      </c>
      <c r="AC1244">
        <v>-16.747399999999999</v>
      </c>
      <c r="AD1244">
        <v>-1.100805360219</v>
      </c>
      <c r="AE1244">
        <v>-0.39289999999999697</v>
      </c>
      <c r="AF1244">
        <v>0.54463938383585098</v>
      </c>
      <c r="AG1244">
        <v>-1.100805360219</v>
      </c>
      <c r="AH1244">
        <v>16.671088980855</v>
      </c>
      <c r="AI1244">
        <v>93.775793499078304</v>
      </c>
      <c r="AJ1244">
        <v>88.128829903845499</v>
      </c>
      <c r="AK1244">
        <v>16.716267894093299</v>
      </c>
    </row>
    <row r="1245" spans="1:37" x14ac:dyDescent="0.2">
      <c r="A1245" t="str">
        <f>"20200111150610337"</f>
        <v>20200111150610337</v>
      </c>
      <c r="B1245" t="str">
        <f>"1578726370327251"</f>
        <v>1578726370327251</v>
      </c>
      <c r="C1245" t="s">
        <v>37</v>
      </c>
      <c r="D1245">
        <v>5.0321319999999998</v>
      </c>
      <c r="E1245">
        <v>0.48701529999999998</v>
      </c>
      <c r="F1245" t="s">
        <v>38</v>
      </c>
      <c r="G1245">
        <v>-219.98949999999999</v>
      </c>
      <c r="H1245">
        <v>1.034645</v>
      </c>
      <c r="I1245">
        <v>142.1123</v>
      </c>
      <c r="J1245">
        <v>-219.32299999999901</v>
      </c>
      <c r="K1245">
        <v>1.1011610000000001</v>
      </c>
      <c r="L1245">
        <v>142.11930000000001</v>
      </c>
      <c r="M1245">
        <v>-0.99848189999999903</v>
      </c>
      <c r="N1245">
        <v>0</v>
      </c>
      <c r="O1245">
        <v>-5.4374209999999999E-2</v>
      </c>
      <c r="P1245">
        <v>-0.99309720000000001</v>
      </c>
      <c r="Q1245">
        <v>0.1167623</v>
      </c>
      <c r="R1245">
        <v>1.11644999999999E-2</v>
      </c>
      <c r="S1245">
        <v>-3.0453489999999999</v>
      </c>
      <c r="T1245">
        <v>-0.2094866</v>
      </c>
      <c r="U1245">
        <v>-6.8817139999999999E-2</v>
      </c>
      <c r="V1245">
        <v>6.5681210000000004E-2</v>
      </c>
      <c r="W1245">
        <v>0.1252026</v>
      </c>
      <c r="X1245">
        <v>0.98995469999999897</v>
      </c>
      <c r="Y1245">
        <v>3.1601259999999999E-2</v>
      </c>
      <c r="Z1245">
        <v>4.8191359999999999E-3</v>
      </c>
      <c r="AA1245">
        <v>0.99948890000000001</v>
      </c>
      <c r="AB1245">
        <v>30</v>
      </c>
      <c r="AC1245">
        <v>-0.66650000000001297</v>
      </c>
      <c r="AD1245">
        <v>-6.6516000000000006E-2</v>
      </c>
      <c r="AE1245">
        <v>-7.0000000000049996E-3</v>
      </c>
      <c r="AF1245">
        <v>2.89637268878686E-2</v>
      </c>
      <c r="AG1245">
        <v>-6.6516000000000006E-2</v>
      </c>
      <c r="AH1245">
        <v>0.65932848112261799</v>
      </c>
      <c r="AI1245">
        <v>95.7552498467725</v>
      </c>
      <c r="AJ1245">
        <v>87.484663398813197</v>
      </c>
      <c r="AK1245">
        <v>0.66330786347720405</v>
      </c>
    </row>
    <row r="1246" spans="1:37" x14ac:dyDescent="0.2">
      <c r="A1246" t="str">
        <f>"20200111150610381"</f>
        <v>20200111150610381</v>
      </c>
      <c r="B1246" t="str">
        <f>"1578726370378003"</f>
        <v>1578726370378003</v>
      </c>
      <c r="C1246" t="s">
        <v>37</v>
      </c>
      <c r="D1246">
        <v>5.01701</v>
      </c>
      <c r="E1246">
        <v>0.48573069999999902</v>
      </c>
      <c r="F1246" t="s">
        <v>38</v>
      </c>
      <c r="G1246">
        <v>-220.26300000000001</v>
      </c>
      <c r="H1246">
        <v>1.0368549999999901</v>
      </c>
      <c r="I1246">
        <v>142.0993</v>
      </c>
      <c r="J1246">
        <v>-219.93299999999999</v>
      </c>
      <c r="K1246">
        <v>1.101804</v>
      </c>
      <c r="L1246">
        <v>142.08930000000001</v>
      </c>
      <c r="M1246">
        <v>-0.99860819999999995</v>
      </c>
      <c r="N1246">
        <v>0</v>
      </c>
      <c r="O1246">
        <v>-5.2009909999999999E-2</v>
      </c>
      <c r="P1246">
        <v>-0.9925697</v>
      </c>
      <c r="Q1246">
        <v>0.1207049</v>
      </c>
      <c r="R1246">
        <v>1.5360749999999999E-2</v>
      </c>
      <c r="S1246">
        <v>-3.0460970000000001</v>
      </c>
      <c r="T1246">
        <v>-0.2084578</v>
      </c>
      <c r="U1246">
        <v>-6.5521239999999994E-2</v>
      </c>
      <c r="V1246">
        <v>6.7319900000000002E-2</v>
      </c>
      <c r="W1246">
        <v>0.12920100000000001</v>
      </c>
      <c r="X1246">
        <v>0.98933059999999995</v>
      </c>
      <c r="Y1246">
        <v>3.0331690000000001E-2</v>
      </c>
      <c r="Z1246">
        <v>4.5896699999999997E-3</v>
      </c>
      <c r="AA1246">
        <v>0.99952940000000001</v>
      </c>
      <c r="AB1246">
        <v>30</v>
      </c>
      <c r="AC1246">
        <v>-0.33000000000001201</v>
      </c>
      <c r="AD1246">
        <v>-6.4949000000000104E-2</v>
      </c>
      <c r="AE1246">
        <v>9.9999999999908998E-3</v>
      </c>
      <c r="AF1246">
        <v>2.6138803510486398E-2</v>
      </c>
      <c r="AG1246">
        <v>-6.4949000000000104E-2</v>
      </c>
      <c r="AH1246">
        <v>0.31677385521506801</v>
      </c>
      <c r="AI1246">
        <v>101.54873411725001</v>
      </c>
      <c r="AJ1246">
        <v>85.282887620655799</v>
      </c>
      <c r="AK1246">
        <v>0.32441837956222103</v>
      </c>
    </row>
    <row r="1247" spans="1:37" x14ac:dyDescent="0.2">
      <c r="A1247" t="str">
        <f>"20200111150610402"</f>
        <v>20200111150610402</v>
      </c>
      <c r="B1247" t="str">
        <f>"1578726370397523"</f>
        <v>1578726370397523</v>
      </c>
      <c r="C1247" t="s">
        <v>37</v>
      </c>
      <c r="D1247">
        <v>5.0062499999999996</v>
      </c>
      <c r="E1247">
        <v>0.48542390000000002</v>
      </c>
      <c r="F1247" t="s">
        <v>38</v>
      </c>
      <c r="G1247">
        <v>-220.81319999999999</v>
      </c>
      <c r="H1247">
        <v>1.0435449999999999</v>
      </c>
      <c r="I1247">
        <v>142.07140000000001</v>
      </c>
      <c r="J1247">
        <v>-220.21770000000001</v>
      </c>
      <c r="K1247">
        <v>1.1020749999999999</v>
      </c>
      <c r="L1247">
        <v>142.0753</v>
      </c>
      <c r="M1247">
        <v>-0.99863899999999906</v>
      </c>
      <c r="N1247">
        <v>0</v>
      </c>
      <c r="O1247">
        <v>-5.1414580000000001E-2</v>
      </c>
      <c r="P1247">
        <v>-0.99239699999999997</v>
      </c>
      <c r="Q1247">
        <v>0.1218721</v>
      </c>
      <c r="R1247">
        <v>1.7186259999999998E-2</v>
      </c>
      <c r="S1247">
        <v>-3.0479889999999998</v>
      </c>
      <c r="T1247">
        <v>-0.20183679999999901</v>
      </c>
      <c r="U1247">
        <v>-6.2866210000000006E-2</v>
      </c>
      <c r="V1247">
        <v>6.8465139999999994E-2</v>
      </c>
      <c r="W1247">
        <v>0.1303938</v>
      </c>
      <c r="X1247">
        <v>0.98909550000000002</v>
      </c>
      <c r="Y1247">
        <v>3.0632309999999999E-2</v>
      </c>
      <c r="Z1247">
        <v>4.4121400000000002E-3</v>
      </c>
      <c r="AA1247">
        <v>0.99952099999999899</v>
      </c>
      <c r="AB1247">
        <v>31</v>
      </c>
      <c r="AC1247">
        <v>-0.59549999999998704</v>
      </c>
      <c r="AD1247">
        <v>-5.85299999999997E-2</v>
      </c>
      <c r="AE1247">
        <v>-3.8999999999873498E-3</v>
      </c>
      <c r="AF1247">
        <v>2.6468035110029001E-2</v>
      </c>
      <c r="AG1247">
        <v>-5.85299999999997E-2</v>
      </c>
      <c r="AH1247">
        <v>0.58922100770897401</v>
      </c>
      <c r="AI1247">
        <v>95.667162748209805</v>
      </c>
      <c r="AJ1247">
        <v>87.427980513294301</v>
      </c>
      <c r="AK1247">
        <v>0.59271216767345403</v>
      </c>
    </row>
    <row r="1248" spans="1:37" x14ac:dyDescent="0.2">
      <c r="A1248" t="str">
        <f>"20200111150610423"</f>
        <v>20200111150610423</v>
      </c>
      <c r="B1248" t="str">
        <f>"1578726370418018"</f>
        <v>1578726370418018</v>
      </c>
      <c r="C1248" t="s">
        <v>37</v>
      </c>
      <c r="D1248">
        <v>5.0635919999999999</v>
      </c>
      <c r="E1248">
        <v>0.48506440000000001</v>
      </c>
      <c r="F1248" t="s">
        <v>38</v>
      </c>
      <c r="G1248">
        <v>-221.08750000000001</v>
      </c>
      <c r="H1248">
        <v>1.0445850000000001</v>
      </c>
      <c r="I1248">
        <v>142.0582</v>
      </c>
      <c r="J1248">
        <v>-220.5087</v>
      </c>
      <c r="K1248">
        <v>1.102336</v>
      </c>
      <c r="L1248">
        <v>142.0609</v>
      </c>
      <c r="M1248">
        <v>-0.99865490000000001</v>
      </c>
      <c r="N1248">
        <v>0</v>
      </c>
      <c r="O1248">
        <v>-5.1108769999999998E-2</v>
      </c>
      <c r="P1248">
        <v>-0.99231340000000001</v>
      </c>
      <c r="Q1248">
        <v>0.122345</v>
      </c>
      <c r="R1248">
        <v>1.8599689999999999E-2</v>
      </c>
      <c r="S1248">
        <v>-3.0487980000000001</v>
      </c>
      <c r="T1248">
        <v>-0.20152879999999901</v>
      </c>
      <c r="U1248">
        <v>-6.0272220000000001E-2</v>
      </c>
      <c r="V1248">
        <v>6.9488960000000002E-2</v>
      </c>
      <c r="W1248">
        <v>0.1308964</v>
      </c>
      <c r="X1248">
        <v>0.9889578</v>
      </c>
      <c r="Y1248">
        <v>3.1181850000000001E-2</v>
      </c>
      <c r="Z1248">
        <v>4.4022849999999997E-3</v>
      </c>
      <c r="AA1248">
        <v>0.99950399999999995</v>
      </c>
      <c r="AB1248">
        <v>31</v>
      </c>
      <c r="AC1248">
        <v>-0.57880000000000098</v>
      </c>
      <c r="AD1248">
        <v>-5.7750999999999802E-2</v>
      </c>
      <c r="AE1248">
        <v>-2.7000000000043599E-3</v>
      </c>
      <c r="AF1248">
        <v>2.6621390558753899E-2</v>
      </c>
      <c r="AG1248">
        <v>-5.7750999999999802E-2</v>
      </c>
      <c r="AH1248">
        <v>0.57248229434138098</v>
      </c>
      <c r="AI1248">
        <v>95.754233062210304</v>
      </c>
      <c r="AJ1248">
        <v>87.337567767017902</v>
      </c>
      <c r="AK1248">
        <v>0.57600334527731101</v>
      </c>
    </row>
    <row r="1249" spans="1:37" x14ac:dyDescent="0.2">
      <c r="A1249" t="str">
        <f>"20200111150610446"</f>
        <v>20200111150610446</v>
      </c>
      <c r="B1249" t="str">
        <f>"1578726370437539"</f>
        <v>1578726370437539</v>
      </c>
      <c r="C1249" t="s">
        <v>37</v>
      </c>
      <c r="D1249">
        <v>4.9026379999999996</v>
      </c>
      <c r="E1249">
        <v>0.48474479999999998</v>
      </c>
      <c r="F1249" t="s">
        <v>38</v>
      </c>
      <c r="G1249">
        <v>-221.36240000000001</v>
      </c>
      <c r="H1249">
        <v>1.0454060000000001</v>
      </c>
      <c r="I1249">
        <v>142.0445</v>
      </c>
      <c r="J1249">
        <v>-220.8338</v>
      </c>
      <c r="K1249">
        <v>1.102651</v>
      </c>
      <c r="L1249">
        <v>142.0445</v>
      </c>
      <c r="M1249">
        <v>-0.99865199999999998</v>
      </c>
      <c r="N1249">
        <v>0</v>
      </c>
      <c r="O1249">
        <v>-5.116623E-2</v>
      </c>
      <c r="P1249">
        <v>-0.99230680000000004</v>
      </c>
      <c r="Q1249">
        <v>0.122270699999999</v>
      </c>
      <c r="R1249">
        <v>1.9425830000000002E-2</v>
      </c>
      <c r="S1249">
        <v>-3.0494379999999999</v>
      </c>
      <c r="T1249">
        <v>-0.20347009999999999</v>
      </c>
      <c r="U1249">
        <v>-5.9249879999999998E-2</v>
      </c>
      <c r="V1249">
        <v>7.0270550000000001E-2</v>
      </c>
      <c r="W1249">
        <v>0.1308657</v>
      </c>
      <c r="X1249">
        <v>0.98890659999999897</v>
      </c>
      <c r="Y1249">
        <v>3.1574070000000003E-2</v>
      </c>
      <c r="Z1249">
        <v>4.4605829999999997E-3</v>
      </c>
      <c r="AA1249">
        <v>0.99949149999999998</v>
      </c>
      <c r="AB1249">
        <v>31</v>
      </c>
      <c r="AC1249">
        <v>-0.52860000000001095</v>
      </c>
      <c r="AD1249">
        <v>-5.72449999999999E-2</v>
      </c>
      <c r="AE1249">
        <v>0</v>
      </c>
      <c r="AF1249">
        <v>2.6733966029190499E-2</v>
      </c>
      <c r="AG1249">
        <v>-5.72449999999999E-2</v>
      </c>
      <c r="AH1249">
        <v>0.52178807473177402</v>
      </c>
      <c r="AI1249">
        <v>96.2527043525034</v>
      </c>
      <c r="AJ1249">
        <v>87.066998460706102</v>
      </c>
      <c r="AK1249">
        <v>0.52559917227573805</v>
      </c>
    </row>
    <row r="1250" spans="1:37" x14ac:dyDescent="0.2">
      <c r="A1250" t="str">
        <f>"20200111150610469"</f>
        <v>20200111150610469</v>
      </c>
      <c r="B1250" t="str">
        <f>"1578726370467795"</f>
        <v>1578726370467795</v>
      </c>
      <c r="C1250" t="s">
        <v>37</v>
      </c>
      <c r="D1250">
        <v>5.0408900000000001</v>
      </c>
      <c r="E1250">
        <v>0.4843903</v>
      </c>
      <c r="F1250" t="s">
        <v>38</v>
      </c>
      <c r="G1250">
        <v>-221.64109999999999</v>
      </c>
      <c r="H1250">
        <v>1.0502039999999999</v>
      </c>
      <c r="I1250">
        <v>142.02850000000001</v>
      </c>
      <c r="J1250">
        <v>-221.14330000000001</v>
      </c>
      <c r="K1250">
        <v>1.102983</v>
      </c>
      <c r="L1250">
        <v>142.02850000000001</v>
      </c>
      <c r="M1250">
        <v>-0.99862850000000003</v>
      </c>
      <c r="N1250">
        <v>0</v>
      </c>
      <c r="O1250">
        <v>-5.1622809999999998E-2</v>
      </c>
      <c r="P1250">
        <v>-0.99230810000000003</v>
      </c>
      <c r="Q1250">
        <v>0.1220923</v>
      </c>
      <c r="R1250">
        <v>2.044501E-2</v>
      </c>
      <c r="S1250">
        <v>-3.0488279999999999</v>
      </c>
      <c r="T1250">
        <v>-0.1980587</v>
      </c>
      <c r="U1250">
        <v>-6.0501099999999898E-2</v>
      </c>
      <c r="V1250">
        <v>7.1635569999999996E-2</v>
      </c>
      <c r="W1250">
        <v>0.13073940000000001</v>
      </c>
      <c r="X1250">
        <v>0.98882530000000002</v>
      </c>
      <c r="Y1250">
        <v>3.1625639999999997E-2</v>
      </c>
      <c r="Z1250">
        <v>4.3743100000000002E-3</v>
      </c>
      <c r="AA1250">
        <v>0.9994902</v>
      </c>
      <c r="AB1250">
        <v>31</v>
      </c>
      <c r="AC1250">
        <v>-0.49779999999998298</v>
      </c>
      <c r="AD1250">
        <v>-5.2778999999999902E-2</v>
      </c>
      <c r="AE1250">
        <v>0</v>
      </c>
      <c r="AF1250">
        <v>2.5413139925451401E-2</v>
      </c>
      <c r="AG1250">
        <v>-5.2778999999999902E-2</v>
      </c>
      <c r="AH1250">
        <v>0.49160992600061099</v>
      </c>
      <c r="AI1250">
        <v>96.119666582081706</v>
      </c>
      <c r="AJ1250">
        <v>87.040802727624495</v>
      </c>
      <c r="AK1250">
        <v>0.49508763856937199</v>
      </c>
    </row>
    <row r="1251" spans="1:37" x14ac:dyDescent="0.2">
      <c r="A1251" t="str">
        <f>"20200111150610492"</f>
        <v>20200111150610492</v>
      </c>
      <c r="B1251" t="str">
        <f>"1578726370487315"</f>
        <v>1578726370487315</v>
      </c>
      <c r="C1251" t="s">
        <v>37</v>
      </c>
      <c r="D1251">
        <v>5.1015959999999998</v>
      </c>
      <c r="E1251">
        <v>0.48377229999999999</v>
      </c>
      <c r="F1251" t="s">
        <v>39</v>
      </c>
      <c r="G1251">
        <v>-237.89920000000001</v>
      </c>
      <c r="H1251" s="1">
        <v>-1.4357230000000001E-6</v>
      </c>
      <c r="I1251">
        <v>141.69149999999999</v>
      </c>
      <c r="J1251">
        <v>-221.44479999999999</v>
      </c>
      <c r="K1251">
        <v>1.103334</v>
      </c>
      <c r="L1251">
        <v>142.01240000000001</v>
      </c>
      <c r="M1251">
        <v>-0.99858519999999995</v>
      </c>
      <c r="N1251">
        <v>0</v>
      </c>
      <c r="O1251">
        <v>-5.2452869999999999E-2</v>
      </c>
      <c r="P1251">
        <v>-0.99218200000000001</v>
      </c>
      <c r="Q1251">
        <v>0.1230453</v>
      </c>
      <c r="R1251">
        <v>2.0845829999999999E-2</v>
      </c>
      <c r="S1251">
        <v>-3.04921</v>
      </c>
      <c r="T1251">
        <v>-0.20072000000000001</v>
      </c>
      <c r="U1251">
        <v>-6.1325070000000002E-2</v>
      </c>
      <c r="V1251">
        <v>7.2742420000000002E-2</v>
      </c>
      <c r="W1251">
        <v>0.1317506</v>
      </c>
      <c r="X1251">
        <v>0.98861030000000005</v>
      </c>
      <c r="Y1251">
        <v>3.2181250000000002E-2</v>
      </c>
      <c r="Z1251">
        <v>4.5051609999999997E-3</v>
      </c>
      <c r="AA1251">
        <v>0.99947189999999997</v>
      </c>
      <c r="AB1251">
        <v>31</v>
      </c>
      <c r="AC1251">
        <v>-16.4544</v>
      </c>
      <c r="AD1251">
        <v>-1.1033354357230001</v>
      </c>
      <c r="AE1251">
        <v>-0.320900000000023</v>
      </c>
      <c r="AF1251">
        <v>0.54022713869912398</v>
      </c>
      <c r="AG1251">
        <v>-1.1033354357230001</v>
      </c>
      <c r="AH1251">
        <v>16.374981805204602</v>
      </c>
      <c r="AI1251">
        <v>93.852635564431495</v>
      </c>
      <c r="AJ1251">
        <v>88.110439877001099</v>
      </c>
      <c r="AK1251">
        <v>16.420999469152001</v>
      </c>
    </row>
    <row r="1252" spans="1:37" x14ac:dyDescent="0.2">
      <c r="A1252" t="str">
        <f>"20200111150610514"</f>
        <v>20200111150610514</v>
      </c>
      <c r="B1252" t="str">
        <f>"1578726370507810"</f>
        <v>1578726370507810</v>
      </c>
      <c r="C1252" t="s">
        <v>37</v>
      </c>
      <c r="D1252">
        <v>5.0695319999999997</v>
      </c>
      <c r="E1252">
        <v>0.4831376</v>
      </c>
      <c r="F1252" t="s">
        <v>39</v>
      </c>
      <c r="G1252">
        <v>-238.36429999999999</v>
      </c>
      <c r="H1252" s="1">
        <v>-1.224028E-6</v>
      </c>
      <c r="I1252">
        <v>141.64580000000001</v>
      </c>
      <c r="J1252">
        <v>-221.7475</v>
      </c>
      <c r="K1252">
        <v>1.1036950000000001</v>
      </c>
      <c r="L1252">
        <v>141.99539999999999</v>
      </c>
      <c r="M1252">
        <v>-0.9985195</v>
      </c>
      <c r="N1252">
        <v>0</v>
      </c>
      <c r="O1252">
        <v>-5.3687840000000001E-2</v>
      </c>
      <c r="P1252">
        <v>-0.9918652</v>
      </c>
      <c r="Q1252">
        <v>0.12554979999999999</v>
      </c>
      <c r="R1252">
        <v>2.0991920000000001E-2</v>
      </c>
      <c r="S1252">
        <v>-3.0496979999999998</v>
      </c>
      <c r="T1252">
        <v>-0.1988732</v>
      </c>
      <c r="U1252">
        <v>-6.6055299999999997E-2</v>
      </c>
      <c r="V1252">
        <v>7.3979939999999994E-2</v>
      </c>
      <c r="W1252">
        <v>0.134317299999999</v>
      </c>
      <c r="X1252">
        <v>0.98817299999999997</v>
      </c>
      <c r="Y1252">
        <v>3.1872499999999998E-2</v>
      </c>
      <c r="Z1252">
        <v>4.5332599999999999E-3</v>
      </c>
      <c r="AA1252">
        <v>0.99948169999999903</v>
      </c>
      <c r="AB1252">
        <v>31</v>
      </c>
      <c r="AC1252">
        <v>-16.616799999999898</v>
      </c>
      <c r="AD1252">
        <v>-1.1036962240279999</v>
      </c>
      <c r="AE1252">
        <v>-0.34959999999998098</v>
      </c>
      <c r="AF1252">
        <v>0.54067420622909601</v>
      </c>
      <c r="AG1252">
        <v>-1.1036962240279999</v>
      </c>
      <c r="AH1252">
        <v>16.538671770819001</v>
      </c>
      <c r="AI1252">
        <v>93.815898669889194</v>
      </c>
      <c r="AJ1252">
        <v>88.127581118592104</v>
      </c>
      <c r="AK1252">
        <v>16.584273812714901</v>
      </c>
    </row>
    <row r="1253" spans="1:37" x14ac:dyDescent="0.2">
      <c r="A1253" t="str">
        <f>"20200111150610536"</f>
        <v>20200111150610536</v>
      </c>
      <c r="B1253" t="str">
        <f>"1578726370527331"</f>
        <v>1578726370527331</v>
      </c>
      <c r="C1253" t="s">
        <v>37</v>
      </c>
      <c r="D1253">
        <v>5.0973169999999897</v>
      </c>
      <c r="E1253">
        <v>0.48253309999999999</v>
      </c>
      <c r="F1253" t="s">
        <v>38</v>
      </c>
      <c r="G1253">
        <v>-222.73419999999999</v>
      </c>
      <c r="H1253">
        <v>1.0412049999999999</v>
      </c>
      <c r="I1253">
        <v>141.97239999999999</v>
      </c>
      <c r="J1253">
        <v>-222.06229999999999</v>
      </c>
      <c r="K1253">
        <v>1.1040459999999901</v>
      </c>
      <c r="L1253">
        <v>141.9769</v>
      </c>
      <c r="M1253">
        <v>-0.99842659999999905</v>
      </c>
      <c r="N1253">
        <v>0</v>
      </c>
      <c r="O1253">
        <v>-5.5390439999999999E-2</v>
      </c>
      <c r="P1253">
        <v>-0.99167909999999904</v>
      </c>
      <c r="Q1253">
        <v>0.127111</v>
      </c>
      <c r="R1253">
        <v>2.0386729999999999E-2</v>
      </c>
      <c r="S1253">
        <v>-3.050583</v>
      </c>
      <c r="T1253">
        <v>-0.19328219999999999</v>
      </c>
      <c r="U1253">
        <v>-7.1517940000000002E-2</v>
      </c>
      <c r="V1253">
        <v>7.4936020000000006E-2</v>
      </c>
      <c r="W1253">
        <v>0.13594489999999901</v>
      </c>
      <c r="X1253">
        <v>0.98787829999999999</v>
      </c>
      <c r="Y1253">
        <v>3.1801129999999997E-2</v>
      </c>
      <c r="Z1253">
        <v>4.51001099999999E-3</v>
      </c>
      <c r="AA1253">
        <v>0.99948409999999999</v>
      </c>
      <c r="AB1253">
        <v>31</v>
      </c>
      <c r="AC1253">
        <v>-0.67189999999999295</v>
      </c>
      <c r="AD1253">
        <v>-6.2840999999999897E-2</v>
      </c>
      <c r="AE1253">
        <v>-4.5000000000072699E-3</v>
      </c>
      <c r="AF1253">
        <v>3.2441400365026803E-2</v>
      </c>
      <c r="AG1253">
        <v>-6.2840999999999897E-2</v>
      </c>
      <c r="AH1253">
        <v>0.66529832600738803</v>
      </c>
      <c r="AI1253">
        <v>95.389519172093799</v>
      </c>
      <c r="AJ1253">
        <v>87.208343792447195</v>
      </c>
      <c r="AK1253">
        <v>0.66904655916227296</v>
      </c>
    </row>
    <row r="1254" spans="1:37" x14ac:dyDescent="0.2">
      <c r="A1254" t="str">
        <f>"20200111150610559"</f>
        <v>20200111150610559</v>
      </c>
      <c r="B1254" t="str">
        <f>"1578726370547827"</f>
        <v>1578726370547827</v>
      </c>
      <c r="C1254" t="s">
        <v>37</v>
      </c>
      <c r="D1254">
        <v>5.0767689999999996</v>
      </c>
      <c r="E1254">
        <v>0.48189670000000001</v>
      </c>
      <c r="F1254" t="s">
        <v>38</v>
      </c>
      <c r="G1254">
        <v>-223.01259999999999</v>
      </c>
      <c r="H1254">
        <v>1.0451189999999999</v>
      </c>
      <c r="I1254">
        <v>141.95269999999999</v>
      </c>
      <c r="J1254">
        <v>-222.38419999999999</v>
      </c>
      <c r="K1254">
        <v>1.1043449999999999</v>
      </c>
      <c r="L1254">
        <v>141.9571</v>
      </c>
      <c r="M1254">
        <v>-0.99830929999999996</v>
      </c>
      <c r="N1254">
        <v>0</v>
      </c>
      <c r="O1254">
        <v>-5.746445E-2</v>
      </c>
      <c r="P1254">
        <v>-0.99166350000000003</v>
      </c>
      <c r="Q1254">
        <v>0.12738679999999999</v>
      </c>
      <c r="R1254">
        <v>1.9395300000000001E-2</v>
      </c>
      <c r="S1254">
        <v>-3.0510860000000002</v>
      </c>
      <c r="T1254">
        <v>-0.1895193</v>
      </c>
      <c r="U1254">
        <v>-7.8750609999999999E-2</v>
      </c>
      <c r="V1254">
        <v>7.5899999999999995E-2</v>
      </c>
      <c r="W1254">
        <v>0.13628309999999999</v>
      </c>
      <c r="X1254">
        <v>0.98775809999999997</v>
      </c>
      <c r="Y1254">
        <v>3.1516839999999997E-2</v>
      </c>
      <c r="Z1254">
        <v>4.5411330000000001E-3</v>
      </c>
      <c r="AA1254">
        <v>0.99949290000000002</v>
      </c>
      <c r="AB1254">
        <v>31</v>
      </c>
      <c r="AC1254">
        <v>-0.62839999999999896</v>
      </c>
      <c r="AD1254">
        <v>-5.9226000000000001E-2</v>
      </c>
      <c r="AE1254">
        <v>-4.4000000000039502E-3</v>
      </c>
      <c r="AF1254">
        <v>3.1440047208825601E-2</v>
      </c>
      <c r="AG1254">
        <v>-5.9226000000000001E-2</v>
      </c>
      <c r="AH1254">
        <v>0.62208872479198096</v>
      </c>
      <c r="AI1254">
        <v>95.431565972474203</v>
      </c>
      <c r="AJ1254">
        <v>87.106762160254505</v>
      </c>
      <c r="AK1254">
        <v>0.62569207854807096</v>
      </c>
    </row>
    <row r="1255" spans="1:37" x14ac:dyDescent="0.2">
      <c r="A1255" t="str">
        <f>"20200111150610582"</f>
        <v>20200111150610582</v>
      </c>
      <c r="B1255" t="str">
        <f>"1578726370577106"</f>
        <v>1578726370577106</v>
      </c>
      <c r="C1255" t="s">
        <v>37</v>
      </c>
      <c r="D1255">
        <v>5.1350720000000001</v>
      </c>
      <c r="E1255">
        <v>0.48088599999999998</v>
      </c>
      <c r="F1255" t="s">
        <v>38</v>
      </c>
      <c r="G1255">
        <v>-223.29150000000001</v>
      </c>
      <c r="H1255">
        <v>1.0479479999999901</v>
      </c>
      <c r="I1255">
        <v>141.93129999999999</v>
      </c>
      <c r="J1255">
        <v>-222.70429999999999</v>
      </c>
      <c r="K1255">
        <v>1.1045929999999999</v>
      </c>
      <c r="L1255">
        <v>141.93639999999999</v>
      </c>
      <c r="M1255">
        <v>-0.99817040000000001</v>
      </c>
      <c r="N1255">
        <v>0</v>
      </c>
      <c r="O1255">
        <v>-5.9827680000000001E-2</v>
      </c>
      <c r="P1255">
        <v>-0.99174150000000005</v>
      </c>
      <c r="Q1255">
        <v>0.1270521</v>
      </c>
      <c r="R1255">
        <v>1.7511220000000001E-2</v>
      </c>
      <c r="S1255">
        <v>-3.0512999999999999</v>
      </c>
      <c r="T1255">
        <v>-0.18978709999999999</v>
      </c>
      <c r="U1255">
        <v>-8.7326050000000002E-2</v>
      </c>
      <c r="V1255">
        <v>7.6282719999999998E-2</v>
      </c>
      <c r="W1255">
        <v>0.1360016</v>
      </c>
      <c r="X1255">
        <v>0.98776749999999902</v>
      </c>
      <c r="Y1255">
        <v>3.1073799999999999E-2</v>
      </c>
      <c r="Z1255">
        <v>4.679786E-3</v>
      </c>
      <c r="AA1255">
        <v>0.99950609999999995</v>
      </c>
      <c r="AB1255">
        <v>31</v>
      </c>
      <c r="AC1255">
        <v>-0.58720000000002404</v>
      </c>
      <c r="AD1255">
        <v>-5.6645000000000001E-2</v>
      </c>
      <c r="AE1255">
        <v>-5.0999999999987696E-3</v>
      </c>
      <c r="AF1255">
        <v>2.9764335403811799E-2</v>
      </c>
      <c r="AG1255">
        <v>-5.6645000000000001E-2</v>
      </c>
      <c r="AH1255">
        <v>0.58104655048591902</v>
      </c>
      <c r="AI1255">
        <v>95.560804225647601</v>
      </c>
      <c r="AJ1255">
        <v>87.067564574053605</v>
      </c>
      <c r="AK1255">
        <v>0.58455937723948703</v>
      </c>
    </row>
    <row r="1256" spans="1:37" x14ac:dyDescent="0.2">
      <c r="A1256" t="str">
        <f>"20200111150610606"</f>
        <v>20200111150610606</v>
      </c>
      <c r="B1256" t="str">
        <f>"1578726370597606"</f>
        <v>1578726370597606</v>
      </c>
      <c r="C1256" t="s">
        <v>37</v>
      </c>
      <c r="D1256">
        <v>5.2499729999999998</v>
      </c>
      <c r="E1256">
        <v>0.45607120000000001</v>
      </c>
      <c r="F1256" t="s">
        <v>38</v>
      </c>
      <c r="G1256">
        <v>-223.57040000000001</v>
      </c>
      <c r="H1256">
        <v>1.050217</v>
      </c>
      <c r="I1256">
        <v>141.90780000000001</v>
      </c>
      <c r="J1256">
        <v>-223.0301</v>
      </c>
      <c r="K1256">
        <v>1.1048149999999901</v>
      </c>
      <c r="L1256">
        <v>141.9143</v>
      </c>
      <c r="M1256">
        <v>-0.99800630000000001</v>
      </c>
      <c r="N1256">
        <v>0</v>
      </c>
      <c r="O1256">
        <v>-6.2505240000000004E-2</v>
      </c>
      <c r="P1256">
        <v>-0.99174869999999904</v>
      </c>
      <c r="Q1256">
        <v>0.12733620000000001</v>
      </c>
      <c r="R1256">
        <v>1.484154E-2</v>
      </c>
      <c r="S1256">
        <v>-3.051361</v>
      </c>
      <c r="T1256">
        <v>-0.19177069999999999</v>
      </c>
      <c r="U1256">
        <v>-0.101532</v>
      </c>
      <c r="V1256">
        <v>7.6196200000000006E-2</v>
      </c>
      <c r="W1256">
        <v>0.1363318</v>
      </c>
      <c r="X1256">
        <v>0.98772859999999996</v>
      </c>
      <c r="Y1256">
        <v>2.910184E-2</v>
      </c>
      <c r="Z1256">
        <v>4.8338970000000002E-3</v>
      </c>
      <c r="AA1256">
        <v>0.99956480000000003</v>
      </c>
      <c r="AB1256">
        <v>31</v>
      </c>
      <c r="AC1256">
        <v>-0.540300000000002</v>
      </c>
      <c r="AD1256">
        <v>-5.4597999999999897E-2</v>
      </c>
      <c r="AE1256">
        <v>-6.4999999999883996E-3</v>
      </c>
      <c r="AF1256">
        <v>2.7009817169578499E-2</v>
      </c>
      <c r="AG1256">
        <v>-5.4597999999999897E-2</v>
      </c>
      <c r="AH1256">
        <v>0.53419566121760698</v>
      </c>
      <c r="AI1256">
        <v>95.828314603628996</v>
      </c>
      <c r="AJ1256">
        <v>87.105495418355204</v>
      </c>
      <c r="AK1256">
        <v>0.53765739676047497</v>
      </c>
    </row>
    <row r="1257" spans="1:37" x14ac:dyDescent="0.2">
      <c r="A1257" t="str">
        <f>"20200111150610626"</f>
        <v>20200111150610626</v>
      </c>
      <c r="B1257" t="str">
        <f>"1578726370617124"</f>
        <v>1578726370617124</v>
      </c>
      <c r="C1257" t="s">
        <v>37</v>
      </c>
      <c r="D1257">
        <v>5.114471</v>
      </c>
      <c r="E1257">
        <v>0.45455469999999998</v>
      </c>
      <c r="F1257" t="s">
        <v>39</v>
      </c>
      <c r="G1257">
        <v>-238.86789999999999</v>
      </c>
      <c r="H1257" s="1">
        <v>-6.5623169999999997E-7</v>
      </c>
      <c r="I1257">
        <v>140.32380000000001</v>
      </c>
      <c r="J1257">
        <v>-223.3175</v>
      </c>
      <c r="K1257">
        <v>1.1049819999999999</v>
      </c>
      <c r="L1257">
        <v>141.8939</v>
      </c>
      <c r="M1257">
        <v>-0.9978437</v>
      </c>
      <c r="N1257">
        <v>0</v>
      </c>
      <c r="O1257">
        <v>-6.5049770000000007E-2</v>
      </c>
      <c r="P1257">
        <v>-0.99174370000000001</v>
      </c>
      <c r="Q1257">
        <v>0.12771009999999999</v>
      </c>
      <c r="R1257">
        <v>1.1628339999999999E-2</v>
      </c>
      <c r="S1257">
        <v>-3.0569310000000001</v>
      </c>
      <c r="T1257">
        <v>-0.213245399999999</v>
      </c>
      <c r="U1257">
        <v>-0.30699159999999998</v>
      </c>
      <c r="V1257">
        <v>7.5451679999999993E-2</v>
      </c>
      <c r="W1257">
        <v>0.13673940000000001</v>
      </c>
      <c r="X1257">
        <v>0.98772939999999998</v>
      </c>
      <c r="Y1257">
        <v>-3.5055719999999999E-2</v>
      </c>
      <c r="Z1257">
        <v>3.2968359999999901E-3</v>
      </c>
      <c r="AA1257">
        <v>0.99937989999999999</v>
      </c>
      <c r="AB1257">
        <v>31</v>
      </c>
      <c r="AC1257">
        <v>-15.5503999999999</v>
      </c>
      <c r="AD1257">
        <v>-1.10498265623169</v>
      </c>
      <c r="AE1257">
        <v>-1.5700999999999901</v>
      </c>
      <c r="AF1257">
        <v>-0.55242449404772498</v>
      </c>
      <c r="AG1257">
        <v>-1.10498265623169</v>
      </c>
      <c r="AH1257">
        <v>15.5419173636908</v>
      </c>
      <c r="AI1257">
        <v>94.064153420198195</v>
      </c>
      <c r="AJ1257">
        <v>92.035673717214195</v>
      </c>
      <c r="AK1257">
        <v>15.5909382280859</v>
      </c>
    </row>
    <row r="1258" spans="1:37" x14ac:dyDescent="0.2">
      <c r="A1258" t="str">
        <f>"20200111150610648"</f>
        <v>20200111150610648</v>
      </c>
      <c r="B1258" t="str">
        <f>"1578726370637619"</f>
        <v>1578726370637619</v>
      </c>
      <c r="C1258" t="s">
        <v>37</v>
      </c>
      <c r="D1258">
        <v>5.1322019999999897</v>
      </c>
      <c r="E1258">
        <v>0.4548932</v>
      </c>
      <c r="F1258" t="s">
        <v>39</v>
      </c>
      <c r="G1258">
        <v>-239.25790000000001</v>
      </c>
      <c r="H1258" s="1">
        <v>-4.5047599999999999E-7</v>
      </c>
      <c r="I1258">
        <v>140.17930000000001</v>
      </c>
      <c r="J1258">
        <v>-223.61840000000001</v>
      </c>
      <c r="K1258">
        <v>1.1051309999999901</v>
      </c>
      <c r="L1258">
        <v>141.8716</v>
      </c>
      <c r="M1258">
        <v>-0.99765800000000004</v>
      </c>
      <c r="N1258">
        <v>0</v>
      </c>
      <c r="O1258">
        <v>-6.7837969999999997E-2</v>
      </c>
      <c r="P1258">
        <v>-0.99181769999999903</v>
      </c>
      <c r="Q1258">
        <v>0.12737329999999999</v>
      </c>
      <c r="R1258">
        <v>8.6149699999999996E-3</v>
      </c>
      <c r="S1258">
        <v>-3.0561219999999998</v>
      </c>
      <c r="T1258">
        <v>-0.2118496</v>
      </c>
      <c r="U1258">
        <v>-0.32872009999999902</v>
      </c>
      <c r="V1258">
        <v>7.5164250000000002E-2</v>
      </c>
      <c r="W1258">
        <v>0.13643620000000001</v>
      </c>
      <c r="X1258">
        <v>0.98779329999999999</v>
      </c>
      <c r="Y1258">
        <v>-3.9313819999999999E-2</v>
      </c>
      <c r="Z1258">
        <v>3.3195669999999998E-3</v>
      </c>
      <c r="AA1258">
        <v>0.99922140000000004</v>
      </c>
      <c r="AB1258">
        <v>31</v>
      </c>
      <c r="AC1258">
        <v>-15.6394999999999</v>
      </c>
      <c r="AD1258">
        <v>-1.1051314504759999</v>
      </c>
      <c r="AE1258">
        <v>-1.6922999999999799</v>
      </c>
      <c r="AF1258">
        <v>-0.62432737238129599</v>
      </c>
      <c r="AG1258">
        <v>-1.1051314504759999</v>
      </c>
      <c r="AH1258">
        <v>15.641080166628599</v>
      </c>
      <c r="AI1258">
        <v>94.038351643797697</v>
      </c>
      <c r="AJ1258">
        <v>92.2857976148006</v>
      </c>
      <c r="AK1258">
        <v>15.6924978562891</v>
      </c>
    </row>
    <row r="1259" spans="1:37" x14ac:dyDescent="0.2">
      <c r="A1259" t="str">
        <f>"20200111150610671"</f>
        <v>20200111150610671</v>
      </c>
      <c r="B1259" t="str">
        <f>"1578726370667875"</f>
        <v>1578726370667875</v>
      </c>
      <c r="C1259" t="s">
        <v>37</v>
      </c>
      <c r="D1259">
        <v>5.181241</v>
      </c>
      <c r="E1259">
        <v>0.45491340000000002</v>
      </c>
      <c r="F1259" t="s">
        <v>39</v>
      </c>
      <c r="G1259">
        <v>-239.46899999999999</v>
      </c>
      <c r="H1259" s="1">
        <v>-3.4714659999999898E-7</v>
      </c>
      <c r="I1259">
        <v>140.13120000000001</v>
      </c>
      <c r="J1259">
        <v>-223.9341</v>
      </c>
      <c r="K1259">
        <v>1.1052489999999999</v>
      </c>
      <c r="L1259">
        <v>141.84729999999999</v>
      </c>
      <c r="M1259">
        <v>-0.99744849999999996</v>
      </c>
      <c r="N1259">
        <v>0</v>
      </c>
      <c r="O1259">
        <v>-7.0850319999999994E-2</v>
      </c>
      <c r="P1259">
        <v>-0.99201379999999995</v>
      </c>
      <c r="Q1259">
        <v>0.12604180000000001</v>
      </c>
      <c r="R1259">
        <v>4.7013819999999996E-3</v>
      </c>
      <c r="S1259">
        <v>-3.0550229999999998</v>
      </c>
      <c r="T1259">
        <v>-0.21300269999999999</v>
      </c>
      <c r="U1259">
        <v>-0.33543400000000001</v>
      </c>
      <c r="V1259">
        <v>7.4226280000000006E-2</v>
      </c>
      <c r="W1259">
        <v>0.1351309</v>
      </c>
      <c r="X1259">
        <v>0.98804349999999996</v>
      </c>
      <c r="Y1259">
        <v>-3.8514739999999999E-2</v>
      </c>
      <c r="Z1259">
        <v>3.57442E-3</v>
      </c>
      <c r="AA1259">
        <v>0.99925169999999996</v>
      </c>
      <c r="AB1259">
        <v>31</v>
      </c>
      <c r="AC1259">
        <v>-15.5349</v>
      </c>
      <c r="AD1259">
        <v>-1.1052493471465901</v>
      </c>
      <c r="AE1259">
        <v>-1.71609999999998</v>
      </c>
      <c r="AF1259">
        <v>-0.60805145812400196</v>
      </c>
      <c r="AG1259">
        <v>-1.1052493471465901</v>
      </c>
      <c r="AH1259">
        <v>15.5397375587652</v>
      </c>
      <c r="AI1259">
        <v>94.065157815651503</v>
      </c>
      <c r="AJ1259">
        <v>92.240772621007807</v>
      </c>
      <c r="AK1259">
        <v>15.590854565750799</v>
      </c>
    </row>
    <row r="1260" spans="1:37" x14ac:dyDescent="0.2">
      <c r="A1260" t="str">
        <f>"20200111150610692"</f>
        <v>20200111150610692</v>
      </c>
      <c r="B1260" t="str">
        <f>"1578726370687395"</f>
        <v>1578726370687395</v>
      </c>
      <c r="C1260" t="s">
        <v>37</v>
      </c>
      <c r="D1260">
        <v>5.3133499999999998</v>
      </c>
      <c r="E1260">
        <v>0.45449250000000002</v>
      </c>
      <c r="F1260" t="s">
        <v>39</v>
      </c>
      <c r="G1260">
        <v>-238.97059999999999</v>
      </c>
      <c r="H1260" s="1">
        <v>-5.6264279999999995E-7</v>
      </c>
      <c r="I1260">
        <v>140.13759999999999</v>
      </c>
      <c r="J1260">
        <v>-224.22880000000001</v>
      </c>
      <c r="K1260">
        <v>1.1053200000000001</v>
      </c>
      <c r="L1260">
        <v>141.8236</v>
      </c>
      <c r="M1260">
        <v>-0.99724109999999999</v>
      </c>
      <c r="N1260">
        <v>0</v>
      </c>
      <c r="O1260">
        <v>-7.3711499999999999E-2</v>
      </c>
      <c r="P1260">
        <v>-0.99216599999999999</v>
      </c>
      <c r="Q1260">
        <v>0.1249181</v>
      </c>
      <c r="R1260">
        <v>1.5598039999999999E-3</v>
      </c>
      <c r="S1260">
        <v>-3.0543209999999998</v>
      </c>
      <c r="T1260">
        <v>-0.22450639999999999</v>
      </c>
      <c r="U1260">
        <v>-0.34727479999999999</v>
      </c>
      <c r="V1260">
        <v>7.3921920000000002E-2</v>
      </c>
      <c r="W1260">
        <v>0.13402620000000001</v>
      </c>
      <c r="X1260">
        <v>0.98821680000000001</v>
      </c>
      <c r="Y1260">
        <v>-3.9512470000000001E-2</v>
      </c>
      <c r="Z1260">
        <v>3.9388610000000001E-3</v>
      </c>
      <c r="AA1260">
        <v>0.99921130000000002</v>
      </c>
      <c r="AB1260">
        <v>31</v>
      </c>
      <c r="AC1260">
        <v>-14.7417999999999</v>
      </c>
      <c r="AD1260">
        <v>-1.1053205626428</v>
      </c>
      <c r="AE1260">
        <v>-1.6859999999999999</v>
      </c>
      <c r="AF1260">
        <v>-0.59144906425083998</v>
      </c>
      <c r="AG1260">
        <v>-1.1053205626428</v>
      </c>
      <c r="AH1260">
        <v>14.744157273049399</v>
      </c>
      <c r="AI1260">
        <v>94.283822654681202</v>
      </c>
      <c r="AJ1260">
        <v>92.297138822127195</v>
      </c>
      <c r="AK1260">
        <v>14.797355143207801</v>
      </c>
    </row>
    <row r="1261" spans="1:37" x14ac:dyDescent="0.2">
      <c r="A1261" t="str">
        <f>"20200111150610715"</f>
        <v>20200111150610715</v>
      </c>
      <c r="B1261" t="str">
        <f>"1578726370707892"</f>
        <v>1578726370707892</v>
      </c>
      <c r="C1261" t="s">
        <v>37</v>
      </c>
      <c r="D1261">
        <v>5.2402100000000003</v>
      </c>
      <c r="E1261">
        <v>0.45382099999999997</v>
      </c>
      <c r="F1261" t="s">
        <v>39</v>
      </c>
      <c r="G1261">
        <v>-239.02350000000001</v>
      </c>
      <c r="H1261" s="1">
        <v>-5.2285719999999997E-7</v>
      </c>
      <c r="I1261">
        <v>140.07329999999999</v>
      </c>
      <c r="J1261">
        <v>-224.54329999999999</v>
      </c>
      <c r="K1261">
        <v>1.105364</v>
      </c>
      <c r="L1261">
        <v>141.79730000000001</v>
      </c>
      <c r="M1261">
        <v>-0.9970099</v>
      </c>
      <c r="N1261">
        <v>0</v>
      </c>
      <c r="O1261">
        <v>-7.6773579999999994E-2</v>
      </c>
      <c r="P1261">
        <v>-0.99222399999999999</v>
      </c>
      <c r="Q1261">
        <v>0.1244648</v>
      </c>
      <c r="R1261">
        <v>-1.7103459999999999E-4</v>
      </c>
      <c r="S1261">
        <v>-3.0529790000000001</v>
      </c>
      <c r="T1261">
        <v>-0.22808999999999999</v>
      </c>
      <c r="U1261">
        <v>-0.36116029999999999</v>
      </c>
      <c r="V1261">
        <v>7.5224730000000004E-2</v>
      </c>
      <c r="W1261">
        <v>0.13359379999999901</v>
      </c>
      <c r="X1261">
        <v>0.98817710000000003</v>
      </c>
      <c r="Y1261">
        <v>-4.0984710000000001E-2</v>
      </c>
      <c r="Z1261">
        <v>4.1739890000000003E-3</v>
      </c>
      <c r="AA1261">
        <v>0.99915109999999996</v>
      </c>
      <c r="AB1261">
        <v>31</v>
      </c>
      <c r="AC1261">
        <v>-14.4802</v>
      </c>
      <c r="AD1261">
        <v>-1.1053645228572</v>
      </c>
      <c r="AE1261">
        <v>-1.72400000000001</v>
      </c>
      <c r="AF1261">
        <v>-0.60370293014558196</v>
      </c>
      <c r="AG1261">
        <v>-1.1053645228572</v>
      </c>
      <c r="AH1261">
        <v>14.486585183118001</v>
      </c>
      <c r="AI1261">
        <v>94.359594385604794</v>
      </c>
      <c r="AJ1261">
        <v>92.386319958499101</v>
      </c>
      <c r="AK1261">
        <v>14.5412323488758</v>
      </c>
    </row>
    <row r="1262" spans="1:37" x14ac:dyDescent="0.2">
      <c r="A1262" t="str">
        <f>"20200111150610738"</f>
        <v>20200111150610738</v>
      </c>
      <c r="B1262" t="str">
        <f>"1578726370727411"</f>
        <v>1578726370727411</v>
      </c>
      <c r="C1262" t="s">
        <v>37</v>
      </c>
      <c r="D1262">
        <v>5.3089750000000002</v>
      </c>
      <c r="E1262">
        <v>0.45314559999999998</v>
      </c>
      <c r="F1262" t="s">
        <v>39</v>
      </c>
      <c r="G1262">
        <v>-239.3237</v>
      </c>
      <c r="H1262" s="1">
        <v>-3.7175280000000002E-7</v>
      </c>
      <c r="I1262">
        <v>139.98949999999999</v>
      </c>
      <c r="J1262">
        <v>-224.86840000000001</v>
      </c>
      <c r="K1262">
        <v>1.1053809999999999</v>
      </c>
      <c r="L1262">
        <v>141.76910000000001</v>
      </c>
      <c r="M1262">
        <v>-0.99676379999999998</v>
      </c>
      <c r="N1262">
        <v>0</v>
      </c>
      <c r="O1262">
        <v>-7.9905509999999999E-2</v>
      </c>
      <c r="P1262">
        <v>-0.99214369999999996</v>
      </c>
      <c r="Q1262">
        <v>0.12509890000000001</v>
      </c>
      <c r="R1262">
        <v>-1.1923260000000001E-3</v>
      </c>
      <c r="S1262">
        <v>-3.0520939999999999</v>
      </c>
      <c r="T1262">
        <v>-0.22825380000000001</v>
      </c>
      <c r="U1262">
        <v>-0.37329099999999998</v>
      </c>
      <c r="V1262">
        <v>7.7298749999999999E-2</v>
      </c>
      <c r="W1262">
        <v>0.134245899999999</v>
      </c>
      <c r="X1262">
        <v>0.98792860000000005</v>
      </c>
      <c r="Y1262">
        <v>-4.1800370000000003E-2</v>
      </c>
      <c r="Z1262">
        <v>4.37858E-3</v>
      </c>
      <c r="AA1262">
        <v>0.99911640000000002</v>
      </c>
      <c r="AB1262">
        <v>31</v>
      </c>
      <c r="AC1262">
        <v>-14.4552999999999</v>
      </c>
      <c r="AD1262">
        <v>-1.1053813717528</v>
      </c>
      <c r="AE1262">
        <v>-1.7796000000000101</v>
      </c>
      <c r="AF1262">
        <v>-0.61526254332359198</v>
      </c>
      <c r="AG1262">
        <v>-1.1053813717528</v>
      </c>
      <c r="AH1262">
        <v>14.4679419367921</v>
      </c>
      <c r="AI1262">
        <v>94.365100879730804</v>
      </c>
      <c r="AJ1262">
        <v>92.435088535785198</v>
      </c>
      <c r="AK1262">
        <v>14.5231456599672</v>
      </c>
    </row>
    <row r="1263" spans="1:37" x14ac:dyDescent="0.2">
      <c r="A1263" t="str">
        <f>"20200111150610758"</f>
        <v>20200111150610758</v>
      </c>
      <c r="B1263" t="str">
        <f>"1578726370747907"</f>
        <v>1578726370747907</v>
      </c>
      <c r="C1263" t="s">
        <v>37</v>
      </c>
      <c r="D1263">
        <v>5.264481</v>
      </c>
      <c r="E1263">
        <v>0.45355980000000001</v>
      </c>
      <c r="F1263" t="s">
        <v>39</v>
      </c>
      <c r="G1263">
        <v>-239.89099999999999</v>
      </c>
      <c r="H1263" s="1">
        <v>-1.003461E-7</v>
      </c>
      <c r="I1263">
        <v>139.88409999999999</v>
      </c>
      <c r="J1263">
        <v>-225.16149999999999</v>
      </c>
      <c r="K1263">
        <v>1.1053850000000001</v>
      </c>
      <c r="L1263">
        <v>141.74289999999999</v>
      </c>
      <c r="M1263">
        <v>-0.9965368</v>
      </c>
      <c r="N1263">
        <v>0</v>
      </c>
      <c r="O1263">
        <v>-8.2687319999999995E-2</v>
      </c>
      <c r="P1263">
        <v>-0.99202590000000002</v>
      </c>
      <c r="Q1263">
        <v>0.12601470000000001</v>
      </c>
      <c r="R1263">
        <v>-2.27253E-3</v>
      </c>
      <c r="S1263">
        <v>-3.0516200000000002</v>
      </c>
      <c r="T1263">
        <v>-0.22454259999999901</v>
      </c>
      <c r="U1263">
        <v>-0.38290409999999903</v>
      </c>
      <c r="V1263">
        <v>7.8968300000000005E-2</v>
      </c>
      <c r="W1263">
        <v>0.13517290000000001</v>
      </c>
      <c r="X1263">
        <v>0.987670099999999</v>
      </c>
      <c r="Y1263">
        <v>-4.2133169999999998E-2</v>
      </c>
      <c r="Z1263">
        <v>4.4976570000000004E-3</v>
      </c>
      <c r="AA1263">
        <v>0.99910189999999999</v>
      </c>
      <c r="AB1263">
        <v>32</v>
      </c>
      <c r="AC1263">
        <v>-14.7295</v>
      </c>
      <c r="AD1263">
        <v>-1.1053851003460999</v>
      </c>
      <c r="AE1263">
        <v>-1.8588</v>
      </c>
      <c r="AF1263">
        <v>-0.63094652302801801</v>
      </c>
      <c r="AG1263">
        <v>-1.1053851003460999</v>
      </c>
      <c r="AH1263">
        <v>14.750987534160901</v>
      </c>
      <c r="AI1263">
        <v>94.281626241597195</v>
      </c>
      <c r="AJ1263">
        <v>92.449229286945496</v>
      </c>
      <c r="AK1263">
        <v>14.8057962625439</v>
      </c>
    </row>
    <row r="1264" spans="1:37" x14ac:dyDescent="0.2">
      <c r="A1264" t="str">
        <f>"20200111150610783"</f>
        <v>20200111150610783</v>
      </c>
      <c r="B1264" t="str">
        <f>"1578726370777187"</f>
        <v>1578726370777187</v>
      </c>
      <c r="C1264" t="s">
        <v>37</v>
      </c>
      <c r="D1264">
        <v>5.2900150000000004</v>
      </c>
      <c r="E1264">
        <v>0.45396009999999998</v>
      </c>
      <c r="F1264" t="s">
        <v>39</v>
      </c>
      <c r="G1264">
        <v>-240.3596</v>
      </c>
      <c r="H1264" s="1">
        <v>-4.1760789999999998E-6</v>
      </c>
      <c r="I1264">
        <v>139.83459999999999</v>
      </c>
      <c r="J1264">
        <v>-225.49539999999999</v>
      </c>
      <c r="K1264">
        <v>1.1053660000000001</v>
      </c>
      <c r="L1264">
        <v>141.71199999999999</v>
      </c>
      <c r="M1264">
        <v>-0.99627659999999996</v>
      </c>
      <c r="N1264">
        <v>0</v>
      </c>
      <c r="O1264">
        <v>-8.5765259999999996E-2</v>
      </c>
      <c r="P1264">
        <v>-0.99178860000000002</v>
      </c>
      <c r="Q1264">
        <v>0.12779269999999901</v>
      </c>
      <c r="R1264">
        <v>-4.9685270000000004E-3</v>
      </c>
      <c r="S1264">
        <v>-3.051453</v>
      </c>
      <c r="T1264">
        <v>-0.221939</v>
      </c>
      <c r="U1264">
        <v>-0.3831329</v>
      </c>
      <c r="V1264">
        <v>7.9314770000000007E-2</v>
      </c>
      <c r="W1264">
        <v>0.13695009999999999</v>
      </c>
      <c r="X1264">
        <v>0.98739750000000004</v>
      </c>
      <c r="Y1264">
        <v>-3.9140469999999997E-2</v>
      </c>
      <c r="Z1264">
        <v>4.7756500000000002E-3</v>
      </c>
      <c r="AA1264">
        <v>0.99922230000000001</v>
      </c>
      <c r="AB1264">
        <v>32</v>
      </c>
      <c r="AC1264">
        <v>-14.8642</v>
      </c>
      <c r="AD1264">
        <v>-1.105370176079</v>
      </c>
      <c r="AE1264">
        <v>-1.8774000000000199</v>
      </c>
      <c r="AF1264">
        <v>-0.59237626137175603</v>
      </c>
      <c r="AG1264">
        <v>-1.105370176079</v>
      </c>
      <c r="AH1264">
        <v>14.8894017646601</v>
      </c>
      <c r="AI1264">
        <v>94.242432925106499</v>
      </c>
      <c r="AJ1264">
        <v>92.278316448443704</v>
      </c>
      <c r="AK1264">
        <v>14.9421229338627</v>
      </c>
    </row>
    <row r="1265" spans="1:37" x14ac:dyDescent="0.2">
      <c r="A1265" t="str">
        <f>"20200111150610804"</f>
        <v>20200111150610804</v>
      </c>
      <c r="B1265" t="str">
        <f>"1578726370797683"</f>
        <v>1578726370797683</v>
      </c>
      <c r="C1265" t="s">
        <v>37</v>
      </c>
      <c r="D1265">
        <v>5.2681050000000003</v>
      </c>
      <c r="E1265">
        <v>0.45403670000000002</v>
      </c>
      <c r="F1265" t="s">
        <v>39</v>
      </c>
      <c r="G1265">
        <v>-241.16079999999999</v>
      </c>
      <c r="H1265" s="1">
        <v>-3.8013809999999998E-6</v>
      </c>
      <c r="I1265">
        <v>139.71809999999999</v>
      </c>
      <c r="J1265">
        <v>-225.80019999999999</v>
      </c>
      <c r="K1265">
        <v>1.105324</v>
      </c>
      <c r="L1265">
        <v>141.6831</v>
      </c>
      <c r="M1265">
        <v>-0.99604230000000005</v>
      </c>
      <c r="N1265">
        <v>0</v>
      </c>
      <c r="O1265">
        <v>-8.8444389999999998E-2</v>
      </c>
      <c r="P1265">
        <v>-0.99141139999999905</v>
      </c>
      <c r="Q1265">
        <v>0.13041230000000001</v>
      </c>
      <c r="R1265">
        <v>-9.8251439999999992E-3</v>
      </c>
      <c r="S1265">
        <v>-3.0506439999999899</v>
      </c>
      <c r="T1265">
        <v>-0.21525759999999999</v>
      </c>
      <c r="U1265">
        <v>-0.38829039999999998</v>
      </c>
      <c r="V1265">
        <v>7.7106439999999998E-2</v>
      </c>
      <c r="W1265">
        <v>0.13954800000000001</v>
      </c>
      <c r="X1265">
        <v>0.98720869999999905</v>
      </c>
      <c r="Y1265">
        <v>-3.815031E-2</v>
      </c>
      <c r="Z1265">
        <v>4.8546140000000002E-3</v>
      </c>
      <c r="AA1265">
        <v>0.99926019999999904</v>
      </c>
      <c r="AB1265">
        <v>32</v>
      </c>
      <c r="AC1265">
        <v>-15.3606</v>
      </c>
      <c r="AD1265">
        <v>-1.105327801381</v>
      </c>
      <c r="AE1265">
        <v>-1.9650000000000001</v>
      </c>
      <c r="AF1265">
        <v>-0.59565271480301196</v>
      </c>
      <c r="AG1265">
        <v>-1.105327801381</v>
      </c>
      <c r="AH1265">
        <v>15.395762511291601</v>
      </c>
      <c r="AI1265">
        <v>94.103404381419097</v>
      </c>
      <c r="AJ1265">
        <v>92.215633898579796</v>
      </c>
      <c r="AK1265">
        <v>15.4468784875537</v>
      </c>
    </row>
    <row r="1266" spans="1:37" x14ac:dyDescent="0.2">
      <c r="A1266" t="str">
        <f>"20200111150610825"</f>
        <v>20200111150610825</v>
      </c>
      <c r="B1266" t="str">
        <f>"1578726370817203"</f>
        <v>1578726370817203</v>
      </c>
      <c r="C1266" t="s">
        <v>37</v>
      </c>
      <c r="D1266">
        <v>5.4360900000000001</v>
      </c>
      <c r="E1266">
        <v>0.45417039999999997</v>
      </c>
      <c r="F1266" t="s">
        <v>39</v>
      </c>
      <c r="G1266">
        <v>-241.8903</v>
      </c>
      <c r="H1266" s="1">
        <v>-3.4701119999999999E-6</v>
      </c>
      <c r="I1266">
        <v>139.5669</v>
      </c>
      <c r="J1266">
        <v>-226.1123</v>
      </c>
      <c r="K1266">
        <v>1.105232</v>
      </c>
      <c r="L1266">
        <v>141.65270000000001</v>
      </c>
      <c r="M1266">
        <v>-0.99581160000000002</v>
      </c>
      <c r="N1266">
        <v>0</v>
      </c>
      <c r="O1266">
        <v>-9.1003979999999998E-2</v>
      </c>
      <c r="P1266">
        <v>-0.99103039999999998</v>
      </c>
      <c r="Q1266">
        <v>0.1327699</v>
      </c>
      <c r="R1266">
        <v>-1.519333E-2</v>
      </c>
      <c r="S1266">
        <v>-3.0495759999999899</v>
      </c>
      <c r="T1266">
        <v>-0.20949479999999901</v>
      </c>
      <c r="U1266">
        <v>-0.40107729999999903</v>
      </c>
      <c r="V1266">
        <v>7.4287329999999999E-2</v>
      </c>
      <c r="W1266">
        <v>0.14187259999999999</v>
      </c>
      <c r="X1266">
        <v>0.98709349999999996</v>
      </c>
      <c r="Y1266">
        <v>-3.9742510000000002E-2</v>
      </c>
      <c r="Z1266">
        <v>4.8445019999999997E-3</v>
      </c>
      <c r="AA1266">
        <v>0.99919820000000004</v>
      </c>
      <c r="AB1266">
        <v>32</v>
      </c>
      <c r="AC1266">
        <v>-15.777999999999899</v>
      </c>
      <c r="AD1266">
        <v>-1.105235470112</v>
      </c>
      <c r="AE1266">
        <v>-2.0857999999999999</v>
      </c>
      <c r="AF1266">
        <v>-0.63815035131088105</v>
      </c>
      <c r="AG1266">
        <v>-1.105235470112</v>
      </c>
      <c r="AH1266">
        <v>15.826025369916399</v>
      </c>
      <c r="AI1266">
        <v>93.991621918299202</v>
      </c>
      <c r="AJ1266">
        <v>92.309077850687601</v>
      </c>
      <c r="AK1266">
        <v>15.8774009310248</v>
      </c>
    </row>
    <row r="1267" spans="1:37" x14ac:dyDescent="0.2">
      <c r="A1267" t="str">
        <f>"20200111150610850"</f>
        <v>20200111150610850</v>
      </c>
      <c r="B1267" t="str">
        <f>"1578726370837699"</f>
        <v>1578726370837699</v>
      </c>
      <c r="C1267" t="s">
        <v>37</v>
      </c>
      <c r="D1267">
        <v>5.3221910000000001</v>
      </c>
      <c r="E1267">
        <v>0.4545362</v>
      </c>
      <c r="F1267" t="s">
        <v>39</v>
      </c>
      <c r="G1267">
        <v>-242.62029999999999</v>
      </c>
      <c r="H1267" s="1">
        <v>-3.18478299999999E-6</v>
      </c>
      <c r="I1267">
        <v>139.41</v>
      </c>
      <c r="J1267">
        <v>-226.4393</v>
      </c>
      <c r="K1267">
        <v>1.105067</v>
      </c>
      <c r="L1267">
        <v>141.62029999999999</v>
      </c>
      <c r="M1267">
        <v>-0.99558760000000002</v>
      </c>
      <c r="N1267">
        <v>0</v>
      </c>
      <c r="O1267">
        <v>-9.3424090000000001E-2</v>
      </c>
      <c r="P1267">
        <v>-0.99084649999999996</v>
      </c>
      <c r="Q1267">
        <v>0.1334524</v>
      </c>
      <c r="R1267">
        <v>-2.0352169999999999E-2</v>
      </c>
      <c r="S1267">
        <v>-3.0481569999999998</v>
      </c>
      <c r="T1267">
        <v>-0.20407929999999999</v>
      </c>
      <c r="U1267">
        <v>-0.41410829999999998</v>
      </c>
      <c r="V1267">
        <v>7.1589570000000005E-2</v>
      </c>
      <c r="W1267">
        <v>0.14251449999999999</v>
      </c>
      <c r="X1267">
        <v>0.98720039999999998</v>
      </c>
      <c r="Y1267">
        <v>-4.15658E-2</v>
      </c>
      <c r="Z1267">
        <v>4.8195109999999899E-3</v>
      </c>
      <c r="AA1267">
        <v>0.99912420000000002</v>
      </c>
      <c r="AB1267">
        <v>32</v>
      </c>
      <c r="AC1267">
        <v>-16.180999999999901</v>
      </c>
      <c r="AD1267">
        <v>-1.105070184783</v>
      </c>
      <c r="AE1267">
        <v>-2.2102999999999802</v>
      </c>
      <c r="AF1267">
        <v>-0.68573890959764605</v>
      </c>
      <c r="AG1267">
        <v>-1.105070184783</v>
      </c>
      <c r="AH1267">
        <v>16.242360092106502</v>
      </c>
      <c r="AI1267">
        <v>93.888741443773796</v>
      </c>
      <c r="AJ1267">
        <v>92.417544362587293</v>
      </c>
      <c r="AK1267">
        <v>16.294345010680502</v>
      </c>
    </row>
    <row r="1268" spans="1:37" x14ac:dyDescent="0.2">
      <c r="A1268" t="str">
        <f>"20200111150610871"</f>
        <v>20200111150610871</v>
      </c>
      <c r="B1268" t="str">
        <f>"1578726370867955"</f>
        <v>1578726370867955</v>
      </c>
      <c r="C1268" t="s">
        <v>37</v>
      </c>
      <c r="D1268">
        <v>5.172771</v>
      </c>
      <c r="E1268">
        <v>0.454737</v>
      </c>
      <c r="F1268" t="s">
        <v>39</v>
      </c>
      <c r="G1268">
        <v>-242.75919999999999</v>
      </c>
      <c r="H1268" s="1">
        <v>-3.1357529999999999E-6</v>
      </c>
      <c r="I1268">
        <v>139.3503</v>
      </c>
      <c r="J1268">
        <v>-226.7492</v>
      </c>
      <c r="K1268">
        <v>1.104851</v>
      </c>
      <c r="L1268">
        <v>141.58920000000001</v>
      </c>
      <c r="M1268">
        <v>-0.99540010000000001</v>
      </c>
      <c r="N1268">
        <v>0</v>
      </c>
      <c r="O1268">
        <v>-9.5399860000000003E-2</v>
      </c>
      <c r="P1268">
        <v>-0.99072919999999998</v>
      </c>
      <c r="Q1268">
        <v>0.1336002</v>
      </c>
      <c r="R1268">
        <v>-2.4632350000000001E-2</v>
      </c>
      <c r="S1268">
        <v>-3.046783</v>
      </c>
      <c r="T1268">
        <v>-0.20630749999999901</v>
      </c>
      <c r="U1268">
        <v>-0.4237823</v>
      </c>
      <c r="V1268">
        <v>6.9353159999999997E-2</v>
      </c>
      <c r="W1268">
        <v>0.14261689999999999</v>
      </c>
      <c r="X1268">
        <v>0.98734519999999903</v>
      </c>
      <c r="Y1268">
        <v>-4.2760579999999999E-2</v>
      </c>
      <c r="Z1268">
        <v>4.96481599999999E-3</v>
      </c>
      <c r="AA1268">
        <v>0.99907299999999999</v>
      </c>
      <c r="AB1268">
        <v>32</v>
      </c>
      <c r="AC1268">
        <v>-16.009999999999899</v>
      </c>
      <c r="AD1268">
        <v>-1.104854135753</v>
      </c>
      <c r="AE1268">
        <v>-2.2389000000000001</v>
      </c>
      <c r="AF1268">
        <v>-0.69801622303881705</v>
      </c>
      <c r="AG1268">
        <v>-1.104854135753</v>
      </c>
      <c r="AH1268">
        <v>16.075482613891602</v>
      </c>
      <c r="AI1268">
        <v>93.9280172560252</v>
      </c>
      <c r="AJ1268">
        <v>92.486287876242898</v>
      </c>
      <c r="AK1268">
        <v>16.128517308743699</v>
      </c>
    </row>
    <row r="1269" spans="1:37" x14ac:dyDescent="0.2">
      <c r="A1269" t="str">
        <f>"20200111150610893"</f>
        <v>20200111150610893</v>
      </c>
      <c r="B1269" t="str">
        <f>"1578726370887474"</f>
        <v>1578726370887474</v>
      </c>
      <c r="C1269" t="s">
        <v>37</v>
      </c>
      <c r="D1269">
        <v>5.2505600000000001</v>
      </c>
      <c r="E1269">
        <v>0.45179949999999902</v>
      </c>
      <c r="F1269" t="s">
        <v>39</v>
      </c>
      <c r="G1269">
        <v>-242.8485</v>
      </c>
      <c r="H1269" s="1">
        <v>-3.105984E-6</v>
      </c>
      <c r="I1269">
        <v>139.3021</v>
      </c>
      <c r="J1269">
        <v>-227.05609999999999</v>
      </c>
      <c r="K1269">
        <v>1.104582</v>
      </c>
      <c r="L1269">
        <v>141.55799999999999</v>
      </c>
      <c r="M1269">
        <v>-0.99524789999999996</v>
      </c>
      <c r="N1269">
        <v>0</v>
      </c>
      <c r="O1269">
        <v>-9.6974729999999995E-2</v>
      </c>
      <c r="P1269">
        <v>-0.99064269999999999</v>
      </c>
      <c r="Q1269">
        <v>0.1336522</v>
      </c>
      <c r="R1269">
        <v>-2.7647229999999998E-2</v>
      </c>
      <c r="S1269">
        <v>-3.0455019999999999</v>
      </c>
      <c r="T1269">
        <v>-0.20900479999999999</v>
      </c>
      <c r="U1269">
        <v>-0.43263239999999997</v>
      </c>
      <c r="V1269">
        <v>6.8001999999999896E-2</v>
      </c>
      <c r="W1269">
        <v>0.1426202</v>
      </c>
      <c r="X1269">
        <v>0.987438699999999</v>
      </c>
      <c r="Y1269">
        <v>-4.408774E-2</v>
      </c>
      <c r="Z1269">
        <v>5.0918550000000002E-3</v>
      </c>
      <c r="AA1269">
        <v>0.99901469999999903</v>
      </c>
      <c r="AB1269">
        <v>32</v>
      </c>
      <c r="AC1269">
        <v>-15.792400000000001</v>
      </c>
      <c r="AD1269">
        <v>-1.1045851059839999</v>
      </c>
      <c r="AE1269">
        <v>-2.2558999999999898</v>
      </c>
      <c r="AF1269">
        <v>-0.71033807000217397</v>
      </c>
      <c r="AG1269">
        <v>-1.1045851059839999</v>
      </c>
      <c r="AH1269">
        <v>15.8606942860426</v>
      </c>
      <c r="AI1269">
        <v>93.979836649801101</v>
      </c>
      <c r="AJ1269">
        <v>92.5643388568228</v>
      </c>
      <c r="AK1269">
        <v>15.914971305829001</v>
      </c>
    </row>
    <row r="1270" spans="1:37" x14ac:dyDescent="0.2">
      <c r="A1270" t="str">
        <f>"20200111150610915"</f>
        <v>20200111150610915</v>
      </c>
      <c r="B1270" t="str">
        <f>"1578726370907971"</f>
        <v>1578726370907971</v>
      </c>
      <c r="C1270" t="s">
        <v>37</v>
      </c>
      <c r="D1270">
        <v>5.3425609999999999</v>
      </c>
      <c r="E1270">
        <v>0.44996659999999999</v>
      </c>
      <c r="F1270" t="s">
        <v>39</v>
      </c>
      <c r="G1270">
        <v>-244.0599</v>
      </c>
      <c r="H1270" s="1">
        <v>-2.64607E-6</v>
      </c>
      <c r="I1270">
        <v>138.96530000000001</v>
      </c>
      <c r="J1270">
        <v>-227.37610000000001</v>
      </c>
      <c r="K1270">
        <v>1.104257</v>
      </c>
      <c r="L1270">
        <v>141.52549999999999</v>
      </c>
      <c r="M1270">
        <v>-0.99513159999999901</v>
      </c>
      <c r="N1270">
        <v>0</v>
      </c>
      <c r="O1270">
        <v>-9.8161699999999893E-2</v>
      </c>
      <c r="P1270">
        <v>-0.99044699999999997</v>
      </c>
      <c r="Q1270">
        <v>0.1345201</v>
      </c>
      <c r="R1270">
        <v>-3.032052E-2</v>
      </c>
      <c r="S1270">
        <v>-3.0420529999999899</v>
      </c>
      <c r="T1270">
        <v>-0.19761509999999999</v>
      </c>
      <c r="U1270">
        <v>-0.46385189999999998</v>
      </c>
      <c r="V1270">
        <v>6.6612210000000005E-2</v>
      </c>
      <c r="W1270">
        <v>0.14343239999999999</v>
      </c>
      <c r="X1270">
        <v>0.98741579999999995</v>
      </c>
      <c r="Y1270">
        <v>-5.3057819999999999E-2</v>
      </c>
      <c r="Z1270">
        <v>4.6026649999999997E-3</v>
      </c>
      <c r="AA1270">
        <v>0.99858080000000005</v>
      </c>
      <c r="AB1270">
        <v>32</v>
      </c>
      <c r="AC1270">
        <v>-16.683799999999898</v>
      </c>
      <c r="AD1270">
        <v>-1.10425964607</v>
      </c>
      <c r="AE1270">
        <v>-2.56019999999998</v>
      </c>
      <c r="AF1270">
        <v>-0.90618249798890504</v>
      </c>
      <c r="AG1270">
        <v>-1.10425964607</v>
      </c>
      <c r="AH1270">
        <v>16.782712210130999</v>
      </c>
      <c r="AI1270">
        <v>93.759029902884095</v>
      </c>
      <c r="AJ1270">
        <v>93.090684194805704</v>
      </c>
      <c r="AK1270">
        <v>16.843395893158799</v>
      </c>
    </row>
    <row r="1271" spans="1:37" x14ac:dyDescent="0.2">
      <c r="A1271" t="str">
        <f>"20200111150610937"</f>
        <v>20200111150610937</v>
      </c>
      <c r="B1271" t="str">
        <f>"1578726370927491"</f>
        <v>1578726370927491</v>
      </c>
      <c r="C1271" t="s">
        <v>37</v>
      </c>
      <c r="D1271">
        <v>5.2988489999999997</v>
      </c>
      <c r="E1271">
        <v>0.44836169999999997</v>
      </c>
      <c r="F1271" t="s">
        <v>39</v>
      </c>
      <c r="G1271">
        <v>-244.82599999999999</v>
      </c>
      <c r="H1271" s="1">
        <v>-2.3577170000000001E-6</v>
      </c>
      <c r="I1271">
        <v>138.738</v>
      </c>
      <c r="J1271">
        <v>-227.68729999999999</v>
      </c>
      <c r="K1271">
        <v>1.103961</v>
      </c>
      <c r="L1271">
        <v>141.4939</v>
      </c>
      <c r="M1271">
        <v>-0.99505250000000001</v>
      </c>
      <c r="N1271">
        <v>0</v>
      </c>
      <c r="O1271">
        <v>-9.8959759999999994E-2</v>
      </c>
      <c r="P1271">
        <v>-0.99025200000000002</v>
      </c>
      <c r="Q1271">
        <v>0.1354031</v>
      </c>
      <c r="R1271">
        <v>-3.266807E-2</v>
      </c>
      <c r="S1271">
        <v>-3.0402070000000001</v>
      </c>
      <c r="T1271">
        <v>-0.19239010000000001</v>
      </c>
      <c r="U1271">
        <v>-0.4856415</v>
      </c>
      <c r="V1271">
        <v>6.5153740000000002E-2</v>
      </c>
      <c r="W1271">
        <v>0.14426620000000001</v>
      </c>
      <c r="X1271">
        <v>0.98739169999999998</v>
      </c>
      <c r="Y1271">
        <v>-5.9317380000000003E-2</v>
      </c>
      <c r="Z1271">
        <v>4.3340439999999996E-3</v>
      </c>
      <c r="AA1271">
        <v>0.998229699999999</v>
      </c>
      <c r="AB1271">
        <v>32</v>
      </c>
      <c r="AC1271">
        <v>-17.1387</v>
      </c>
      <c r="AD1271">
        <v>-1.103963357717</v>
      </c>
      <c r="AE1271">
        <v>-2.7558999999999898</v>
      </c>
      <c r="AF1271">
        <v>-1.0420494940521401</v>
      </c>
      <c r="AG1271">
        <v>-1.103963357717</v>
      </c>
      <c r="AH1271">
        <v>17.257502525300101</v>
      </c>
      <c r="AI1271">
        <v>93.653590331693195</v>
      </c>
      <c r="AJ1271">
        <v>93.455461419025994</v>
      </c>
      <c r="AK1271">
        <v>17.324144875115099</v>
      </c>
    </row>
    <row r="1272" spans="1:37" x14ac:dyDescent="0.2">
      <c r="A1272" t="str">
        <f>"20200111150610960"</f>
        <v>20200111150610960</v>
      </c>
      <c r="B1272" t="str">
        <f>"1578726370957748"</f>
        <v>1578726370957748</v>
      </c>
      <c r="C1272" t="s">
        <v>37</v>
      </c>
      <c r="D1272">
        <v>5.2668509999999999</v>
      </c>
      <c r="E1272">
        <v>0.44685659999999999</v>
      </c>
      <c r="F1272" t="s">
        <v>39</v>
      </c>
      <c r="G1272">
        <v>-245.678</v>
      </c>
      <c r="H1272" s="1">
        <v>-2.0336630000000001E-6</v>
      </c>
      <c r="I1272">
        <v>138.5043</v>
      </c>
      <c r="J1272">
        <v>-228.01599999999999</v>
      </c>
      <c r="K1272">
        <v>1.1036729999999999</v>
      </c>
      <c r="L1272">
        <v>141.4607</v>
      </c>
      <c r="M1272">
        <v>-0.99500730000000004</v>
      </c>
      <c r="N1272">
        <v>0</v>
      </c>
      <c r="O1272">
        <v>-9.9412479999999998E-2</v>
      </c>
      <c r="P1272">
        <v>-0.99022670000000002</v>
      </c>
      <c r="Q1272">
        <v>0.13550619999999999</v>
      </c>
      <c r="R1272">
        <v>-3.3005979999999997E-2</v>
      </c>
      <c r="S1272">
        <v>-3.038376</v>
      </c>
      <c r="T1272">
        <v>-0.186444</v>
      </c>
      <c r="U1272">
        <v>-0.50489810000000002</v>
      </c>
      <c r="V1272">
        <v>6.5369780000000002E-2</v>
      </c>
      <c r="W1272">
        <v>0.14432709999999899</v>
      </c>
      <c r="X1272">
        <v>0.98736849999999998</v>
      </c>
      <c r="Y1272">
        <v>-6.5104300000000004E-2</v>
      </c>
      <c r="Z1272">
        <v>4.051425E-3</v>
      </c>
      <c r="AA1272">
        <v>0.99787029999999999</v>
      </c>
      <c r="AB1272">
        <v>32</v>
      </c>
      <c r="AC1272">
        <v>-17.661999999999999</v>
      </c>
      <c r="AD1272">
        <v>-1.1036750336629999</v>
      </c>
      <c r="AE1272">
        <v>-2.9563999999999999</v>
      </c>
      <c r="AF1272">
        <v>-1.1813750458329599</v>
      </c>
      <c r="AG1272">
        <v>-1.1036750336629999</v>
      </c>
      <c r="AH1272">
        <v>17.800800862431799</v>
      </c>
      <c r="AI1272">
        <v>93.540110677607103</v>
      </c>
      <c r="AJ1272">
        <v>93.796946526081996</v>
      </c>
      <c r="AK1272">
        <v>17.874066602841101</v>
      </c>
    </row>
    <row r="1273" spans="1:37" x14ac:dyDescent="0.2">
      <c r="A1273" t="str">
        <f>"20200111150612702"</f>
        <v>20200111150612702</v>
      </c>
      <c r="B1273" t="str">
        <f>"1578726372697574"</f>
        <v>1578726372697574</v>
      </c>
      <c r="C1273" t="s">
        <v>37</v>
      </c>
      <c r="D1273">
        <v>4.7279019999999896</v>
      </c>
      <c r="E1273">
        <v>0.4866915</v>
      </c>
      <c r="F1273" t="s">
        <v>39</v>
      </c>
      <c r="G1273">
        <v>-246.4427</v>
      </c>
      <c r="H1273" s="1">
        <v>-1.739743E-6</v>
      </c>
      <c r="I1273">
        <v>138.31190000000001</v>
      </c>
      <c r="J1273">
        <v>-254.8826</v>
      </c>
      <c r="K1273">
        <v>1.103666</v>
      </c>
      <c r="L1273">
        <v>141.2944</v>
      </c>
      <c r="M1273">
        <v>-0.99851540000000005</v>
      </c>
      <c r="N1273">
        <v>0</v>
      </c>
      <c r="O1273">
        <v>5.360641E-2</v>
      </c>
      <c r="P1273">
        <v>-0.98958080000000004</v>
      </c>
      <c r="Q1273">
        <v>0.1187651</v>
      </c>
      <c r="R1273">
        <v>8.1394930000000004E-2</v>
      </c>
      <c r="S1273">
        <v>-3.0372159999999999</v>
      </c>
      <c r="T1273">
        <v>-0.18191550000000001</v>
      </c>
      <c r="U1273">
        <v>-0.51899719999999905</v>
      </c>
      <c r="V1273">
        <v>2.798351E-2</v>
      </c>
      <c r="W1273">
        <v>0.1284226</v>
      </c>
      <c r="X1273">
        <v>0.99132469999999995</v>
      </c>
      <c r="Y1273">
        <v>-0.22056010000000001</v>
      </c>
      <c r="Z1273">
        <v>-9.7395199999999998E-3</v>
      </c>
      <c r="AA1273">
        <v>0.97532469999999905</v>
      </c>
      <c r="AB1273">
        <v>36</v>
      </c>
      <c r="AC1273">
        <v>8.4398999999999909</v>
      </c>
      <c r="AD1273">
        <v>-1.1036677397429999</v>
      </c>
      <c r="AE1273">
        <v>-2.9824999999999799</v>
      </c>
      <c r="AF1273">
        <v>-2.4879360841429601</v>
      </c>
      <c r="AG1273">
        <v>-1.1036677397429999</v>
      </c>
      <c r="AH1273">
        <v>-8.4590586782309103</v>
      </c>
      <c r="AI1273">
        <v>97.134614164420697</v>
      </c>
      <c r="AJ1273">
        <v>-106.38940099946301</v>
      </c>
      <c r="AK1273">
        <v>8.8861455176180701</v>
      </c>
    </row>
    <row r="1274" spans="1:37" x14ac:dyDescent="0.2">
      <c r="A1274" t="str">
        <f>"20200111150612724"</f>
        <v>20200111150612724</v>
      </c>
      <c r="B1274" t="str">
        <f>"1578726372718070"</f>
        <v>1578726372718070</v>
      </c>
      <c r="C1274" t="s">
        <v>37</v>
      </c>
      <c r="D1274">
        <v>4.7210369999999999</v>
      </c>
      <c r="E1274">
        <v>0.46043899999999999</v>
      </c>
      <c r="F1274" t="s">
        <v>39</v>
      </c>
      <c r="G1274">
        <v>-384.98140000000001</v>
      </c>
      <c r="H1274" s="1">
        <v>-3.9805049999999998E-6</v>
      </c>
      <c r="I1274">
        <v>147.5069</v>
      </c>
      <c r="J1274">
        <v>-255.2534</v>
      </c>
      <c r="K1274">
        <v>1.103823</v>
      </c>
      <c r="L1274">
        <v>141.31309999999999</v>
      </c>
      <c r="M1274">
        <v>-0.99858780000000003</v>
      </c>
      <c r="N1274">
        <v>0</v>
      </c>
      <c r="O1274">
        <v>5.2236459999999998E-2</v>
      </c>
      <c r="P1274">
        <v>-0.98983489999999996</v>
      </c>
      <c r="Q1274">
        <v>0.118574499999999</v>
      </c>
      <c r="R1274">
        <v>7.8531619999999996E-2</v>
      </c>
      <c r="S1274">
        <v>-3.0227970000000002</v>
      </c>
      <c r="T1274">
        <v>-2.5643349999999999E-2</v>
      </c>
      <c r="U1274">
        <v>0.14434810000000001</v>
      </c>
      <c r="V1274">
        <v>2.6422279999999999E-2</v>
      </c>
      <c r="W1274">
        <v>0.1282481</v>
      </c>
      <c r="X1274">
        <v>0.99138999999999999</v>
      </c>
      <c r="Y1274">
        <v>-4.5437150000000003E-3</v>
      </c>
      <c r="Z1274">
        <v>-4.6187140000000001E-4</v>
      </c>
      <c r="AA1274">
        <v>0.99998960000000003</v>
      </c>
      <c r="AB1274">
        <v>36</v>
      </c>
      <c r="AC1274">
        <v>-129.72799999999901</v>
      </c>
      <c r="AD1274">
        <v>-1.1038269805050001</v>
      </c>
      <c r="AE1274">
        <v>6.1938000000000004</v>
      </c>
      <c r="AF1274">
        <v>-0.59146337292360196</v>
      </c>
      <c r="AG1274">
        <v>-1.1038269805050001</v>
      </c>
      <c r="AH1274">
        <v>129.86504806731801</v>
      </c>
      <c r="AI1274">
        <v>90.486985908444893</v>
      </c>
      <c r="AJ1274">
        <v>90.260948740228301</v>
      </c>
      <c r="AK1274">
        <v>129.871085975482</v>
      </c>
    </row>
    <row r="1275" spans="1:37" x14ac:dyDescent="0.2">
      <c r="A1275" t="str">
        <f>"20200111150612859"</f>
        <v>20200111150612859</v>
      </c>
      <c r="B1275" t="str">
        <f>"1578726372857638"</f>
        <v>1578726372857638</v>
      </c>
      <c r="C1275" t="s">
        <v>37</v>
      </c>
      <c r="D1275">
        <v>4.7250990000000002</v>
      </c>
      <c r="E1275">
        <v>0.44643179999999999</v>
      </c>
      <c r="F1275" t="s">
        <v>38</v>
      </c>
      <c r="G1275">
        <v>-257.98349999999999</v>
      </c>
      <c r="H1275">
        <v>0.87371540000000003</v>
      </c>
      <c r="I1275">
        <v>141.38939999999999</v>
      </c>
      <c r="J1275">
        <v>-257.4529</v>
      </c>
      <c r="K1275">
        <v>1.104441</v>
      </c>
      <c r="L1275">
        <v>141.41069999999999</v>
      </c>
      <c r="M1275">
        <v>-0.99905569999999899</v>
      </c>
      <c r="N1275">
        <v>0</v>
      </c>
      <c r="O1275">
        <v>4.2344220000000002E-2</v>
      </c>
      <c r="P1275">
        <v>-0.99089950000000004</v>
      </c>
      <c r="Q1275">
        <v>0.1205615</v>
      </c>
      <c r="R1275">
        <v>5.9860660000000003E-2</v>
      </c>
      <c r="S1275">
        <v>-3.1266780000000001</v>
      </c>
      <c r="T1275">
        <v>-0.79400740000000003</v>
      </c>
      <c r="U1275">
        <v>-2.1804810000000001E-2</v>
      </c>
      <c r="V1275">
        <v>1.7354319999999999E-2</v>
      </c>
      <c r="W1275">
        <v>0.13028709999999999</v>
      </c>
      <c r="X1275">
        <v>0.99132439999999999</v>
      </c>
      <c r="Y1275">
        <v>-4.649329E-2</v>
      </c>
      <c r="Z1275">
        <v>-1.639461E-2</v>
      </c>
      <c r="AA1275">
        <v>0.99878409999999995</v>
      </c>
      <c r="AB1275">
        <v>37</v>
      </c>
      <c r="AC1275">
        <v>-0.53059999999999197</v>
      </c>
      <c r="AD1275">
        <v>-0.230725599999999</v>
      </c>
      <c r="AE1275">
        <v>-2.1299999999996499E-2</v>
      </c>
      <c r="AF1275">
        <v>-3.6802244133210101E-2</v>
      </c>
      <c r="AG1275">
        <v>-0.230725599999999</v>
      </c>
      <c r="AH1275">
        <v>0.44518054357924902</v>
      </c>
      <c r="AI1275">
        <v>117.316909832566</v>
      </c>
      <c r="AJ1275">
        <v>94.725789257981305</v>
      </c>
      <c r="AK1275">
        <v>0.50276676903920003</v>
      </c>
    </row>
    <row r="1276" spans="1:37" x14ac:dyDescent="0.2">
      <c r="A1276" t="str">
        <f>"20200111150612881"</f>
        <v>20200111150612881</v>
      </c>
      <c r="B1276" t="str">
        <f>"1578726372877158"</f>
        <v>1578726372877158</v>
      </c>
      <c r="C1276" t="s">
        <v>37</v>
      </c>
      <c r="D1276">
        <v>4.7335180000000001</v>
      </c>
      <c r="E1276">
        <v>0.44962010000000002</v>
      </c>
      <c r="F1276" t="s">
        <v>53</v>
      </c>
      <c r="G1276">
        <v>0</v>
      </c>
      <c r="H1276">
        <v>0</v>
      </c>
      <c r="I1276">
        <v>0</v>
      </c>
      <c r="J1276">
        <v>-257.80950000000001</v>
      </c>
      <c r="K1276">
        <v>1.104473</v>
      </c>
      <c r="L1276">
        <v>141.42429999999999</v>
      </c>
      <c r="M1276">
        <v>-0.99912599999999996</v>
      </c>
      <c r="N1276">
        <v>0</v>
      </c>
      <c r="O1276">
        <v>4.064715E-2</v>
      </c>
      <c r="P1276">
        <v>-0.99108989999999997</v>
      </c>
      <c r="Q1276">
        <v>0.120448</v>
      </c>
      <c r="R1276">
        <v>5.6861040000000002E-2</v>
      </c>
      <c r="S1276">
        <v>-3.038818</v>
      </c>
      <c r="T1276">
        <v>2.7446990000000001E-2</v>
      </c>
      <c r="U1276">
        <v>-0.24119570000000001</v>
      </c>
      <c r="V1276">
        <v>1.6026229999999999E-2</v>
      </c>
      <c r="W1276">
        <v>0.1301821</v>
      </c>
      <c r="X1276">
        <v>0.99136059999999904</v>
      </c>
      <c r="Y1276">
        <v>-0.1195724</v>
      </c>
      <c r="Z1276">
        <v>9.0577339999999896E-4</v>
      </c>
      <c r="AA1276">
        <v>0.99282510000000002</v>
      </c>
      <c r="AB1276">
        <v>37</v>
      </c>
      <c r="AC1276">
        <v>-3.038818</v>
      </c>
      <c r="AD1276">
        <v>2.7446990000000001E-2</v>
      </c>
      <c r="AE1276">
        <v>-0.24119570000000001</v>
      </c>
      <c r="AF1276">
        <v>-0.36449196061820399</v>
      </c>
      <c r="AG1276">
        <v>2.7446990000000001E-2</v>
      </c>
      <c r="AH1276">
        <v>3.0262566517305198</v>
      </c>
      <c r="AI1276">
        <v>89.484091797779001</v>
      </c>
      <c r="AJ1276">
        <v>96.867803721697001</v>
      </c>
      <c r="AK1276">
        <v>3.0482514740025302</v>
      </c>
    </row>
    <row r="1277" spans="1:37" x14ac:dyDescent="0.2">
      <c r="A1277" t="str">
        <f>"20200111150612925"</f>
        <v>20200111150612925</v>
      </c>
      <c r="B1277" t="str">
        <f>"1578726372917427"</f>
        <v>1578726372917427</v>
      </c>
      <c r="C1277" t="s">
        <v>37</v>
      </c>
      <c r="D1277">
        <v>4.2631489999999896</v>
      </c>
      <c r="E1277">
        <v>0.45284350000000001</v>
      </c>
      <c r="F1277" t="s">
        <v>53</v>
      </c>
      <c r="G1277">
        <v>0</v>
      </c>
      <c r="H1277">
        <v>0</v>
      </c>
      <c r="I1277">
        <v>0</v>
      </c>
      <c r="J1277">
        <v>-258.52440000000001</v>
      </c>
      <c r="K1277">
        <v>1.1044940000000001</v>
      </c>
      <c r="L1277">
        <v>141.44990000000001</v>
      </c>
      <c r="M1277">
        <v>-0.99925419999999998</v>
      </c>
      <c r="N1277">
        <v>0</v>
      </c>
      <c r="O1277">
        <v>3.7355340000000001E-2</v>
      </c>
      <c r="P1277">
        <v>-0.99129709999999904</v>
      </c>
      <c r="Q1277">
        <v>0.12137139999999901</v>
      </c>
      <c r="R1277">
        <v>5.0982359999999997E-2</v>
      </c>
      <c r="S1277">
        <v>-3.0339969999999998</v>
      </c>
      <c r="T1277">
        <v>4.8070670000000003E-2</v>
      </c>
      <c r="U1277">
        <v>-0.2250366</v>
      </c>
      <c r="V1277">
        <v>1.34079E-2</v>
      </c>
      <c r="W1277">
        <v>0.1311233</v>
      </c>
      <c r="X1277">
        <v>0.99127540000000003</v>
      </c>
      <c r="Y1277">
        <v>-0.11115309999999901</v>
      </c>
      <c r="Z1277">
        <v>1.470432E-3</v>
      </c>
      <c r="AA1277">
        <v>0.99380219999999897</v>
      </c>
      <c r="AB1277">
        <v>37</v>
      </c>
      <c r="AC1277">
        <v>-3.0339969999999998</v>
      </c>
      <c r="AD1277">
        <v>4.8070670000000003E-2</v>
      </c>
      <c r="AE1277">
        <v>-0.2250366</v>
      </c>
      <c r="AF1277">
        <v>-0.33813650947621499</v>
      </c>
      <c r="AG1277">
        <v>4.8070670000000003E-2</v>
      </c>
      <c r="AH1277">
        <v>3.0227178366218599</v>
      </c>
      <c r="AI1277">
        <v>89.094541459932699</v>
      </c>
      <c r="AJ1277">
        <v>96.382859440397795</v>
      </c>
      <c r="AK1277">
        <v>3.0419517103640801</v>
      </c>
    </row>
    <row r="1278" spans="1:37" x14ac:dyDescent="0.2">
      <c r="A1278" t="str">
        <f>"20200111150612946"</f>
        <v>20200111150612946</v>
      </c>
      <c r="B1278" t="str">
        <f>"1578726372937923"</f>
        <v>1578726372937923</v>
      </c>
      <c r="C1278" t="s">
        <v>37</v>
      </c>
      <c r="D1278">
        <v>5.281091</v>
      </c>
      <c r="E1278">
        <v>0.45525729999999998</v>
      </c>
      <c r="F1278" t="s">
        <v>53</v>
      </c>
      <c r="G1278">
        <v>0</v>
      </c>
      <c r="H1278">
        <v>0</v>
      </c>
      <c r="I1278">
        <v>0</v>
      </c>
      <c r="J1278">
        <v>-258.89440000000002</v>
      </c>
      <c r="K1278">
        <v>1.104468</v>
      </c>
      <c r="L1278">
        <v>141.4623</v>
      </c>
      <c r="M1278">
        <v>-0.9993128</v>
      </c>
      <c r="N1278">
        <v>0</v>
      </c>
      <c r="O1278">
        <v>3.5749980000000001E-2</v>
      </c>
      <c r="P1278">
        <v>-0.9913999</v>
      </c>
      <c r="Q1278">
        <v>0.1223234</v>
      </c>
      <c r="R1278">
        <v>4.6513470000000001E-2</v>
      </c>
      <c r="S1278">
        <v>-3.0239259999999999</v>
      </c>
      <c r="T1278">
        <v>0.11106489999999999</v>
      </c>
      <c r="U1278">
        <v>-0.21821589999999999</v>
      </c>
      <c r="V1278">
        <v>1.053785E-2</v>
      </c>
      <c r="W1278">
        <v>0.13207720000000001</v>
      </c>
      <c r="X1278">
        <v>0.99118340000000005</v>
      </c>
      <c r="Y1278">
        <v>-0.1074928</v>
      </c>
      <c r="Z1278">
        <v>3.2819909999999902E-3</v>
      </c>
      <c r="AA1278">
        <v>0.99420049999999904</v>
      </c>
      <c r="AB1278">
        <v>37</v>
      </c>
      <c r="AC1278">
        <v>-3.0239259999999999</v>
      </c>
      <c r="AD1278">
        <v>0.11106489999999999</v>
      </c>
      <c r="AE1278">
        <v>-0.21821589999999999</v>
      </c>
      <c r="AF1278">
        <v>-0.325749712423127</v>
      </c>
      <c r="AG1278">
        <v>0.11106489999999999</v>
      </c>
      <c r="AH1278">
        <v>3.0101515754740999</v>
      </c>
      <c r="AI1278">
        <v>87.899183147892501</v>
      </c>
      <c r="AJ1278">
        <v>96.176344615732205</v>
      </c>
      <c r="AK1278">
        <v>3.0297624980326399</v>
      </c>
    </row>
    <row r="1279" spans="1:37" x14ac:dyDescent="0.2">
      <c r="A1279" t="str">
        <f>"20200111150613260"</f>
        <v>20200111150613260</v>
      </c>
      <c r="B1279" t="str">
        <f>"1578726373257416"</f>
        <v>1578726373257416</v>
      </c>
      <c r="C1279" t="s">
        <v>37</v>
      </c>
      <c r="D1279">
        <v>5.4206969999999997</v>
      </c>
      <c r="E1279">
        <v>0.45461889999999999</v>
      </c>
      <c r="F1279" t="s">
        <v>53</v>
      </c>
      <c r="G1279">
        <v>0</v>
      </c>
      <c r="H1279">
        <v>0</v>
      </c>
      <c r="I1279">
        <v>0</v>
      </c>
      <c r="J1279">
        <v>-264.10910000000001</v>
      </c>
      <c r="K1279">
        <v>1.103694</v>
      </c>
      <c r="L1279">
        <v>141.59989999999999</v>
      </c>
      <c r="M1279">
        <v>-0.99968599999999996</v>
      </c>
      <c r="N1279">
        <v>0</v>
      </c>
      <c r="O1279">
        <v>2.3007159999999999E-2</v>
      </c>
      <c r="P1279">
        <v>-0.99002209999999902</v>
      </c>
      <c r="Q1279">
        <v>0.14087749999999999</v>
      </c>
      <c r="R1279">
        <v>3.1806059999999999E-3</v>
      </c>
      <c r="S1279">
        <v>-3.023193</v>
      </c>
      <c r="T1279">
        <v>0.10360419999999999</v>
      </c>
      <c r="U1279">
        <v>-0.21200559999999999</v>
      </c>
      <c r="V1279">
        <v>-1.9848879999999999E-2</v>
      </c>
      <c r="W1279">
        <v>0.15067039999999901</v>
      </c>
      <c r="X1279">
        <v>0.98838479999999995</v>
      </c>
      <c r="Y1279">
        <v>-9.2820319999999998E-2</v>
      </c>
      <c r="Z1279">
        <v>2.3754499999999999E-3</v>
      </c>
      <c r="AA1279">
        <v>0.99567999999999901</v>
      </c>
      <c r="AB1279">
        <v>38</v>
      </c>
      <c r="AC1279">
        <v>-3.023193</v>
      </c>
      <c r="AD1279">
        <v>0.10360419999999999</v>
      </c>
      <c r="AE1279">
        <v>-0.21200559999999999</v>
      </c>
      <c r="AF1279">
        <v>-0.28117938369743001</v>
      </c>
      <c r="AG1279">
        <v>0.10360419999999999</v>
      </c>
      <c r="AH1279">
        <v>3.0139924282850998</v>
      </c>
      <c r="AI1279">
        <v>88.039771813425602</v>
      </c>
      <c r="AJ1279">
        <v>95.329773446194594</v>
      </c>
      <c r="AK1279">
        <v>3.0288522634545898</v>
      </c>
    </row>
    <row r="1280" spans="1:37" x14ac:dyDescent="0.2">
      <c r="A1280" t="str">
        <f>"20200111150613281"</f>
        <v>20200111150613281</v>
      </c>
      <c r="B1280" t="str">
        <f>"1578726373277912"</f>
        <v>1578726373277912</v>
      </c>
      <c r="C1280" t="s">
        <v>37</v>
      </c>
      <c r="D1280">
        <v>5.3156349999999897</v>
      </c>
      <c r="E1280">
        <v>0.45512749999999902</v>
      </c>
      <c r="F1280" t="s">
        <v>81</v>
      </c>
      <c r="G1280">
        <v>-452.83249999999998</v>
      </c>
      <c r="H1280">
        <v>8.1213219999999993</v>
      </c>
      <c r="I1280">
        <v>119.8177</v>
      </c>
      <c r="J1280">
        <v>-264.47140000000002</v>
      </c>
      <c r="K1280">
        <v>1.1036900000000001</v>
      </c>
      <c r="L1280">
        <v>141.60769999999999</v>
      </c>
      <c r="M1280">
        <v>-0.99969949999999996</v>
      </c>
      <c r="N1280">
        <v>0</v>
      </c>
      <c r="O1280">
        <v>2.2413220000000001E-2</v>
      </c>
      <c r="P1280">
        <v>-0.98978330000000003</v>
      </c>
      <c r="Q1280">
        <v>0.1425796</v>
      </c>
      <c r="R1280">
        <v>5.2797330000000004E-4</v>
      </c>
      <c r="S1280">
        <v>-3.01544199999999</v>
      </c>
      <c r="T1280">
        <v>0.1121287</v>
      </c>
      <c r="U1280">
        <v>-0.34803770000000001</v>
      </c>
      <c r="V1280">
        <v>-2.1904509999999999E-2</v>
      </c>
      <c r="W1280">
        <v>0.152373799999999</v>
      </c>
      <c r="X1280">
        <v>0.98808009999999902</v>
      </c>
      <c r="Y1280">
        <v>-0.136786299999999</v>
      </c>
      <c r="Z1280">
        <v>3.3645559999999999E-3</v>
      </c>
      <c r="AA1280">
        <v>0.99059489999999994</v>
      </c>
      <c r="AB1280">
        <v>38</v>
      </c>
      <c r="AC1280">
        <v>-188.36109999999999</v>
      </c>
      <c r="AD1280">
        <v>7.0176319999999901</v>
      </c>
      <c r="AE1280">
        <v>-21.7899999999999</v>
      </c>
      <c r="AF1280">
        <v>-25.970940082570301</v>
      </c>
      <c r="AG1280">
        <v>7.0176319999999901</v>
      </c>
      <c r="AH1280">
        <v>187.56845694095</v>
      </c>
      <c r="AI1280">
        <v>87.877581240636403</v>
      </c>
      <c r="AJ1280">
        <v>97.883116228609396</v>
      </c>
      <c r="AK1280">
        <v>189.487896518139</v>
      </c>
    </row>
    <row r="1281" spans="1:37" x14ac:dyDescent="0.2">
      <c r="A1281" t="str">
        <f>"20200111150613304"</f>
        <v>20200111150613304</v>
      </c>
      <c r="B1281" t="str">
        <f>"1578726373297972"</f>
        <v>1578726373297972</v>
      </c>
      <c r="C1281" t="s">
        <v>37</v>
      </c>
      <c r="D1281">
        <v>5.3974529999999996</v>
      </c>
      <c r="E1281">
        <v>0.456538</v>
      </c>
      <c r="F1281" t="s">
        <v>81</v>
      </c>
      <c r="G1281">
        <v>-451.81209999999999</v>
      </c>
      <c r="H1281">
        <v>5.7469869999999998</v>
      </c>
      <c r="I1281">
        <v>119.8177</v>
      </c>
      <c r="J1281">
        <v>-264.84989999999999</v>
      </c>
      <c r="K1281">
        <v>1.1036889999999999</v>
      </c>
      <c r="L1281">
        <v>141.6156</v>
      </c>
      <c r="M1281">
        <v>-0.99971319999999997</v>
      </c>
      <c r="N1281">
        <v>0</v>
      </c>
      <c r="O1281">
        <v>2.1792539999999999E-2</v>
      </c>
      <c r="P1281">
        <v>-0.98943669999999995</v>
      </c>
      <c r="Q1281">
        <v>0.14494939999999901</v>
      </c>
      <c r="R1281">
        <v>-2.199468E-3</v>
      </c>
      <c r="S1281">
        <v>-3.0203549999999999</v>
      </c>
      <c r="T1281">
        <v>7.486081E-2</v>
      </c>
      <c r="U1281">
        <v>-0.35130309999999998</v>
      </c>
      <c r="V1281">
        <v>-2.400863E-2</v>
      </c>
      <c r="W1281">
        <v>0.15474379999999999</v>
      </c>
      <c r="X1281">
        <v>0.98766290000000001</v>
      </c>
      <c r="Y1281">
        <v>-0.13710510000000001</v>
      </c>
      <c r="Z1281">
        <v>2.2315450000000001E-3</v>
      </c>
      <c r="AA1281">
        <v>0.99055400000000005</v>
      </c>
      <c r="AB1281">
        <v>38</v>
      </c>
      <c r="AC1281">
        <v>-186.9622</v>
      </c>
      <c r="AD1281">
        <v>4.6432979999999997</v>
      </c>
      <c r="AE1281">
        <v>-21.797899999999998</v>
      </c>
      <c r="AF1281">
        <v>-25.851573460726801</v>
      </c>
      <c r="AG1281">
        <v>4.6432979999999997</v>
      </c>
      <c r="AH1281">
        <v>186.32935280950201</v>
      </c>
      <c r="AI1281">
        <v>88.586032072732493</v>
      </c>
      <c r="AJ1281">
        <v>97.898865391953294</v>
      </c>
      <c r="AK1281">
        <v>188.171442533451</v>
      </c>
    </row>
    <row r="1282" spans="1:37" x14ac:dyDescent="0.2">
      <c r="A1282" t="str">
        <f>"20200111150613373"</f>
        <v>20200111150613373</v>
      </c>
      <c r="B1282" t="str">
        <f>"1578726373368242"</f>
        <v>1578726373368242</v>
      </c>
      <c r="C1282" t="s">
        <v>37</v>
      </c>
      <c r="D1282">
        <v>5.1564300000000003</v>
      </c>
      <c r="E1282">
        <v>0.48306009999999999</v>
      </c>
      <c r="F1282" t="s">
        <v>81</v>
      </c>
      <c r="G1282">
        <v>-457.8546</v>
      </c>
      <c r="H1282">
        <v>4.6983689999999996</v>
      </c>
      <c r="I1282">
        <v>119.395</v>
      </c>
      <c r="J1282">
        <v>-266.00259999999997</v>
      </c>
      <c r="K1282">
        <v>1.10368</v>
      </c>
      <c r="L1282">
        <v>141.63829999999999</v>
      </c>
      <c r="M1282">
        <v>-0.99975159999999996</v>
      </c>
      <c r="N1282">
        <v>0</v>
      </c>
      <c r="O1282">
        <v>1.9933309999999999E-2</v>
      </c>
      <c r="P1282">
        <v>-0.98813609999999896</v>
      </c>
      <c r="Q1282">
        <v>0.15313850000000001</v>
      </c>
      <c r="R1282">
        <v>-1.166065E-2</v>
      </c>
      <c r="S1282">
        <v>-3.02300999999999</v>
      </c>
      <c r="T1282">
        <v>5.630338E-2</v>
      </c>
      <c r="U1282">
        <v>-0.34803770000000001</v>
      </c>
      <c r="V1282">
        <v>-3.1600299999999998E-2</v>
      </c>
      <c r="W1282">
        <v>0.1629293</v>
      </c>
      <c r="X1282">
        <v>0.98613150000000005</v>
      </c>
      <c r="Y1282">
        <v>-0.13412839999999901</v>
      </c>
      <c r="Z1282">
        <v>1.614957E-3</v>
      </c>
      <c r="AA1282">
        <v>0.99096260000000003</v>
      </c>
      <c r="AB1282">
        <v>38</v>
      </c>
      <c r="AC1282">
        <v>-191.852</v>
      </c>
      <c r="AD1282">
        <v>3.5946889999999998</v>
      </c>
      <c r="AE1282">
        <v>-22.243299999999898</v>
      </c>
      <c r="AF1282">
        <v>-26.054290072361699</v>
      </c>
      <c r="AG1282">
        <v>3.5946889999999998</v>
      </c>
      <c r="AH1282">
        <v>191.30420306996001</v>
      </c>
      <c r="AI1282">
        <v>88.933358676156104</v>
      </c>
      <c r="AJ1282">
        <v>97.755566578367393</v>
      </c>
      <c r="AK1282">
        <v>193.10371806988601</v>
      </c>
    </row>
    <row r="1283" spans="1:37" x14ac:dyDescent="0.2">
      <c r="A1283" t="str">
        <f>"20200111150613395"</f>
        <v>20200111150613395</v>
      </c>
      <c r="B1283" t="str">
        <f>"1578726373387956"</f>
        <v>1578726373387956</v>
      </c>
      <c r="C1283" t="s">
        <v>37</v>
      </c>
      <c r="D1283">
        <v>5.2485089999999897</v>
      </c>
      <c r="E1283">
        <v>0.50457989999999997</v>
      </c>
      <c r="F1283" t="s">
        <v>53</v>
      </c>
      <c r="G1283">
        <v>0</v>
      </c>
      <c r="H1283">
        <v>0</v>
      </c>
      <c r="I1283">
        <v>0</v>
      </c>
      <c r="J1283">
        <v>-266.3775</v>
      </c>
      <c r="K1283">
        <v>1.1036790000000001</v>
      </c>
      <c r="L1283">
        <v>141.64519999999999</v>
      </c>
      <c r="M1283">
        <v>-0.99976290000000001</v>
      </c>
      <c r="N1283">
        <v>0</v>
      </c>
      <c r="O1283">
        <v>1.9357309999999999E-2</v>
      </c>
      <c r="P1283">
        <v>-0.98773339999999998</v>
      </c>
      <c r="Q1283">
        <v>0.155491299999999</v>
      </c>
      <c r="R1283">
        <v>-1.4322E-2</v>
      </c>
      <c r="S1283">
        <v>-2.8550419999999899</v>
      </c>
      <c r="T1283">
        <v>1.1544399999999999</v>
      </c>
      <c r="U1283">
        <v>-0.17735290000000001</v>
      </c>
      <c r="V1283">
        <v>-3.3681240000000001E-2</v>
      </c>
      <c r="W1283">
        <v>0.16528209999999999</v>
      </c>
      <c r="X1283">
        <v>0.98567099999999996</v>
      </c>
      <c r="Y1283">
        <v>-7.3991580000000001E-2</v>
      </c>
      <c r="Z1283">
        <v>2.1906470000000001E-2</v>
      </c>
      <c r="AA1283">
        <v>0.99701819999999897</v>
      </c>
      <c r="AB1283">
        <v>38</v>
      </c>
      <c r="AC1283">
        <v>-2.8550419999999899</v>
      </c>
      <c r="AD1283">
        <v>1.1544399999999999</v>
      </c>
      <c r="AE1283">
        <v>-0.17735290000000001</v>
      </c>
      <c r="AF1283">
        <v>-0.20001207929052001</v>
      </c>
      <c r="AG1283">
        <v>1.1544399999999999</v>
      </c>
      <c r="AH1283">
        <v>2.4517530492496999</v>
      </c>
      <c r="AI1283">
        <v>64.859145759144596</v>
      </c>
      <c r="AJ1283">
        <v>94.663816622697098</v>
      </c>
      <c r="AK1283">
        <v>2.71732029027998</v>
      </c>
    </row>
    <row r="1284" spans="1:37" x14ac:dyDescent="0.2">
      <c r="A1284" t="str">
        <f>"20200111150613417"</f>
        <v>20200111150613417</v>
      </c>
      <c r="B1284" t="str">
        <f>"1578726373407475"</f>
        <v>1578726373407475</v>
      </c>
      <c r="C1284" t="s">
        <v>37</v>
      </c>
      <c r="D1284">
        <v>5.263153</v>
      </c>
      <c r="E1284">
        <v>0.50705440000000002</v>
      </c>
      <c r="F1284" t="s">
        <v>55</v>
      </c>
      <c r="G1284">
        <v>-680.55399999999997</v>
      </c>
      <c r="H1284">
        <v>-0.1</v>
      </c>
      <c r="I1284">
        <v>141.33330000000001</v>
      </c>
      <c r="J1284">
        <v>-266.75369999999998</v>
      </c>
      <c r="K1284">
        <v>1.103672</v>
      </c>
      <c r="L1284">
        <v>141.65199999999999</v>
      </c>
      <c r="M1284">
        <v>-0.99977359999999904</v>
      </c>
      <c r="N1284">
        <v>0</v>
      </c>
      <c r="O1284">
        <v>1.879699E-2</v>
      </c>
      <c r="P1284">
        <v>-0.98733029999999999</v>
      </c>
      <c r="Q1284">
        <v>0.1577701</v>
      </c>
      <c r="R1284">
        <v>-1.6965580000000001E-2</v>
      </c>
      <c r="S1284">
        <v>-3.038605</v>
      </c>
      <c r="T1284">
        <v>-8.8307860000000002E-3</v>
      </c>
      <c r="U1284">
        <v>-2.2888179999999902E-3</v>
      </c>
      <c r="V1284">
        <v>-3.5760140000000003E-2</v>
      </c>
      <c r="W1284">
        <v>0.16756109999999999</v>
      </c>
      <c r="X1284">
        <v>0.98521289999999995</v>
      </c>
      <c r="Y1284">
        <v>-1.9550870000000001E-2</v>
      </c>
      <c r="Z1284" s="1">
        <v>-8.3037349999999995E-5</v>
      </c>
      <c r="AA1284">
        <v>0.99980879999999905</v>
      </c>
      <c r="AB1284">
        <v>38</v>
      </c>
      <c r="AC1284">
        <v>-413.80029999999999</v>
      </c>
      <c r="AD1284">
        <v>-1.2036720000000001</v>
      </c>
      <c r="AE1284">
        <v>-0.31870000000000598</v>
      </c>
      <c r="AF1284">
        <v>-8.09716196638173</v>
      </c>
      <c r="AG1284">
        <v>-1.2036720000000001</v>
      </c>
      <c r="AH1284">
        <v>413.71769142989098</v>
      </c>
      <c r="AI1284">
        <v>90.166664195462403</v>
      </c>
      <c r="AJ1284">
        <v>91.121233133404999</v>
      </c>
      <c r="AK1284">
        <v>413.79867213449597</v>
      </c>
    </row>
    <row r="1285" spans="1:37" x14ac:dyDescent="0.2">
      <c r="A1285" t="str">
        <f>"20200111150613439"</f>
        <v>20200111150613439</v>
      </c>
      <c r="B1285" t="str">
        <f>"1578726373427970"</f>
        <v>1578726373427970</v>
      </c>
      <c r="C1285" t="s">
        <v>37</v>
      </c>
      <c r="D1285">
        <v>5.2454289999999997</v>
      </c>
      <c r="E1285">
        <v>0.50763210000000003</v>
      </c>
      <c r="F1285" t="s">
        <v>78</v>
      </c>
      <c r="G1285">
        <v>-298.8451</v>
      </c>
      <c r="H1285" s="1">
        <v>-8.7117080000000002E-6</v>
      </c>
      <c r="I1285">
        <v>141.7534</v>
      </c>
      <c r="J1285">
        <v>-267.1336</v>
      </c>
      <c r="K1285">
        <v>1.103667</v>
      </c>
      <c r="L1285">
        <v>141.65870000000001</v>
      </c>
      <c r="M1285">
        <v>-0.99978349999999905</v>
      </c>
      <c r="N1285">
        <v>0</v>
      </c>
      <c r="O1285">
        <v>1.825411E-2</v>
      </c>
      <c r="P1285">
        <v>-0.98697000000000001</v>
      </c>
      <c r="Q1285">
        <v>0.15981010000000001</v>
      </c>
      <c r="R1285">
        <v>-1.873269E-2</v>
      </c>
      <c r="S1285">
        <v>-3.05545</v>
      </c>
      <c r="T1285">
        <v>-0.105082199999999</v>
      </c>
      <c r="U1285">
        <v>9.6588130000000005E-3</v>
      </c>
      <c r="V1285">
        <v>-3.6979720000000001E-2</v>
      </c>
      <c r="W1285">
        <v>0.169603799999999</v>
      </c>
      <c r="X1285">
        <v>0.98481830000000004</v>
      </c>
      <c r="Y1285">
        <v>-1.50746E-2</v>
      </c>
      <c r="Z1285">
        <v>-8.8674740000000004E-4</v>
      </c>
      <c r="AA1285">
        <v>0.99988600000000005</v>
      </c>
      <c r="AB1285">
        <v>38</v>
      </c>
      <c r="AC1285">
        <v>-31.711500000000001</v>
      </c>
      <c r="AD1285">
        <v>-1.1036757117080001</v>
      </c>
      <c r="AE1285">
        <v>9.4699999999988904E-2</v>
      </c>
      <c r="AF1285">
        <v>-0.48362405463967301</v>
      </c>
      <c r="AG1285">
        <v>-1.1036757117080001</v>
      </c>
      <c r="AH1285">
        <v>31.669583628669798</v>
      </c>
      <c r="AI1285">
        <v>91.995700872423299</v>
      </c>
      <c r="AJ1285">
        <v>90.874891942204997</v>
      </c>
      <c r="AK1285">
        <v>31.692499420464699</v>
      </c>
    </row>
    <row r="1286" spans="1:37" x14ac:dyDescent="0.2">
      <c r="A1286" t="str">
        <f>"20200111150613461"</f>
        <v>20200111150613461</v>
      </c>
      <c r="B1286" t="str">
        <f>"1578726373458226"</f>
        <v>1578726373458226</v>
      </c>
      <c r="C1286" t="s">
        <v>37</v>
      </c>
      <c r="D1286">
        <v>5.1888759999999996</v>
      </c>
      <c r="E1286">
        <v>0.50835669999999999</v>
      </c>
      <c r="F1286" t="s">
        <v>78</v>
      </c>
      <c r="G1286">
        <v>-292.00749999999999</v>
      </c>
      <c r="H1286" s="1">
        <v>-9.3067539999999996E-6</v>
      </c>
      <c r="I1286">
        <v>141.72980000000001</v>
      </c>
      <c r="J1286">
        <v>-267.49299999999999</v>
      </c>
      <c r="K1286">
        <v>1.103656</v>
      </c>
      <c r="L1286">
        <v>141.66480000000001</v>
      </c>
      <c r="M1286">
        <v>-0.99979240000000003</v>
      </c>
      <c r="N1286">
        <v>0</v>
      </c>
      <c r="O1286">
        <v>1.7767229999999998E-2</v>
      </c>
      <c r="P1286">
        <v>-0.98661699999999997</v>
      </c>
      <c r="Q1286">
        <v>0.16177079999999999</v>
      </c>
      <c r="R1286">
        <v>-2.0429599999999999E-2</v>
      </c>
      <c r="S1286">
        <v>-3.061798</v>
      </c>
      <c r="T1286">
        <v>-0.13585469999999999</v>
      </c>
      <c r="U1286">
        <v>8.7585449999999995E-3</v>
      </c>
      <c r="V1286">
        <v>-3.8183250000000002E-2</v>
      </c>
      <c r="W1286">
        <v>0.17156640000000001</v>
      </c>
      <c r="X1286">
        <v>0.98443230000000004</v>
      </c>
      <c r="Y1286">
        <v>-1.4875799999999899E-2</v>
      </c>
      <c r="Z1286">
        <v>-1.117825E-3</v>
      </c>
      <c r="AA1286">
        <v>0.99988869999999896</v>
      </c>
      <c r="AB1286">
        <v>38</v>
      </c>
      <c r="AC1286">
        <v>-24.514500000000002</v>
      </c>
      <c r="AD1286">
        <v>-1.1036653067540001</v>
      </c>
      <c r="AE1286">
        <v>6.4999999999997699E-2</v>
      </c>
      <c r="AF1286">
        <v>-0.36983707647630998</v>
      </c>
      <c r="AG1286">
        <v>-1.1036653067540001</v>
      </c>
      <c r="AH1286">
        <v>24.462203258293101</v>
      </c>
      <c r="AI1286">
        <v>92.582976610324906</v>
      </c>
      <c r="AJ1286">
        <v>90.866172563202397</v>
      </c>
      <c r="AK1286">
        <v>24.489880457497399</v>
      </c>
    </row>
    <row r="1287" spans="1:37" x14ac:dyDescent="0.2">
      <c r="A1287" t="str">
        <f>"20200111150613481"</f>
        <v>20200111150613481</v>
      </c>
      <c r="B1287" t="str">
        <f>"1578726373477746"</f>
        <v>1578726373477746</v>
      </c>
      <c r="C1287" t="s">
        <v>37</v>
      </c>
      <c r="D1287">
        <v>5.1691250000000002</v>
      </c>
      <c r="E1287">
        <v>0.50837569999999999</v>
      </c>
      <c r="F1287" t="s">
        <v>78</v>
      </c>
      <c r="G1287">
        <v>-289.0034</v>
      </c>
      <c r="H1287" s="1">
        <v>-9.0081699999999992E-6</v>
      </c>
      <c r="I1287">
        <v>141.72899999999899</v>
      </c>
      <c r="J1287">
        <v>-267.85649999999998</v>
      </c>
      <c r="K1287">
        <v>1.103634</v>
      </c>
      <c r="L1287">
        <v>141.67080000000001</v>
      </c>
      <c r="M1287">
        <v>-0.99980029999999998</v>
      </c>
      <c r="N1287">
        <v>0</v>
      </c>
      <c r="O1287">
        <v>1.7306330000000002E-2</v>
      </c>
      <c r="P1287">
        <v>-0.98652299999999904</v>
      </c>
      <c r="Q1287">
        <v>0.16217419999999999</v>
      </c>
      <c r="R1287">
        <v>-2.1729419999999999E-2</v>
      </c>
      <c r="S1287">
        <v>-3.066681</v>
      </c>
      <c r="T1287">
        <v>-0.15734670000000001</v>
      </c>
      <c r="U1287">
        <v>9.1552730000000002E-3</v>
      </c>
      <c r="V1287">
        <v>-3.9017379999999997E-2</v>
      </c>
      <c r="W1287">
        <v>0.17197499999999999</v>
      </c>
      <c r="X1287">
        <v>0.98432830000000004</v>
      </c>
      <c r="Y1287">
        <v>-1.4280630000000001E-2</v>
      </c>
      <c r="Z1287">
        <v>-1.253498E-3</v>
      </c>
      <c r="AA1287">
        <v>0.99989719999999904</v>
      </c>
      <c r="AB1287">
        <v>38</v>
      </c>
      <c r="AC1287">
        <v>-21.146899999999999</v>
      </c>
      <c r="AD1287">
        <v>-1.1036430081699999</v>
      </c>
      <c r="AE1287">
        <v>5.81999999999709E-2</v>
      </c>
      <c r="AF1287">
        <v>-0.30696613392637201</v>
      </c>
      <c r="AG1287">
        <v>-1.1036430081699999</v>
      </c>
      <c r="AH1287">
        <v>21.087304225492002</v>
      </c>
      <c r="AI1287">
        <v>92.995630180373794</v>
      </c>
      <c r="AJ1287">
        <v>90.833990992181796</v>
      </c>
      <c r="AK1287">
        <v>21.118396141641899</v>
      </c>
    </row>
    <row r="1288" spans="1:37" x14ac:dyDescent="0.2">
      <c r="A1288" t="str">
        <f>"20200111150613506"</f>
        <v>20200111150613506</v>
      </c>
      <c r="B1288" t="str">
        <f>"1578726373497268"</f>
        <v>1578726373497268</v>
      </c>
      <c r="C1288" t="s">
        <v>37</v>
      </c>
      <c r="D1288">
        <v>5.0918039999999998</v>
      </c>
      <c r="E1288">
        <v>0.50903540000000003</v>
      </c>
      <c r="F1288" t="s">
        <v>78</v>
      </c>
      <c r="G1288">
        <v>-288.55739999999997</v>
      </c>
      <c r="H1288" s="1">
        <v>-8.7330969999999996E-6</v>
      </c>
      <c r="I1288">
        <v>141.7056</v>
      </c>
      <c r="J1288">
        <v>-268.26159999999999</v>
      </c>
      <c r="K1288">
        <v>1.1036049999999999</v>
      </c>
      <c r="L1288">
        <v>141.67740000000001</v>
      </c>
      <c r="M1288">
        <v>-0.99980840000000004</v>
      </c>
      <c r="N1288">
        <v>0</v>
      </c>
      <c r="O1288">
        <v>1.6831869999999999E-2</v>
      </c>
      <c r="P1288">
        <v>-0.98639669999999902</v>
      </c>
      <c r="Q1288">
        <v>0.1627671</v>
      </c>
      <c r="R1288">
        <v>-2.298563E-2</v>
      </c>
      <c r="S1288">
        <v>-3.067993</v>
      </c>
      <c r="T1288">
        <v>-0.16356609999999999</v>
      </c>
      <c r="U1288">
        <v>5.1574709999999899E-3</v>
      </c>
      <c r="V1288">
        <v>-3.9790869999999999E-2</v>
      </c>
      <c r="W1288">
        <v>0.17257529999999999</v>
      </c>
      <c r="X1288">
        <v>0.98419230000000002</v>
      </c>
      <c r="Y1288">
        <v>-1.510651E-2</v>
      </c>
      <c r="Z1288">
        <v>-1.299148E-3</v>
      </c>
      <c r="AA1288">
        <v>0.99988500000000002</v>
      </c>
      <c r="AB1288">
        <v>38</v>
      </c>
      <c r="AC1288">
        <v>-20.2957999999999</v>
      </c>
      <c r="AD1288">
        <v>-1.1036137330969999</v>
      </c>
      <c r="AE1288">
        <v>2.8199999999998199E-2</v>
      </c>
      <c r="AF1288">
        <v>-0.31251328197917699</v>
      </c>
      <c r="AG1288">
        <v>-1.1036137330969999</v>
      </c>
      <c r="AH1288">
        <v>20.233572673820799</v>
      </c>
      <c r="AI1288">
        <v>93.121658122958294</v>
      </c>
      <c r="AJ1288">
        <v>90.884879242534495</v>
      </c>
      <c r="AK1288">
        <v>20.266057607982901</v>
      </c>
    </row>
    <row r="1289" spans="1:37" x14ac:dyDescent="0.2">
      <c r="A1289" t="str">
        <f>"20200111150613528"</f>
        <v>20200111150613528</v>
      </c>
      <c r="B1289" t="str">
        <f>"1578726373517762"</f>
        <v>1578726373517762</v>
      </c>
      <c r="C1289" t="s">
        <v>37</v>
      </c>
      <c r="D1289">
        <v>5.1274759999999997</v>
      </c>
      <c r="E1289">
        <v>0.50926119999999997</v>
      </c>
      <c r="F1289" t="s">
        <v>78</v>
      </c>
      <c r="G1289">
        <v>-287.50650000000002</v>
      </c>
      <c r="H1289" s="1">
        <v>-8.0823140000000005E-6</v>
      </c>
      <c r="I1289">
        <v>141.71629999999999</v>
      </c>
      <c r="J1289">
        <v>-268.64780000000002</v>
      </c>
      <c r="K1289">
        <v>1.1035740000000001</v>
      </c>
      <c r="L1289">
        <v>141.68360000000001</v>
      </c>
      <c r="M1289">
        <v>-0.99981509999999996</v>
      </c>
      <c r="N1289">
        <v>0</v>
      </c>
      <c r="O1289">
        <v>1.641886E-2</v>
      </c>
      <c r="P1289">
        <v>-0.98648549999999902</v>
      </c>
      <c r="Q1289">
        <v>0.16213739999999999</v>
      </c>
      <c r="R1289">
        <v>-2.3622509999999999E-2</v>
      </c>
      <c r="S1289">
        <v>-3.07058699999999</v>
      </c>
      <c r="T1289">
        <v>-0.1760852</v>
      </c>
      <c r="U1289">
        <v>6.1950679999999998E-3</v>
      </c>
      <c r="V1289">
        <v>-4.0007389999999997E-2</v>
      </c>
      <c r="W1289">
        <v>0.17195579999999999</v>
      </c>
      <c r="X1289">
        <v>0.9842919</v>
      </c>
      <c r="Y1289">
        <v>-1.4351829999999999E-2</v>
      </c>
      <c r="Z1289">
        <v>-1.351961E-3</v>
      </c>
      <c r="AA1289">
        <v>0.99989609999999995</v>
      </c>
      <c r="AB1289">
        <v>38</v>
      </c>
      <c r="AC1289">
        <v>-18.858699999999999</v>
      </c>
      <c r="AD1289">
        <v>-1.1035820823139999</v>
      </c>
      <c r="AE1289">
        <v>3.2699999999976997E-2</v>
      </c>
      <c r="AF1289">
        <v>-0.27601309623716702</v>
      </c>
      <c r="AG1289">
        <v>-1.1035820823139999</v>
      </c>
      <c r="AH1289">
        <v>18.7923420494885</v>
      </c>
      <c r="AI1289">
        <v>93.360478616588594</v>
      </c>
      <c r="AJ1289">
        <v>90.841473001703804</v>
      </c>
      <c r="AK1289">
        <v>18.826741522278098</v>
      </c>
    </row>
    <row r="1290" spans="1:37" x14ac:dyDescent="0.2">
      <c r="A1290" t="str">
        <f>"20200111150613549"</f>
        <v>20200111150613549</v>
      </c>
      <c r="B1290" t="str">
        <f>"1578726373548018"</f>
        <v>1578726373548018</v>
      </c>
      <c r="C1290" t="s">
        <v>37</v>
      </c>
      <c r="D1290">
        <v>5.2008479999999997</v>
      </c>
      <c r="E1290">
        <v>0.50990349999999995</v>
      </c>
      <c r="F1290" t="s">
        <v>78</v>
      </c>
      <c r="G1290">
        <v>-287.53719999999998</v>
      </c>
      <c r="H1290" s="1">
        <v>-8.1025349999999998E-6</v>
      </c>
      <c r="I1290">
        <v>141.71960000000001</v>
      </c>
      <c r="J1290">
        <v>-269.01799999999997</v>
      </c>
      <c r="K1290">
        <v>1.103545</v>
      </c>
      <c r="L1290">
        <v>141.6893</v>
      </c>
      <c r="M1290">
        <v>-0.99982090000000001</v>
      </c>
      <c r="N1290">
        <v>0</v>
      </c>
      <c r="O1290">
        <v>1.6058599999999999E-2</v>
      </c>
      <c r="P1290">
        <v>-0.98644859999999901</v>
      </c>
      <c r="Q1290">
        <v>0.16229009999999999</v>
      </c>
      <c r="R1290">
        <v>-2.4113019999999999E-2</v>
      </c>
      <c r="S1290">
        <v>-3.0707399999999998</v>
      </c>
      <c r="T1290">
        <v>-0.179402799999999</v>
      </c>
      <c r="U1290">
        <v>5.859375E-3</v>
      </c>
      <c r="V1290">
        <v>-4.0128749999999998E-2</v>
      </c>
      <c r="W1290">
        <v>0.1721164</v>
      </c>
      <c r="X1290">
        <v>0.98425890000000005</v>
      </c>
      <c r="Y1290">
        <v>-1.4100069999999999E-2</v>
      </c>
      <c r="Z1290">
        <v>-1.348945E-3</v>
      </c>
      <c r="AA1290">
        <v>0.99989969999999995</v>
      </c>
      <c r="AB1290">
        <v>38</v>
      </c>
      <c r="AC1290">
        <v>-18.519200000000001</v>
      </c>
      <c r="AD1290">
        <v>-1.1035531025350001</v>
      </c>
      <c r="AE1290">
        <v>3.0300000000010999E-2</v>
      </c>
      <c r="AF1290">
        <v>-0.26616611186294298</v>
      </c>
      <c r="AG1290">
        <v>-1.1035531025350001</v>
      </c>
      <c r="AH1290">
        <v>18.451777570839301</v>
      </c>
      <c r="AI1290">
        <v>93.422280271235294</v>
      </c>
      <c r="AJ1290">
        <v>90.826431880730794</v>
      </c>
      <c r="AK1290">
        <v>18.486664636243798</v>
      </c>
    </row>
    <row r="1291" spans="1:37" x14ac:dyDescent="0.2">
      <c r="A1291" t="str">
        <f>"20200111150613570"</f>
        <v>20200111150613570</v>
      </c>
      <c r="B1291" t="str">
        <f>"1578726373567538"</f>
        <v>1578726373567538</v>
      </c>
      <c r="C1291" t="s">
        <v>37</v>
      </c>
      <c r="D1291">
        <v>5.1179079999999999</v>
      </c>
      <c r="E1291">
        <v>0.51066880000000003</v>
      </c>
      <c r="F1291" t="s">
        <v>78</v>
      </c>
      <c r="G1291">
        <v>-286.46929999999998</v>
      </c>
      <c r="H1291" s="1">
        <v>-7.44538699999999E-6</v>
      </c>
      <c r="I1291">
        <v>141.7433</v>
      </c>
      <c r="J1291">
        <v>-269.37299999999999</v>
      </c>
      <c r="K1291">
        <v>1.1035170000000001</v>
      </c>
      <c r="L1291">
        <v>141.69470000000001</v>
      </c>
      <c r="M1291">
        <v>-0.99982579999999999</v>
      </c>
      <c r="N1291">
        <v>0</v>
      </c>
      <c r="O1291">
        <v>1.5743429999999999E-2</v>
      </c>
      <c r="P1291">
        <v>-0.98639069999999995</v>
      </c>
      <c r="Q1291">
        <v>0.16269120000000001</v>
      </c>
      <c r="R1291">
        <v>-2.376555E-2</v>
      </c>
      <c r="S1291">
        <v>-3.0734249999999999</v>
      </c>
      <c r="T1291">
        <v>-0.19435160000000001</v>
      </c>
      <c r="U1291">
        <v>9.5062259999999996E-3</v>
      </c>
      <c r="V1291">
        <v>-3.9458010000000002E-2</v>
      </c>
      <c r="W1291">
        <v>0.17252600000000001</v>
      </c>
      <c r="X1291">
        <v>0.98421429999999999</v>
      </c>
      <c r="Y1291">
        <v>-1.2594899999999999E-2</v>
      </c>
      <c r="Z1291">
        <v>-1.3923989999999999E-3</v>
      </c>
      <c r="AA1291">
        <v>0.99991969999999997</v>
      </c>
      <c r="AB1291">
        <v>38</v>
      </c>
      <c r="AC1291">
        <v>-17.0962999999999</v>
      </c>
      <c r="AD1291">
        <v>-1.1035244453869999</v>
      </c>
      <c r="AE1291">
        <v>4.8599999999993301E-2</v>
      </c>
      <c r="AF1291">
        <v>-0.219658777916376</v>
      </c>
      <c r="AG1291">
        <v>-1.1035244453869999</v>
      </c>
      <c r="AH1291">
        <v>17.0240180358937</v>
      </c>
      <c r="AI1291">
        <v>93.708508662867104</v>
      </c>
      <c r="AJ1291">
        <v>90.739239263067603</v>
      </c>
      <c r="AK1291">
        <v>17.061160753791501</v>
      </c>
    </row>
    <row r="1292" spans="1:37" x14ac:dyDescent="0.2">
      <c r="A1292" t="str">
        <f>"20200111150613594"</f>
        <v>20200111150613594</v>
      </c>
      <c r="B1292" t="str">
        <f>"1578726373587765"</f>
        <v>1578726373587765</v>
      </c>
      <c r="C1292" t="s">
        <v>37</v>
      </c>
      <c r="D1292">
        <v>5.1263489999999896</v>
      </c>
      <c r="E1292">
        <v>0.51076630000000001</v>
      </c>
      <c r="F1292" t="s">
        <v>78</v>
      </c>
      <c r="G1292">
        <v>-286.51690000000002</v>
      </c>
      <c r="H1292" s="1">
        <v>-7.4891830000000004E-6</v>
      </c>
      <c r="I1292">
        <v>141.78710000000001</v>
      </c>
      <c r="J1292">
        <v>-269.7679</v>
      </c>
      <c r="K1292">
        <v>1.103488</v>
      </c>
      <c r="L1292">
        <v>141.70070000000001</v>
      </c>
      <c r="M1292">
        <v>-0.99983080000000002</v>
      </c>
      <c r="N1292">
        <v>0</v>
      </c>
      <c r="O1292">
        <v>1.5419759999999999E-2</v>
      </c>
      <c r="P1292">
        <v>-0.98632030000000004</v>
      </c>
      <c r="Q1292">
        <v>0.1632295</v>
      </c>
      <c r="R1292">
        <v>-2.2992499999999999E-2</v>
      </c>
      <c r="S1292">
        <v>-3.0744319999999998</v>
      </c>
      <c r="T1292">
        <v>-0.19789519999999999</v>
      </c>
      <c r="U1292">
        <v>1.6555790000000001E-2</v>
      </c>
      <c r="V1292">
        <v>-3.8353230000000002E-2</v>
      </c>
      <c r="W1292">
        <v>0.17307359999999999</v>
      </c>
      <c r="X1292">
        <v>0.98416190000000003</v>
      </c>
      <c r="Y1292">
        <v>-9.9834750000000003E-3</v>
      </c>
      <c r="Z1292">
        <v>-1.312491E-3</v>
      </c>
      <c r="AA1292">
        <v>0.99994930000000004</v>
      </c>
      <c r="AB1292">
        <v>38</v>
      </c>
      <c r="AC1292">
        <v>-16.748999999999999</v>
      </c>
      <c r="AD1292">
        <v>-1.103495489183</v>
      </c>
      <c r="AE1292">
        <v>8.6399999999997507E-2</v>
      </c>
      <c r="AF1292">
        <v>-0.171145945972459</v>
      </c>
      <c r="AG1292">
        <v>-1.103495489183</v>
      </c>
      <c r="AH1292">
        <v>16.6759568214387</v>
      </c>
      <c r="AI1292">
        <v>93.785706363735699</v>
      </c>
      <c r="AJ1292">
        <v>90.588008006105895</v>
      </c>
      <c r="AK1292">
        <v>16.713303956428199</v>
      </c>
    </row>
    <row r="1293" spans="1:37" x14ac:dyDescent="0.2">
      <c r="A1293" t="str">
        <f>"20200111150613617"</f>
        <v>20200111150613617</v>
      </c>
      <c r="B1293" t="str">
        <f>"1578726373608262"</f>
        <v>1578726373608262</v>
      </c>
      <c r="C1293" t="s">
        <v>37</v>
      </c>
      <c r="D1293">
        <v>5.0930970000000002</v>
      </c>
      <c r="E1293">
        <v>0.51087389999999999</v>
      </c>
      <c r="F1293" t="s">
        <v>38</v>
      </c>
      <c r="G1293">
        <v>-270.80669999999998</v>
      </c>
      <c r="H1293">
        <v>1.0369699999999999</v>
      </c>
      <c r="I1293">
        <v>141.70740000000001</v>
      </c>
      <c r="J1293">
        <v>-270.16640000000001</v>
      </c>
      <c r="K1293">
        <v>1.103464</v>
      </c>
      <c r="L1293">
        <v>141.70650000000001</v>
      </c>
      <c r="M1293">
        <v>-0.99983539999999904</v>
      </c>
      <c r="N1293">
        <v>0</v>
      </c>
      <c r="O1293">
        <v>1.511474E-2</v>
      </c>
      <c r="P1293">
        <v>-0.98609919999999995</v>
      </c>
      <c r="Q1293">
        <v>0.16465650000000001</v>
      </c>
      <c r="R1293">
        <v>-2.2287810000000002E-2</v>
      </c>
      <c r="S1293">
        <v>-3.074646</v>
      </c>
      <c r="T1293">
        <v>-0.19692299999999999</v>
      </c>
      <c r="U1293">
        <v>1.9577029999999999E-2</v>
      </c>
      <c r="V1293">
        <v>-3.7336069999999999E-2</v>
      </c>
      <c r="W1293">
        <v>0.17450769999999999</v>
      </c>
      <c r="X1293">
        <v>0.98394769999999898</v>
      </c>
      <c r="Y1293">
        <v>-8.7000150000000002E-3</v>
      </c>
      <c r="Z1293">
        <v>-1.2453869999999999E-3</v>
      </c>
      <c r="AA1293">
        <v>0.9999614</v>
      </c>
      <c r="AB1293">
        <v>38</v>
      </c>
      <c r="AC1293">
        <v>-0.64029999999996701</v>
      </c>
      <c r="AD1293">
        <v>-6.6493999999999803E-2</v>
      </c>
      <c r="AE1293">
        <v>9.0000000000145497E-4</v>
      </c>
      <c r="AF1293">
        <v>-8.6848966209285595E-3</v>
      </c>
      <c r="AG1293">
        <v>-6.6493999999999803E-2</v>
      </c>
      <c r="AH1293">
        <v>0.63340949426030102</v>
      </c>
      <c r="AI1293">
        <v>95.9922814953254</v>
      </c>
      <c r="AJ1293">
        <v>90.785553021096405</v>
      </c>
      <c r="AK1293">
        <v>0.63694934404896497</v>
      </c>
    </row>
    <row r="1294" spans="1:37" x14ac:dyDescent="0.2">
      <c r="A1294" t="str">
        <f>"20200111150613639"</f>
        <v>20200111150613639</v>
      </c>
      <c r="B1294" t="str">
        <f>"1578726373627784"</f>
        <v>1578726373627784</v>
      </c>
      <c r="C1294" t="s">
        <v>37</v>
      </c>
      <c r="D1294">
        <v>5.0576829999999999</v>
      </c>
      <c r="E1294">
        <v>0.5112932</v>
      </c>
      <c r="F1294" t="s">
        <v>38</v>
      </c>
      <c r="G1294">
        <v>-271.16239999999999</v>
      </c>
      <c r="H1294">
        <v>1.041064</v>
      </c>
      <c r="I1294">
        <v>141.71420000000001</v>
      </c>
      <c r="J1294">
        <v>-270.5401</v>
      </c>
      <c r="K1294">
        <v>1.1034539999999999</v>
      </c>
      <c r="L1294">
        <v>141.71199999999999</v>
      </c>
      <c r="M1294">
        <v>-0.999839699999999</v>
      </c>
      <c r="N1294">
        <v>0</v>
      </c>
      <c r="O1294">
        <v>1.484099E-2</v>
      </c>
      <c r="P1294">
        <v>-0.98612199999999905</v>
      </c>
      <c r="Q1294">
        <v>0.16460089999999999</v>
      </c>
      <c r="R1294">
        <v>-2.1680060000000001E-2</v>
      </c>
      <c r="S1294">
        <v>-3.0749819999999999</v>
      </c>
      <c r="T1294">
        <v>-0.19283320000000001</v>
      </c>
      <c r="U1294">
        <v>2.2628780000000001E-2</v>
      </c>
      <c r="V1294">
        <v>-3.6451949999999997E-2</v>
      </c>
      <c r="W1294">
        <v>0.1744608</v>
      </c>
      <c r="X1294">
        <v>0.98398920000000001</v>
      </c>
      <c r="Y1294">
        <v>-7.4395809999999998E-3</v>
      </c>
      <c r="Z1294">
        <v>-1.1628039999999999E-3</v>
      </c>
      <c r="AA1294">
        <v>0.99997159999999996</v>
      </c>
      <c r="AB1294">
        <v>38</v>
      </c>
      <c r="AC1294">
        <v>-0.62229999999999497</v>
      </c>
      <c r="AD1294">
        <v>-6.2390000000000098E-2</v>
      </c>
      <c r="AE1294">
        <v>2.1999999999877599E-3</v>
      </c>
      <c r="AF1294">
        <v>-6.9662335424817501E-3</v>
      </c>
      <c r="AG1294">
        <v>-6.2390000000000098E-2</v>
      </c>
      <c r="AH1294">
        <v>0.61607174828119204</v>
      </c>
      <c r="AI1294">
        <v>95.782300201692905</v>
      </c>
      <c r="AJ1294">
        <v>90.647844625867293</v>
      </c>
      <c r="AK1294">
        <v>0.61926201202722997</v>
      </c>
    </row>
    <row r="1295" spans="1:37" x14ac:dyDescent="0.2">
      <c r="A1295" t="str">
        <f>"20200111150613661"</f>
        <v>20200111150613661</v>
      </c>
      <c r="B1295" t="str">
        <f>"1578726373658037"</f>
        <v>1578726373658037</v>
      </c>
      <c r="C1295" t="s">
        <v>37</v>
      </c>
      <c r="D1295">
        <v>4.9883980000000001</v>
      </c>
      <c r="E1295">
        <v>0.51117950000000001</v>
      </c>
      <c r="F1295" t="s">
        <v>78</v>
      </c>
      <c r="G1295">
        <v>-288.0591</v>
      </c>
      <c r="H1295" s="1">
        <v>-8.477151E-6</v>
      </c>
      <c r="I1295">
        <v>141.8733</v>
      </c>
      <c r="J1295">
        <v>-270.92270000000002</v>
      </c>
      <c r="K1295">
        <v>1.103448</v>
      </c>
      <c r="L1295">
        <v>141.7174</v>
      </c>
      <c r="M1295">
        <v>-0.9998435</v>
      </c>
      <c r="N1295">
        <v>0</v>
      </c>
      <c r="O1295">
        <v>1.456874E-2</v>
      </c>
      <c r="P1295">
        <v>-0.98612900000000003</v>
      </c>
      <c r="Q1295">
        <v>0.1647023</v>
      </c>
      <c r="R1295">
        <v>-2.057229E-2</v>
      </c>
      <c r="S1295">
        <v>-3.0751339999999998</v>
      </c>
      <c r="T1295">
        <v>-0.19369220000000001</v>
      </c>
      <c r="U1295">
        <v>2.8320310000000001E-2</v>
      </c>
      <c r="V1295">
        <v>-3.5070360000000002E-2</v>
      </c>
      <c r="W1295">
        <v>0.1745707</v>
      </c>
      <c r="X1295">
        <v>0.98401989999999995</v>
      </c>
      <c r="Y1295">
        <v>-5.3213560000000002E-3</v>
      </c>
      <c r="Z1295">
        <v>-1.084132E-3</v>
      </c>
      <c r="AA1295">
        <v>0.99998529999999997</v>
      </c>
      <c r="AB1295">
        <v>38</v>
      </c>
      <c r="AC1295">
        <v>-17.136399999999899</v>
      </c>
      <c r="AD1295">
        <v>-1.103456477151</v>
      </c>
      <c r="AE1295">
        <v>0.15590000000000201</v>
      </c>
      <c r="AF1295">
        <v>-9.3397645970663204E-2</v>
      </c>
      <c r="AG1295">
        <v>-1.103456477151</v>
      </c>
      <c r="AH1295">
        <v>17.066095507893198</v>
      </c>
      <c r="AI1295">
        <v>93.699415129403505</v>
      </c>
      <c r="AJ1295">
        <v>90.313559566364603</v>
      </c>
      <c r="AK1295">
        <v>17.101986878774401</v>
      </c>
    </row>
    <row r="1296" spans="1:37" x14ac:dyDescent="0.2">
      <c r="A1296" t="str">
        <f>"20200111150613684"</f>
        <v>20200111150613684</v>
      </c>
      <c r="B1296" t="str">
        <f>"1578726373677557"</f>
        <v>1578726373677557</v>
      </c>
      <c r="C1296" t="s">
        <v>37</v>
      </c>
      <c r="D1296">
        <v>5.0839059999999998</v>
      </c>
      <c r="E1296">
        <v>0.51090500000000005</v>
      </c>
      <c r="F1296" t="s">
        <v>78</v>
      </c>
      <c r="G1296">
        <v>-289.10079999999999</v>
      </c>
      <c r="H1296" s="1">
        <v>-9.1030340000000004E-6</v>
      </c>
      <c r="I1296">
        <v>141.8896</v>
      </c>
      <c r="J1296">
        <v>-271.29759999999999</v>
      </c>
      <c r="K1296">
        <v>1.103443</v>
      </c>
      <c r="L1296">
        <v>141.7226</v>
      </c>
      <c r="M1296">
        <v>-0.99984729999999999</v>
      </c>
      <c r="N1296">
        <v>0</v>
      </c>
      <c r="O1296">
        <v>1.4305750000000001E-2</v>
      </c>
      <c r="P1296">
        <v>-0.98612639999999996</v>
      </c>
      <c r="Q1296">
        <v>0.1648792</v>
      </c>
      <c r="R1296">
        <v>-1.923646E-2</v>
      </c>
      <c r="S1296">
        <v>-3.0740050000000001</v>
      </c>
      <c r="T1296">
        <v>-0.1866005</v>
      </c>
      <c r="U1296">
        <v>2.9113770000000001E-2</v>
      </c>
      <c r="V1296">
        <v>-3.3471510000000003E-2</v>
      </c>
      <c r="W1296">
        <v>0.1747561</v>
      </c>
      <c r="X1296">
        <v>0.98404259999999999</v>
      </c>
      <c r="Y1296">
        <v>-4.8011009999999899E-3</v>
      </c>
      <c r="Z1296">
        <v>-1.0131700000000001E-3</v>
      </c>
      <c r="AA1296">
        <v>0.99998799999999899</v>
      </c>
      <c r="AB1296">
        <v>38</v>
      </c>
      <c r="AC1296">
        <v>-17.8032</v>
      </c>
      <c r="AD1296">
        <v>-1.1034521030339901</v>
      </c>
      <c r="AE1296">
        <v>0.16700000000000101</v>
      </c>
      <c r="AF1296">
        <v>-8.7382389349488596E-2</v>
      </c>
      <c r="AG1296">
        <v>-1.1034521030339901</v>
      </c>
      <c r="AH1296">
        <v>17.735640116581699</v>
      </c>
      <c r="AI1296">
        <v>93.560119368058196</v>
      </c>
      <c r="AJ1296">
        <v>90.282290437197304</v>
      </c>
      <c r="AK1296">
        <v>17.7701483553335</v>
      </c>
    </row>
    <row r="1297" spans="1:37" x14ac:dyDescent="0.2">
      <c r="A1297" t="str">
        <f>"20200111150613706"</f>
        <v>20200111150613706</v>
      </c>
      <c r="B1297" t="str">
        <f>"1578726373697690"</f>
        <v>1578726373697690</v>
      </c>
      <c r="C1297" t="s">
        <v>37</v>
      </c>
      <c r="D1297">
        <v>5.036486</v>
      </c>
      <c r="E1297">
        <v>0.51120679999999996</v>
      </c>
      <c r="F1297" t="s">
        <v>78</v>
      </c>
      <c r="G1297">
        <v>-290.96890000000002</v>
      </c>
      <c r="H1297" s="1">
        <v>-9.4603929999999993E-6</v>
      </c>
      <c r="I1297">
        <v>141.9196</v>
      </c>
      <c r="J1297">
        <v>-271.69009999999997</v>
      </c>
      <c r="K1297">
        <v>1.1034329999999899</v>
      </c>
      <c r="L1297">
        <v>141.72799999999901</v>
      </c>
      <c r="M1297">
        <v>-0.99985100000000005</v>
      </c>
      <c r="N1297">
        <v>0</v>
      </c>
      <c r="O1297">
        <v>1.4032309999999999E-2</v>
      </c>
      <c r="P1297">
        <v>-0.98607880000000003</v>
      </c>
      <c r="Q1297">
        <v>0.16518529999999901</v>
      </c>
      <c r="R1297">
        <v>-1.9040789999999998E-2</v>
      </c>
      <c r="S1297">
        <v>-3.0715939999999899</v>
      </c>
      <c r="T1297">
        <v>-0.17230019999999999</v>
      </c>
      <c r="U1297">
        <v>3.074646E-2</v>
      </c>
      <c r="V1297">
        <v>-3.3002289999999997E-2</v>
      </c>
      <c r="W1297">
        <v>0.17506830000000001</v>
      </c>
      <c r="X1297">
        <v>0.98400299999999996</v>
      </c>
      <c r="Y1297">
        <v>-3.9955299999999997E-3</v>
      </c>
      <c r="Z1297">
        <v>-8.9848049999999996E-4</v>
      </c>
      <c r="AA1297">
        <v>0.99999159999999998</v>
      </c>
      <c r="AB1297">
        <v>38</v>
      </c>
      <c r="AC1297">
        <v>-19.2788</v>
      </c>
      <c r="AD1297">
        <v>-1.103442460393</v>
      </c>
      <c r="AE1297">
        <v>0.191600000000022</v>
      </c>
      <c r="AF1297">
        <v>-7.8700840968209895E-2</v>
      </c>
      <c r="AG1297">
        <v>-1.103442460393</v>
      </c>
      <c r="AH1297">
        <v>19.216643534395502</v>
      </c>
      <c r="AI1297">
        <v>93.286355330189906</v>
      </c>
      <c r="AJ1297">
        <v>90.234650802213096</v>
      </c>
      <c r="AK1297">
        <v>19.2484588425617</v>
      </c>
    </row>
    <row r="1298" spans="1:37" x14ac:dyDescent="0.2">
      <c r="A1298" t="str">
        <f>"20200111150613731"</f>
        <v>20200111150613731</v>
      </c>
      <c r="B1298" t="str">
        <f>"1578726373727946"</f>
        <v>1578726373727946</v>
      </c>
      <c r="C1298" t="s">
        <v>37</v>
      </c>
      <c r="D1298">
        <v>5.2423070000000003</v>
      </c>
      <c r="E1298">
        <v>0.50985720000000001</v>
      </c>
      <c r="F1298" t="s">
        <v>78</v>
      </c>
      <c r="G1298">
        <v>-290.91579999999999</v>
      </c>
      <c r="H1298" s="1">
        <v>-9.4729280000000003E-6</v>
      </c>
      <c r="I1298">
        <v>141.94640000000001</v>
      </c>
      <c r="J1298">
        <v>-272.12290000000002</v>
      </c>
      <c r="K1298">
        <v>1.1034200000000001</v>
      </c>
      <c r="L1298">
        <v>141.7338</v>
      </c>
      <c r="M1298">
        <v>-0.9998551</v>
      </c>
      <c r="N1298">
        <v>0</v>
      </c>
      <c r="O1298">
        <v>1.372989E-2</v>
      </c>
      <c r="P1298">
        <v>-0.98611019999999905</v>
      </c>
      <c r="Q1298">
        <v>0.1650604</v>
      </c>
      <c r="R1298">
        <v>-1.849085E-2</v>
      </c>
      <c r="S1298">
        <v>-3.07254</v>
      </c>
      <c r="T1298">
        <v>-0.17634530000000001</v>
      </c>
      <c r="U1298">
        <v>3.489685E-2</v>
      </c>
      <c r="V1298">
        <v>-3.2150400000000003E-2</v>
      </c>
      <c r="W1298">
        <v>0.17495189999999999</v>
      </c>
      <c r="X1298">
        <v>0.98405189999999998</v>
      </c>
      <c r="Y1298">
        <v>-2.3473959999999999E-3</v>
      </c>
      <c r="Z1298">
        <v>-8.5465159999999999E-4</v>
      </c>
      <c r="AA1298">
        <v>0.99999689999999997</v>
      </c>
      <c r="AB1298">
        <v>38</v>
      </c>
      <c r="AC1298">
        <v>-18.7928999999999</v>
      </c>
      <c r="AD1298">
        <v>-1.1034294729280001</v>
      </c>
      <c r="AE1298">
        <v>0.212600000000008</v>
      </c>
      <c r="AF1298">
        <v>-4.5301401683501302E-2</v>
      </c>
      <c r="AG1298">
        <v>-1.1034294729280001</v>
      </c>
      <c r="AH1298">
        <v>18.729486298839401</v>
      </c>
      <c r="AI1298">
        <v>93.371618081355393</v>
      </c>
      <c r="AJ1298">
        <v>90.138582234426096</v>
      </c>
      <c r="AK1298">
        <v>18.762016571710301</v>
      </c>
    </row>
    <row r="1299" spans="1:37" x14ac:dyDescent="0.2">
      <c r="A1299" t="str">
        <f>"20200111150613750"</f>
        <v>20200111150613750</v>
      </c>
      <c r="B1299" t="str">
        <f>"1578726373747467"</f>
        <v>1578726373747467</v>
      </c>
      <c r="C1299" t="s">
        <v>37</v>
      </c>
      <c r="D1299">
        <v>4.9604970000000002</v>
      </c>
      <c r="E1299">
        <v>0.50837829999999995</v>
      </c>
      <c r="F1299" t="s">
        <v>78</v>
      </c>
      <c r="G1299">
        <v>-291.85550000000001</v>
      </c>
      <c r="H1299" s="1">
        <v>-9.3675119999999992E-6</v>
      </c>
      <c r="I1299">
        <v>141.8974</v>
      </c>
      <c r="J1299">
        <v>-272.45749999999998</v>
      </c>
      <c r="K1299">
        <v>1.103413</v>
      </c>
      <c r="L1299">
        <v>141.73820000000001</v>
      </c>
      <c r="M1299">
        <v>-0.99985820000000003</v>
      </c>
      <c r="N1299">
        <v>0</v>
      </c>
      <c r="O1299">
        <v>1.3495679999999999E-2</v>
      </c>
      <c r="P1299">
        <v>-0.98615900000000001</v>
      </c>
      <c r="Q1299">
        <v>0.1648366</v>
      </c>
      <c r="R1299">
        <v>-1.7870670000000002E-2</v>
      </c>
      <c r="S1299">
        <v>-3.071472</v>
      </c>
      <c r="T1299">
        <v>-0.1717542</v>
      </c>
      <c r="U1299">
        <v>2.5466920000000001E-2</v>
      </c>
      <c r="V1299">
        <v>-3.1298550000000001E-2</v>
      </c>
      <c r="W1299">
        <v>0.17473549999999999</v>
      </c>
      <c r="X1299">
        <v>0.98411789999999999</v>
      </c>
      <c r="Y1299">
        <v>-5.1763399999999998E-3</v>
      </c>
      <c r="Z1299">
        <v>-8.9868899999999896E-4</v>
      </c>
      <c r="AA1299">
        <v>0.99998619999999905</v>
      </c>
      <c r="AB1299">
        <v>38</v>
      </c>
      <c r="AC1299">
        <v>-19.398</v>
      </c>
      <c r="AD1299">
        <v>-1.1034223675120001</v>
      </c>
      <c r="AE1299">
        <v>0.15919999999999801</v>
      </c>
      <c r="AF1299">
        <v>-0.102286034695208</v>
      </c>
      <c r="AG1299">
        <v>-1.1034223675120001</v>
      </c>
      <c r="AH1299">
        <v>19.335820945104601</v>
      </c>
      <c r="AI1299">
        <v>93.266066070705705</v>
      </c>
      <c r="AJ1299">
        <v>90.303090488980402</v>
      </c>
      <c r="AK1299">
        <v>19.367549534599501</v>
      </c>
    </row>
    <row r="1300" spans="1:37" x14ac:dyDescent="0.2">
      <c r="A1300" t="str">
        <f>"20200111150613772"</f>
        <v>20200111150613772</v>
      </c>
      <c r="B1300" t="str">
        <f>"1578726373767962"</f>
        <v>1578726373767962</v>
      </c>
      <c r="C1300" t="s">
        <v>37</v>
      </c>
      <c r="D1300">
        <v>4.9874669999999997</v>
      </c>
      <c r="E1300">
        <v>0.50692510000000002</v>
      </c>
      <c r="F1300" t="s">
        <v>78</v>
      </c>
      <c r="G1300">
        <v>-292.78129999999999</v>
      </c>
      <c r="H1300" s="1">
        <v>-9.2666580000000007E-6</v>
      </c>
      <c r="I1300">
        <v>141.83799999999999</v>
      </c>
      <c r="J1300">
        <v>-272.82459999999998</v>
      </c>
      <c r="K1300">
        <v>1.1034079999999999</v>
      </c>
      <c r="L1300">
        <v>141.74289999999999</v>
      </c>
      <c r="M1300">
        <v>-0.99986160000000002</v>
      </c>
      <c r="N1300">
        <v>0</v>
      </c>
      <c r="O1300">
        <v>1.323852E-2</v>
      </c>
      <c r="P1300">
        <v>-0.98603249999999998</v>
      </c>
      <c r="Q1300">
        <v>0.16556599999999999</v>
      </c>
      <c r="R1300">
        <v>-1.8105650000000001E-2</v>
      </c>
      <c r="S1300">
        <v>-3.0702820000000002</v>
      </c>
      <c r="T1300">
        <v>-0.16669200000000001</v>
      </c>
      <c r="U1300">
        <v>1.5075679999999999E-2</v>
      </c>
      <c r="V1300">
        <v>-3.1277029999999997E-2</v>
      </c>
      <c r="W1300">
        <v>0.17546970000000001</v>
      </c>
      <c r="X1300">
        <v>0.98398790000000003</v>
      </c>
      <c r="Y1300">
        <v>-8.2976119999999993E-3</v>
      </c>
      <c r="Z1300">
        <v>-9.433086E-4</v>
      </c>
      <c r="AA1300">
        <v>0.99996509999999905</v>
      </c>
      <c r="AB1300">
        <v>38</v>
      </c>
      <c r="AC1300">
        <v>-19.956700000000001</v>
      </c>
      <c r="AD1300">
        <v>-1.103417266658</v>
      </c>
      <c r="AE1300">
        <v>9.51000000000021E-2</v>
      </c>
      <c r="AF1300">
        <v>-0.168603501725269</v>
      </c>
      <c r="AG1300">
        <v>-1.103417266658</v>
      </c>
      <c r="AH1300">
        <v>19.895390244327</v>
      </c>
      <c r="AI1300">
        <v>93.174312587346193</v>
      </c>
      <c r="AJ1300">
        <v>90.485541509545996</v>
      </c>
      <c r="AK1300">
        <v>19.926678342845101</v>
      </c>
    </row>
    <row r="1301" spans="1:37" x14ac:dyDescent="0.2">
      <c r="A1301" t="str">
        <f>"20200111150613795"</f>
        <v>20200111150613795</v>
      </c>
      <c r="B1301" t="str">
        <f>"1578726373788091"</f>
        <v>1578726373788091</v>
      </c>
      <c r="C1301" t="s">
        <v>37</v>
      </c>
      <c r="D1301">
        <v>4.9673910000000001</v>
      </c>
      <c r="E1301">
        <v>0.50553110000000001</v>
      </c>
      <c r="F1301" t="s">
        <v>78</v>
      </c>
      <c r="G1301">
        <v>-293.28309999999999</v>
      </c>
      <c r="H1301" s="1">
        <v>-9.2025849999999996E-6</v>
      </c>
      <c r="I1301">
        <v>141.7621</v>
      </c>
      <c r="J1301">
        <v>-273.23320000000001</v>
      </c>
      <c r="K1301">
        <v>1.103405</v>
      </c>
      <c r="L1301">
        <v>141.74799999999999</v>
      </c>
      <c r="M1301">
        <v>-0.99986529999999996</v>
      </c>
      <c r="N1301">
        <v>0</v>
      </c>
      <c r="O1301">
        <v>1.2952139999999999E-2</v>
      </c>
      <c r="P1301">
        <v>-0.9859386</v>
      </c>
      <c r="Q1301">
        <v>0.1660354</v>
      </c>
      <c r="R1301">
        <v>-1.8910280000000002E-2</v>
      </c>
      <c r="S1301">
        <v>-3.0703740000000002</v>
      </c>
      <c r="T1301">
        <v>-0.1655992</v>
      </c>
      <c r="U1301">
        <v>2.8839109999999999E-3</v>
      </c>
      <c r="V1301">
        <v>-3.1796520000000002E-2</v>
      </c>
      <c r="W1301">
        <v>0.1759443</v>
      </c>
      <c r="X1301">
        <v>0.9838865</v>
      </c>
      <c r="Y1301">
        <v>-1.1977369999999999E-2</v>
      </c>
      <c r="Z1301">
        <v>-1.0208419999999899E-3</v>
      </c>
      <c r="AA1301">
        <v>0.99992780000000003</v>
      </c>
      <c r="AB1301">
        <v>39</v>
      </c>
      <c r="AC1301">
        <v>-20.049899999999901</v>
      </c>
      <c r="AD1301">
        <v>-1.103414202585</v>
      </c>
      <c r="AE1301">
        <v>1.41000000000133E-2</v>
      </c>
      <c r="AF1301">
        <v>-0.244861884191546</v>
      </c>
      <c r="AG1301">
        <v>-1.103414202585</v>
      </c>
      <c r="AH1301">
        <v>19.987863908075699</v>
      </c>
      <c r="AI1301">
        <v>93.159524361504197</v>
      </c>
      <c r="AJ1301">
        <v>90.701868435022007</v>
      </c>
      <c r="AK1301">
        <v>20.019794800460598</v>
      </c>
    </row>
    <row r="1302" spans="1:37" x14ac:dyDescent="0.2">
      <c r="A1302" t="str">
        <f>"20200111150613817"</f>
        <v>20200111150613817</v>
      </c>
      <c r="B1302" t="str">
        <f>"1578726373807611"</f>
        <v>1578726373807611</v>
      </c>
      <c r="C1302" t="s">
        <v>37</v>
      </c>
      <c r="D1302">
        <v>4.9701029999999999</v>
      </c>
      <c r="E1302">
        <v>0.50445600000000002</v>
      </c>
      <c r="F1302" t="s">
        <v>78</v>
      </c>
      <c r="G1302">
        <v>-293.92160000000001</v>
      </c>
      <c r="H1302" s="1">
        <v>-9.1237659999999993E-6</v>
      </c>
      <c r="I1302">
        <v>141.67590000000001</v>
      </c>
      <c r="J1302">
        <v>-273.61450000000002</v>
      </c>
      <c r="K1302">
        <v>1.103402</v>
      </c>
      <c r="L1302">
        <v>141.7527</v>
      </c>
      <c r="M1302">
        <v>-0.9998688</v>
      </c>
      <c r="N1302">
        <v>0</v>
      </c>
      <c r="O1302">
        <v>1.2685109999999999E-2</v>
      </c>
      <c r="P1302">
        <v>-0.98604009999999997</v>
      </c>
      <c r="Q1302">
        <v>0.16535079999999999</v>
      </c>
      <c r="R1302">
        <v>-1.9604320000000001E-2</v>
      </c>
      <c r="S1302">
        <v>-3.07016</v>
      </c>
      <c r="T1302">
        <v>-0.1637467</v>
      </c>
      <c r="U1302">
        <v>-1.069641E-2</v>
      </c>
      <c r="V1302">
        <v>-3.2227400000000003E-2</v>
      </c>
      <c r="W1302">
        <v>0.175266899999999</v>
      </c>
      <c r="X1302">
        <v>0.98399340000000002</v>
      </c>
      <c r="Y1302">
        <v>-1.6128420000000001E-2</v>
      </c>
      <c r="Z1302">
        <v>-1.105899E-3</v>
      </c>
      <c r="AA1302">
        <v>0.99986929999999996</v>
      </c>
      <c r="AB1302">
        <v>39</v>
      </c>
      <c r="AC1302">
        <v>-20.307099999999899</v>
      </c>
      <c r="AD1302">
        <v>-1.103411123766</v>
      </c>
      <c r="AE1302">
        <v>-7.67999999999915E-2</v>
      </c>
      <c r="AF1302">
        <v>-0.33342030328224898</v>
      </c>
      <c r="AG1302">
        <v>-1.103411123766</v>
      </c>
      <c r="AH1302">
        <v>20.244721503704099</v>
      </c>
      <c r="AI1302">
        <v>93.1193198953641</v>
      </c>
      <c r="AJ1302">
        <v>90.943547147082796</v>
      </c>
      <c r="AK1302">
        <v>20.277510546643299</v>
      </c>
    </row>
    <row r="1303" spans="1:37" x14ac:dyDescent="0.2">
      <c r="A1303" t="str">
        <f>"20200111150613840"</f>
        <v>20200111150613840</v>
      </c>
      <c r="B1303" t="str">
        <f>"1578726373837867"</f>
        <v>1578726373837867</v>
      </c>
      <c r="C1303" t="s">
        <v>37</v>
      </c>
      <c r="D1303">
        <v>4.9558919999999897</v>
      </c>
      <c r="E1303">
        <v>0.50263389999999997</v>
      </c>
      <c r="F1303" t="s">
        <v>78</v>
      </c>
      <c r="G1303">
        <v>-293.89449999999999</v>
      </c>
      <c r="H1303" s="1">
        <v>-9.1084879999999998E-6</v>
      </c>
      <c r="I1303">
        <v>141.60900000000001</v>
      </c>
      <c r="J1303">
        <v>-274.0052</v>
      </c>
      <c r="K1303">
        <v>1.1033930000000001</v>
      </c>
      <c r="L1303">
        <v>141.75739999999999</v>
      </c>
      <c r="M1303">
        <v>-0.99987209999999904</v>
      </c>
      <c r="N1303">
        <v>0</v>
      </c>
      <c r="O1303">
        <v>1.241188E-2</v>
      </c>
      <c r="P1303">
        <v>-0.98610159999999902</v>
      </c>
      <c r="Q1303">
        <v>0.1649833</v>
      </c>
      <c r="R1303">
        <v>-1.9609379999999999E-2</v>
      </c>
      <c r="S1303">
        <v>-3.0700379999999998</v>
      </c>
      <c r="T1303">
        <v>-0.1670372</v>
      </c>
      <c r="U1303">
        <v>-2.1759029999999999E-2</v>
      </c>
      <c r="V1303">
        <v>-3.196251E-2</v>
      </c>
      <c r="W1303">
        <v>0.1749059</v>
      </c>
      <c r="X1303">
        <v>0.9840662</v>
      </c>
      <c r="Y1303">
        <v>-1.9451889999999999E-2</v>
      </c>
      <c r="Z1303">
        <v>-1.2036169999999999E-3</v>
      </c>
      <c r="AA1303">
        <v>0.99980999999999998</v>
      </c>
      <c r="AB1303">
        <v>39</v>
      </c>
      <c r="AC1303">
        <v>-19.889299999999899</v>
      </c>
      <c r="AD1303">
        <v>-1.1034021084879999</v>
      </c>
      <c r="AE1303">
        <v>-0.14839999999998099</v>
      </c>
      <c r="AF1303">
        <v>-0.39405201704621301</v>
      </c>
      <c r="AG1303">
        <v>-1.1034021084879999</v>
      </c>
      <c r="AH1303">
        <v>19.8249136790708</v>
      </c>
      <c r="AI1303">
        <v>93.185016577071195</v>
      </c>
      <c r="AJ1303">
        <v>91.138695746706304</v>
      </c>
      <c r="AK1303">
        <v>19.859505925066799</v>
      </c>
    </row>
    <row r="1304" spans="1:37" x14ac:dyDescent="0.2">
      <c r="A1304" t="str">
        <f>"20200111150613862"</f>
        <v>20200111150613862</v>
      </c>
      <c r="B1304" t="str">
        <f>"1578726373857387"</f>
        <v>1578726373857387</v>
      </c>
      <c r="C1304" t="s">
        <v>37</v>
      </c>
      <c r="D1304">
        <v>4.9304519999999998</v>
      </c>
      <c r="E1304">
        <v>0.50154679999999996</v>
      </c>
      <c r="F1304" t="s">
        <v>78</v>
      </c>
      <c r="G1304">
        <v>-294.18009999999998</v>
      </c>
      <c r="H1304" s="1">
        <v>-9.0588950000000003E-6</v>
      </c>
      <c r="I1304">
        <v>141.51609999999999</v>
      </c>
      <c r="J1304">
        <v>-274.37189999999998</v>
      </c>
      <c r="K1304">
        <v>1.103394</v>
      </c>
      <c r="L1304">
        <v>141.76179999999999</v>
      </c>
      <c r="M1304">
        <v>-0.99987519999999996</v>
      </c>
      <c r="N1304">
        <v>0</v>
      </c>
      <c r="O1304">
        <v>1.2155869999999999E-2</v>
      </c>
      <c r="P1304">
        <v>-0.98616000000000004</v>
      </c>
      <c r="Q1304">
        <v>0.16457060000000001</v>
      </c>
      <c r="R1304">
        <v>-2.0122919999999999E-2</v>
      </c>
      <c r="S1304">
        <v>-3.0696720000000002</v>
      </c>
      <c r="T1304">
        <v>-0.1678858</v>
      </c>
      <c r="U1304">
        <v>-3.6727910000000002E-2</v>
      </c>
      <c r="V1304">
        <v>-3.2223889999999998E-2</v>
      </c>
      <c r="W1304">
        <v>0.1744993</v>
      </c>
      <c r="X1304">
        <v>0.9841299</v>
      </c>
      <c r="Y1304">
        <v>-2.4064519999999999E-2</v>
      </c>
      <c r="Z1304">
        <v>-1.32189E-3</v>
      </c>
      <c r="AA1304">
        <v>0.99970949999999903</v>
      </c>
      <c r="AB1304">
        <v>39</v>
      </c>
      <c r="AC1304">
        <v>-19.808199999999999</v>
      </c>
      <c r="AD1304">
        <v>-1.1034030588949999</v>
      </c>
      <c r="AE1304">
        <v>-0.245699999999999</v>
      </c>
      <c r="AF1304">
        <v>-0.48497537273388502</v>
      </c>
      <c r="AG1304">
        <v>-1.1034030588949999</v>
      </c>
      <c r="AH1304">
        <v>19.742498402197899</v>
      </c>
      <c r="AI1304">
        <v>93.197955341966406</v>
      </c>
      <c r="AJ1304">
        <v>91.407190427363503</v>
      </c>
      <c r="AK1304">
        <v>19.7792553596773</v>
      </c>
    </row>
    <row r="1305" spans="1:37" x14ac:dyDescent="0.2">
      <c r="A1305" t="str">
        <f>"20200111150613884"</f>
        <v>20200111150613884</v>
      </c>
      <c r="B1305" t="str">
        <f>"1578726373877883"</f>
        <v>1578726373877883</v>
      </c>
      <c r="C1305" t="s">
        <v>37</v>
      </c>
      <c r="D1305">
        <v>4.851458</v>
      </c>
      <c r="E1305">
        <v>0.50064679999999995</v>
      </c>
      <c r="F1305" t="s">
        <v>78</v>
      </c>
      <c r="G1305">
        <v>-294.44580000000002</v>
      </c>
      <c r="H1305" s="1">
        <v>-9.0196930000000002E-6</v>
      </c>
      <c r="I1305">
        <v>141.45590000000001</v>
      </c>
      <c r="J1305">
        <v>-274.7681</v>
      </c>
      <c r="K1305">
        <v>1.1033919999999999</v>
      </c>
      <c r="L1305">
        <v>141.7664</v>
      </c>
      <c r="M1305">
        <v>-0.9998785</v>
      </c>
      <c r="N1305">
        <v>0</v>
      </c>
      <c r="O1305">
        <v>1.187935E-2</v>
      </c>
      <c r="P1305">
        <v>-0.98611209999999905</v>
      </c>
      <c r="Q1305">
        <v>0.16482620000000001</v>
      </c>
      <c r="R1305">
        <v>-2.0391570000000001E-2</v>
      </c>
      <c r="S1305">
        <v>-3.0692750000000002</v>
      </c>
      <c r="T1305">
        <v>-0.1687092</v>
      </c>
      <c r="U1305">
        <v>-4.6768190000000001E-2</v>
      </c>
      <c r="V1305">
        <v>-3.2218610000000002E-2</v>
      </c>
      <c r="W1305">
        <v>0.17476079999999999</v>
      </c>
      <c r="X1305">
        <v>0.98408370000000001</v>
      </c>
      <c r="Y1305">
        <v>-2.7054499999999999E-2</v>
      </c>
      <c r="Z1305">
        <v>-1.39543E-3</v>
      </c>
      <c r="AA1305">
        <v>0.99963299999999999</v>
      </c>
      <c r="AB1305">
        <v>39</v>
      </c>
      <c r="AC1305">
        <v>-19.677700000000002</v>
      </c>
      <c r="AD1305">
        <v>-1.103401019693</v>
      </c>
      <c r="AE1305">
        <v>-0.31049999999999001</v>
      </c>
      <c r="AF1305">
        <v>-0.54254281111460501</v>
      </c>
      <c r="AG1305">
        <v>-1.103401019693</v>
      </c>
      <c r="AH1305">
        <v>19.6109760278949</v>
      </c>
      <c r="AI1305">
        <v>93.219091840835702</v>
      </c>
      <c r="AJ1305">
        <v>91.584698604333198</v>
      </c>
      <c r="AK1305">
        <v>19.6494841479063</v>
      </c>
    </row>
    <row r="1306" spans="1:37" x14ac:dyDescent="0.2">
      <c r="A1306" t="str">
        <f>"20200111150613907"</f>
        <v>20200111150613907</v>
      </c>
      <c r="B1306" t="str">
        <f>"1578726373897669"</f>
        <v>1578726373897669</v>
      </c>
      <c r="C1306" t="s">
        <v>37</v>
      </c>
      <c r="D1306">
        <v>4.9521559999999996</v>
      </c>
      <c r="E1306">
        <v>0.49978040000000001</v>
      </c>
      <c r="F1306" t="s">
        <v>78</v>
      </c>
      <c r="G1306">
        <v>-294.79270000000002</v>
      </c>
      <c r="H1306" s="1">
        <v>-8.9771549999999996E-6</v>
      </c>
      <c r="I1306">
        <v>141.4102</v>
      </c>
      <c r="J1306">
        <v>-275.16019999999997</v>
      </c>
      <c r="K1306">
        <v>1.103394</v>
      </c>
      <c r="L1306">
        <v>141.77080000000001</v>
      </c>
      <c r="M1306">
        <v>-0.99988140000000003</v>
      </c>
      <c r="N1306">
        <v>0</v>
      </c>
      <c r="O1306">
        <v>1.1606160000000001E-2</v>
      </c>
      <c r="P1306">
        <v>-0.98616139999999997</v>
      </c>
      <c r="Q1306">
        <v>0.16459479999999899</v>
      </c>
      <c r="R1306">
        <v>-1.9855569999999999E-2</v>
      </c>
      <c r="S1306">
        <v>-3.0693969999999999</v>
      </c>
      <c r="T1306">
        <v>-0.16913029999999901</v>
      </c>
      <c r="U1306">
        <v>-5.4595949999999997E-2</v>
      </c>
      <c r="V1306">
        <v>-3.1413709999999997E-2</v>
      </c>
      <c r="W1306">
        <v>0.17453640000000001</v>
      </c>
      <c r="X1306">
        <v>0.98414950000000001</v>
      </c>
      <c r="Y1306">
        <v>-2.9326020000000001E-2</v>
      </c>
      <c r="Z1306">
        <v>-1.446314E-3</v>
      </c>
      <c r="AA1306">
        <v>0.99956889999999998</v>
      </c>
      <c r="AB1306">
        <v>39</v>
      </c>
      <c r="AC1306">
        <v>-19.6325</v>
      </c>
      <c r="AD1306">
        <v>-1.103402977155</v>
      </c>
      <c r="AE1306">
        <v>-0.36060000000000503</v>
      </c>
      <c r="AF1306">
        <v>-0.58659303893137804</v>
      </c>
      <c r="AG1306">
        <v>-1.103402977155</v>
      </c>
      <c r="AH1306">
        <v>19.565211117263399</v>
      </c>
      <c r="AI1306">
        <v>93.2263966603537</v>
      </c>
      <c r="AJ1306">
        <v>91.7172950669854</v>
      </c>
      <c r="AK1306">
        <v>19.6050778010801</v>
      </c>
    </row>
    <row r="1307" spans="1:37" x14ac:dyDescent="0.2">
      <c r="A1307" t="str">
        <f>"20200111150613929"</f>
        <v>20200111150613929</v>
      </c>
      <c r="B1307" t="str">
        <f>"1578726373918166"</f>
        <v>1578726373918166</v>
      </c>
      <c r="C1307" t="s">
        <v>37</v>
      </c>
      <c r="D1307">
        <v>5.731554</v>
      </c>
      <c r="E1307">
        <v>0.49935159999999901</v>
      </c>
      <c r="F1307" t="s">
        <v>78</v>
      </c>
      <c r="G1307">
        <v>-295.11239999999998</v>
      </c>
      <c r="H1307" s="1">
        <v>-8.9402639999999996E-6</v>
      </c>
      <c r="I1307">
        <v>141.3768</v>
      </c>
      <c r="J1307">
        <v>-275.54669999999999</v>
      </c>
      <c r="K1307">
        <v>1.1033959999999901</v>
      </c>
      <c r="L1307">
        <v>141.77500000000001</v>
      </c>
      <c r="M1307">
        <v>-0.99988459999999901</v>
      </c>
      <c r="N1307">
        <v>0</v>
      </c>
      <c r="O1307">
        <v>1.13366E-2</v>
      </c>
      <c r="P1307">
        <v>-0.98620180000000002</v>
      </c>
      <c r="Q1307">
        <v>0.1643693</v>
      </c>
      <c r="R1307">
        <v>-1.9716850000000001E-2</v>
      </c>
      <c r="S1307">
        <v>-3.0692140000000001</v>
      </c>
      <c r="T1307">
        <v>-0.16973440000000001</v>
      </c>
      <c r="U1307">
        <v>-6.0607910000000001E-2</v>
      </c>
      <c r="V1307">
        <v>-3.100994E-2</v>
      </c>
      <c r="W1307">
        <v>0.17431759999999999</v>
      </c>
      <c r="X1307">
        <v>0.98420110000000005</v>
      </c>
      <c r="Y1307">
        <v>-3.101222E-2</v>
      </c>
      <c r="Z1307">
        <v>-1.483224E-3</v>
      </c>
      <c r="AA1307">
        <v>0.99951789999999996</v>
      </c>
      <c r="AB1307">
        <v>39</v>
      </c>
      <c r="AC1307">
        <v>-19.5657</v>
      </c>
      <c r="AD1307">
        <v>-1.1034049402639901</v>
      </c>
      <c r="AE1307">
        <v>-0.398200000000002</v>
      </c>
      <c r="AF1307">
        <v>-0.61802951085860502</v>
      </c>
      <c r="AG1307">
        <v>-1.1034049402639901</v>
      </c>
      <c r="AH1307">
        <v>19.497942887879901</v>
      </c>
      <c r="AI1307">
        <v>93.237339121360506</v>
      </c>
      <c r="AJ1307">
        <v>91.815505914771606</v>
      </c>
      <c r="AK1307">
        <v>19.538916034353502</v>
      </c>
    </row>
    <row r="1308" spans="1:37" x14ac:dyDescent="0.2">
      <c r="A1308" t="str">
        <f>"20200111150613950"</f>
        <v>20200111150613950</v>
      </c>
      <c r="B1308" t="str">
        <f>"1578726373947446"</f>
        <v>1578726373947446</v>
      </c>
      <c r="C1308" t="s">
        <v>37</v>
      </c>
      <c r="D1308">
        <v>4.9379309999999998</v>
      </c>
      <c r="E1308">
        <v>0.49814989999999998</v>
      </c>
      <c r="F1308" t="s">
        <v>78</v>
      </c>
      <c r="G1308">
        <v>-295.43950000000001</v>
      </c>
      <c r="H1308" s="1">
        <v>-8.9082950000000004E-6</v>
      </c>
      <c r="I1308">
        <v>141.36449999999999</v>
      </c>
      <c r="J1308">
        <v>-275.91559999999998</v>
      </c>
      <c r="K1308">
        <v>1.1033959999999901</v>
      </c>
      <c r="L1308">
        <v>141.779</v>
      </c>
      <c r="M1308">
        <v>-0.99988739999999998</v>
      </c>
      <c r="N1308">
        <v>0</v>
      </c>
      <c r="O1308">
        <v>1.107962E-2</v>
      </c>
      <c r="P1308">
        <v>-0.98613930000000005</v>
      </c>
      <c r="Q1308">
        <v>0.16475219999999999</v>
      </c>
      <c r="R1308">
        <v>-1.9656949999999999E-2</v>
      </c>
      <c r="S1308">
        <v>-3.0690919999999999</v>
      </c>
      <c r="T1308">
        <v>-0.17023550000000001</v>
      </c>
      <c r="U1308">
        <v>-6.3339229999999996E-2</v>
      </c>
      <c r="V1308">
        <v>-3.0696169999999998E-2</v>
      </c>
      <c r="W1308">
        <v>0.17470539999999901</v>
      </c>
      <c r="X1308">
        <v>0.98414210000000002</v>
      </c>
      <c r="Y1308">
        <v>-3.16443E-2</v>
      </c>
      <c r="Z1308">
        <v>-1.490915E-3</v>
      </c>
      <c r="AA1308">
        <v>0.99949809999999994</v>
      </c>
      <c r="AB1308">
        <v>39</v>
      </c>
      <c r="AC1308">
        <v>-19.523900000000001</v>
      </c>
      <c r="AD1308">
        <v>-1.1034049082949999</v>
      </c>
      <c r="AE1308">
        <v>-0.41450000000000298</v>
      </c>
      <c r="AF1308">
        <v>-0.62879555110458496</v>
      </c>
      <c r="AG1308">
        <v>-1.1034049082949999</v>
      </c>
      <c r="AH1308">
        <v>19.455994045295501</v>
      </c>
      <c r="AI1308">
        <v>93.244239767940996</v>
      </c>
      <c r="AJ1308">
        <v>91.851089972876906</v>
      </c>
      <c r="AK1308">
        <v>19.497399583721698</v>
      </c>
    </row>
    <row r="1309" spans="1:37" x14ac:dyDescent="0.2">
      <c r="A1309" t="str">
        <f>"20200111150613974"</f>
        <v>20200111150613974</v>
      </c>
      <c r="B1309" t="str">
        <f>"1578726373967942"</f>
        <v>1578726373967942</v>
      </c>
      <c r="C1309" t="s">
        <v>37</v>
      </c>
      <c r="D1309">
        <v>4.9852019999999904</v>
      </c>
      <c r="E1309">
        <v>0.49743009999999899</v>
      </c>
      <c r="F1309" t="s">
        <v>78</v>
      </c>
      <c r="G1309">
        <v>-295.91140000000001</v>
      </c>
      <c r="H1309" s="1">
        <v>-8.8515130000000004E-6</v>
      </c>
      <c r="I1309">
        <v>141.3064</v>
      </c>
      <c r="J1309">
        <v>-276.31889999999999</v>
      </c>
      <c r="K1309">
        <v>1.103391</v>
      </c>
      <c r="L1309">
        <v>141.78319999999999</v>
      </c>
      <c r="M1309">
        <v>-0.99989050000000002</v>
      </c>
      <c r="N1309">
        <v>0</v>
      </c>
      <c r="O1309">
        <v>1.079862E-2</v>
      </c>
      <c r="P1309">
        <v>-0.98611179999999998</v>
      </c>
      <c r="Q1309">
        <v>0.164882</v>
      </c>
      <c r="R1309">
        <v>-1.995181E-2</v>
      </c>
      <c r="S1309">
        <v>-3.0689700000000002</v>
      </c>
      <c r="T1309">
        <v>-0.1693511</v>
      </c>
      <c r="U1309">
        <v>-7.2540279999999999E-2</v>
      </c>
      <c r="V1309">
        <v>-3.0713730000000002E-2</v>
      </c>
      <c r="W1309">
        <v>0.17484160000000001</v>
      </c>
      <c r="X1309">
        <v>0.98411740000000003</v>
      </c>
      <c r="Y1309">
        <v>-3.4356199999999899E-2</v>
      </c>
      <c r="Z1309">
        <v>-1.542456E-3</v>
      </c>
      <c r="AA1309">
        <v>0.99940849999999903</v>
      </c>
      <c r="AB1309">
        <v>39</v>
      </c>
      <c r="AC1309">
        <v>-19.592500000000001</v>
      </c>
      <c r="AD1309">
        <v>-1.1033998515129999</v>
      </c>
      <c r="AE1309">
        <v>-0.476799999999997</v>
      </c>
      <c r="AF1309">
        <v>-0.68617995089271899</v>
      </c>
      <c r="AG1309">
        <v>-1.1033998515129999</v>
      </c>
      <c r="AH1309">
        <v>19.524320676978299</v>
      </c>
      <c r="AI1309">
        <v>93.232588515663295</v>
      </c>
      <c r="AJ1309">
        <v>92.0128249741405</v>
      </c>
      <c r="AK1309">
        <v>19.567509602777999</v>
      </c>
    </row>
    <row r="1310" spans="1:37" x14ac:dyDescent="0.2">
      <c r="A1310" t="str">
        <f>"20200111150613996"</f>
        <v>20200111150613996</v>
      </c>
      <c r="B1310" t="str">
        <f>"1578726373987463"</f>
        <v>1578726373987463</v>
      </c>
      <c r="C1310" t="s">
        <v>37</v>
      </c>
      <c r="D1310">
        <v>5.845402</v>
      </c>
      <c r="E1310">
        <v>0.49687439999999999</v>
      </c>
      <c r="F1310" t="s">
        <v>78</v>
      </c>
      <c r="G1310">
        <v>-296.01830000000001</v>
      </c>
      <c r="H1310" s="1">
        <v>-8.8334529999999907E-6</v>
      </c>
      <c r="I1310">
        <v>141.27350000000001</v>
      </c>
      <c r="J1310">
        <v>-276.7097</v>
      </c>
      <c r="K1310">
        <v>1.1033899999999901</v>
      </c>
      <c r="L1310">
        <v>141.78720000000001</v>
      </c>
      <c r="M1310">
        <v>-0.99989329999999998</v>
      </c>
      <c r="N1310">
        <v>0</v>
      </c>
      <c r="O1310">
        <v>1.0526550000000001E-2</v>
      </c>
      <c r="P1310">
        <v>-0.98617770000000005</v>
      </c>
      <c r="Q1310">
        <v>0.1645056</v>
      </c>
      <c r="R1310">
        <v>-1.9789930000000001E-2</v>
      </c>
      <c r="S1310">
        <v>-3.0693969999999999</v>
      </c>
      <c r="T1310">
        <v>-0.17192289999999999</v>
      </c>
      <c r="U1310">
        <v>-7.9422000000000006E-2</v>
      </c>
      <c r="V1310">
        <v>-3.0284019999999998E-2</v>
      </c>
      <c r="W1310">
        <v>0.1744716</v>
      </c>
      <c r="X1310">
        <v>0.98419639999999997</v>
      </c>
      <c r="Y1310">
        <v>-3.6315550000000002E-2</v>
      </c>
      <c r="Z1310">
        <v>-1.605181E-3</v>
      </c>
      <c r="AA1310">
        <v>0.99933909999999904</v>
      </c>
      <c r="AB1310">
        <v>39</v>
      </c>
      <c r="AC1310">
        <v>-19.308599999999998</v>
      </c>
      <c r="AD1310">
        <v>-1.1033988334529901</v>
      </c>
      <c r="AE1310">
        <v>-0.51370000000000005</v>
      </c>
      <c r="AF1310">
        <v>-0.71460294482366504</v>
      </c>
      <c r="AG1310">
        <v>-1.1033988334529901</v>
      </c>
      <c r="AH1310">
        <v>19.2393387031087</v>
      </c>
      <c r="AI1310">
        <v>93.280128233262303</v>
      </c>
      <c r="AJ1310">
        <v>92.127147948124303</v>
      </c>
      <c r="AK1310">
        <v>19.284198196641501</v>
      </c>
    </row>
    <row r="1311" spans="1:37" x14ac:dyDescent="0.2">
      <c r="A1311" t="str">
        <f>"20200111150614019"</f>
        <v>20200111150614019</v>
      </c>
      <c r="B1311" t="str">
        <f>"1578726374007957"</f>
        <v>1578726374007957</v>
      </c>
      <c r="C1311" t="s">
        <v>37</v>
      </c>
      <c r="D1311">
        <v>4.8587920000000002</v>
      </c>
      <c r="E1311">
        <v>0.49641479999999999</v>
      </c>
      <c r="F1311" t="s">
        <v>78</v>
      </c>
      <c r="G1311">
        <v>-296.49599999999998</v>
      </c>
      <c r="H1311" s="1">
        <v>-8.7851020000000004E-6</v>
      </c>
      <c r="I1311">
        <v>141.24930000000001</v>
      </c>
      <c r="J1311">
        <v>-277.11200000000002</v>
      </c>
      <c r="K1311">
        <v>1.1033899999999901</v>
      </c>
      <c r="L1311">
        <v>141.7912</v>
      </c>
      <c r="M1311">
        <v>-0.99989609999999995</v>
      </c>
      <c r="N1311">
        <v>0</v>
      </c>
      <c r="O1311">
        <v>1.024662E-2</v>
      </c>
      <c r="P1311">
        <v>-0.98625219999999902</v>
      </c>
      <c r="Q1311">
        <v>0.16403419999999999</v>
      </c>
      <c r="R1311">
        <v>-1.9987749999999999E-2</v>
      </c>
      <c r="S1311">
        <v>-3.0689090000000001</v>
      </c>
      <c r="T1311">
        <v>-0.171140299999999</v>
      </c>
      <c r="U1311">
        <v>-8.3435060000000005E-2</v>
      </c>
      <c r="V1311">
        <v>-3.020629E-2</v>
      </c>
      <c r="W1311">
        <v>0.1740072</v>
      </c>
      <c r="X1311">
        <v>0.98428099999999996</v>
      </c>
      <c r="Y1311">
        <v>-3.7345209999999997E-2</v>
      </c>
      <c r="Z1311">
        <v>-1.6111979999999899E-3</v>
      </c>
      <c r="AA1311">
        <v>0.99930110000000005</v>
      </c>
      <c r="AB1311">
        <v>39</v>
      </c>
      <c r="AC1311">
        <v>-19.383999999999901</v>
      </c>
      <c r="AD1311">
        <v>-1.103398785102</v>
      </c>
      <c r="AE1311">
        <v>-0.54189999999999805</v>
      </c>
      <c r="AF1311">
        <v>-0.73811244062034298</v>
      </c>
      <c r="AG1311">
        <v>-1.103398785102</v>
      </c>
      <c r="AH1311">
        <v>19.314893183400098</v>
      </c>
      <c r="AI1311">
        <v>93.267193513656295</v>
      </c>
      <c r="AJ1311">
        <v>92.188474908235094</v>
      </c>
      <c r="AK1311">
        <v>19.360459641757501</v>
      </c>
    </row>
    <row r="1312" spans="1:37" x14ac:dyDescent="0.2">
      <c r="A1312" t="str">
        <f>"20200111150614041"</f>
        <v>20200111150614041</v>
      </c>
      <c r="B1312" t="str">
        <f>"1578726374037238"</f>
        <v>1578726374037238</v>
      </c>
      <c r="C1312" t="s">
        <v>37</v>
      </c>
      <c r="D1312">
        <v>4.8556410000000003</v>
      </c>
      <c r="E1312">
        <v>0.49574579999999902</v>
      </c>
      <c r="F1312" t="s">
        <v>78</v>
      </c>
      <c r="G1312">
        <v>-296.69349999999997</v>
      </c>
      <c r="H1312" s="1">
        <v>-8.7626440000000001E-6</v>
      </c>
      <c r="I1312">
        <v>141.22989999999999</v>
      </c>
      <c r="J1312">
        <v>-277.48079999999999</v>
      </c>
      <c r="K1312">
        <v>1.1033869999999999</v>
      </c>
      <c r="L1312">
        <v>141.79480000000001</v>
      </c>
      <c r="M1312">
        <v>-0.99989869999999903</v>
      </c>
      <c r="N1312">
        <v>0</v>
      </c>
      <c r="O1312">
        <v>9.9899930000000008E-3</v>
      </c>
      <c r="P1312">
        <v>-0.98633649999999995</v>
      </c>
      <c r="Q1312">
        <v>0.1635433</v>
      </c>
      <c r="R1312">
        <v>-1.9862689999999999E-2</v>
      </c>
      <c r="S1312">
        <v>-3.0687869999999999</v>
      </c>
      <c r="T1312">
        <v>-0.17292379999999999</v>
      </c>
      <c r="U1312">
        <v>-8.7966920000000004E-2</v>
      </c>
      <c r="V1312">
        <v>-2.98287E-2</v>
      </c>
      <c r="W1312">
        <v>0.1735235</v>
      </c>
      <c r="X1312">
        <v>0.98437790000000003</v>
      </c>
      <c r="Y1312">
        <v>-3.85613E-2</v>
      </c>
      <c r="Z1312">
        <v>-1.6477760000000001E-3</v>
      </c>
      <c r="AA1312">
        <v>0.99925489999999995</v>
      </c>
      <c r="AB1312">
        <v>39</v>
      </c>
      <c r="AC1312">
        <v>-19.212699999999899</v>
      </c>
      <c r="AD1312">
        <v>-1.1033957626440001</v>
      </c>
      <c r="AE1312">
        <v>-0.56490000000002205</v>
      </c>
      <c r="AF1312">
        <v>-0.75433057693404104</v>
      </c>
      <c r="AG1312">
        <v>-1.1033957626440001</v>
      </c>
      <c r="AH1312">
        <v>19.1430132929049</v>
      </c>
      <c r="AI1312">
        <v>93.296303618880401</v>
      </c>
      <c r="AJ1312">
        <v>92.256573120265102</v>
      </c>
      <c r="AK1312">
        <v>19.189618411022501</v>
      </c>
    </row>
    <row r="1313" spans="1:37" x14ac:dyDescent="0.2">
      <c r="A1313" t="str">
        <f>"20200111150614062"</f>
        <v>20200111150614062</v>
      </c>
      <c r="B1313" t="str">
        <f>"1578726374057733"</f>
        <v>1578726374057733</v>
      </c>
      <c r="C1313" t="s">
        <v>37</v>
      </c>
      <c r="D1313">
        <v>4.8658460000000003</v>
      </c>
      <c r="E1313">
        <v>0.49527089999999901</v>
      </c>
      <c r="F1313" t="s">
        <v>78</v>
      </c>
      <c r="G1313">
        <v>-296.82569999999998</v>
      </c>
      <c r="H1313" s="1">
        <v>-8.7449669999999999E-6</v>
      </c>
      <c r="I1313">
        <v>141.20689999999999</v>
      </c>
      <c r="J1313">
        <v>-277.85989999999998</v>
      </c>
      <c r="K1313">
        <v>1.1033809999999999</v>
      </c>
      <c r="L1313">
        <v>141.79830000000001</v>
      </c>
      <c r="M1313">
        <v>-0.99990129999999999</v>
      </c>
      <c r="N1313">
        <v>0</v>
      </c>
      <c r="O1313">
        <v>9.7262719999999993E-3</v>
      </c>
      <c r="P1313">
        <v>-0.98640819999999996</v>
      </c>
      <c r="Q1313">
        <v>0.16304630000000001</v>
      </c>
      <c r="R1313">
        <v>-2.0376209999999999E-2</v>
      </c>
      <c r="S1313">
        <v>-3.068695</v>
      </c>
      <c r="T1313">
        <v>-0.17503239999999901</v>
      </c>
      <c r="U1313">
        <v>-9.3246460000000003E-2</v>
      </c>
      <c r="V1313">
        <v>-3.00834E-2</v>
      </c>
      <c r="W1313">
        <v>0.1730323</v>
      </c>
      <c r="X1313">
        <v>0.98445659999999902</v>
      </c>
      <c r="Y1313">
        <v>-4.001242E-2</v>
      </c>
      <c r="Z1313">
        <v>-1.6941579999999901E-3</v>
      </c>
      <c r="AA1313">
        <v>0.99919769999999897</v>
      </c>
      <c r="AB1313">
        <v>39</v>
      </c>
      <c r="AC1313">
        <v>-18.965800000000002</v>
      </c>
      <c r="AD1313">
        <v>-1.103389744967</v>
      </c>
      <c r="AE1313">
        <v>-0.59140000000002102</v>
      </c>
      <c r="AF1313">
        <v>-0.77323344095674695</v>
      </c>
      <c r="AG1313">
        <v>-1.103389744967</v>
      </c>
      <c r="AH1313">
        <v>18.895258413204399</v>
      </c>
      <c r="AI1313">
        <v>93.339206758284504</v>
      </c>
      <c r="AJ1313">
        <v>92.343355480912294</v>
      </c>
      <c r="AK1313">
        <v>18.943234923984999</v>
      </c>
    </row>
    <row r="1314" spans="1:37" x14ac:dyDescent="0.2">
      <c r="A1314" t="str">
        <f>"20200111150614087"</f>
        <v>20200111150614087</v>
      </c>
      <c r="B1314" t="str">
        <f>"1578726374078229"</f>
        <v>1578726374078229</v>
      </c>
      <c r="C1314" t="s">
        <v>37</v>
      </c>
      <c r="D1314">
        <v>4.8984170000000002</v>
      </c>
      <c r="E1314">
        <v>0.49481930000000002</v>
      </c>
      <c r="F1314" t="s">
        <v>78</v>
      </c>
      <c r="G1314">
        <v>-296.825999999999</v>
      </c>
      <c r="H1314" s="1">
        <v>-8.7400199999999906E-6</v>
      </c>
      <c r="I1314">
        <v>141.1883</v>
      </c>
      <c r="J1314">
        <v>-278.28160000000003</v>
      </c>
      <c r="K1314">
        <v>1.10338</v>
      </c>
      <c r="L1314">
        <v>141.8021</v>
      </c>
      <c r="M1314">
        <v>-0.99990389999999996</v>
      </c>
      <c r="N1314">
        <v>0</v>
      </c>
      <c r="O1314">
        <v>9.432925E-3</v>
      </c>
      <c r="P1314">
        <v>-0.98648230000000003</v>
      </c>
      <c r="Q1314">
        <v>0.16258449999999999</v>
      </c>
      <c r="R1314">
        <v>-2.0467470000000001E-2</v>
      </c>
      <c r="S1314">
        <v>-3.068848</v>
      </c>
      <c r="T1314">
        <v>-0.17853579999999999</v>
      </c>
      <c r="U1314">
        <v>-9.8709110000000003E-2</v>
      </c>
      <c r="V1314">
        <v>-2.988584E-2</v>
      </c>
      <c r="W1314">
        <v>0.17257809999999901</v>
      </c>
      <c r="X1314">
        <v>0.98454240000000004</v>
      </c>
      <c r="Y1314">
        <v>-4.148934E-2</v>
      </c>
      <c r="Z1314">
        <v>-1.753744E-3</v>
      </c>
      <c r="AA1314">
        <v>0.99913739999999995</v>
      </c>
      <c r="AB1314">
        <v>39</v>
      </c>
      <c r="AC1314">
        <v>-18.5443999999999</v>
      </c>
      <c r="AD1314">
        <v>-1.10338874002</v>
      </c>
      <c r="AE1314">
        <v>-0.61379999999999701</v>
      </c>
      <c r="AF1314">
        <v>-0.78593032135287499</v>
      </c>
      <c r="AG1314">
        <v>-1.10338874002</v>
      </c>
      <c r="AH1314">
        <v>18.472459431836601</v>
      </c>
      <c r="AI1314">
        <v>93.415222224435595</v>
      </c>
      <c r="AJ1314">
        <v>92.436240238634298</v>
      </c>
      <c r="AK1314">
        <v>18.522065506915698</v>
      </c>
    </row>
    <row r="1315" spans="1:37" x14ac:dyDescent="0.2">
      <c r="A1315" t="str">
        <f>"20200111150614108"</f>
        <v>20200111150614108</v>
      </c>
      <c r="B1315" t="str">
        <f>"1578726374097749"</f>
        <v>1578726374097749</v>
      </c>
      <c r="C1315" t="s">
        <v>37</v>
      </c>
      <c r="D1315">
        <v>4.892182</v>
      </c>
      <c r="E1315">
        <v>0.49434040000000001</v>
      </c>
      <c r="F1315" t="s">
        <v>78</v>
      </c>
      <c r="G1315">
        <v>-297.38499999999999</v>
      </c>
      <c r="H1315" s="1">
        <v>-8.6843889999999993E-6</v>
      </c>
      <c r="I1315">
        <v>141.1635</v>
      </c>
      <c r="J1315">
        <v>-278.67239999999998</v>
      </c>
      <c r="K1315">
        <v>1.1033790000000001</v>
      </c>
      <c r="L1315">
        <v>141.8056</v>
      </c>
      <c r="M1315">
        <v>-0.99990639999999997</v>
      </c>
      <c r="N1315">
        <v>0</v>
      </c>
      <c r="O1315">
        <v>9.161275E-3</v>
      </c>
      <c r="P1315">
        <v>-0.98645309999999897</v>
      </c>
      <c r="Q1315">
        <v>0.16280629999999999</v>
      </c>
      <c r="R1315">
        <v>-2.0113700000000002E-2</v>
      </c>
      <c r="S1315">
        <v>-3.0682070000000001</v>
      </c>
      <c r="T1315">
        <v>-0.17721579999999901</v>
      </c>
      <c r="U1315">
        <v>-0.1025696</v>
      </c>
      <c r="V1315">
        <v>-2.9263549999999999E-2</v>
      </c>
      <c r="W1315">
        <v>0.17280589999999901</v>
      </c>
      <c r="X1315">
        <v>0.98452109999999904</v>
      </c>
      <c r="Y1315">
        <v>-4.2480400000000001E-2</v>
      </c>
      <c r="Z1315">
        <v>-1.7540419999999999E-3</v>
      </c>
      <c r="AA1315">
        <v>0.99909570000000003</v>
      </c>
      <c r="AB1315">
        <v>39</v>
      </c>
      <c r="AC1315">
        <v>-18.712599999999998</v>
      </c>
      <c r="AD1315">
        <v>-1.103387684389</v>
      </c>
      <c r="AE1315">
        <v>-0.642099999999999</v>
      </c>
      <c r="AF1315">
        <v>-0.81069780470983999</v>
      </c>
      <c r="AG1315">
        <v>-1.103387684389</v>
      </c>
      <c r="AH1315">
        <v>18.6411951587367</v>
      </c>
      <c r="AI1315">
        <v>93.384240596427702</v>
      </c>
      <c r="AJ1315">
        <v>92.490200409935596</v>
      </c>
      <c r="AK1315">
        <v>18.6914111896008</v>
      </c>
    </row>
    <row r="1316" spans="1:37" x14ac:dyDescent="0.2">
      <c r="A1316" t="str">
        <f>"20200111150614131"</f>
        <v>20200111150614131</v>
      </c>
      <c r="B1316" t="str">
        <f>"1578726374128006"</f>
        <v>1578726374128006</v>
      </c>
      <c r="C1316" t="s">
        <v>37</v>
      </c>
      <c r="D1316">
        <v>4.7990209999999998</v>
      </c>
      <c r="E1316">
        <v>0.493805199999999</v>
      </c>
      <c r="F1316" t="s">
        <v>78</v>
      </c>
      <c r="G1316">
        <v>-298.04899999999998</v>
      </c>
      <c r="H1316" s="1">
        <v>-8.6200469999999906E-6</v>
      </c>
      <c r="I1316">
        <v>141.14070000000001</v>
      </c>
      <c r="J1316">
        <v>-279.0763</v>
      </c>
      <c r="K1316">
        <v>1.1033790000000001</v>
      </c>
      <c r="L1316">
        <v>141.8091</v>
      </c>
      <c r="M1316">
        <v>-0.99990900000000005</v>
      </c>
      <c r="N1316">
        <v>0</v>
      </c>
      <c r="O1316">
        <v>8.8808029999999996E-3</v>
      </c>
      <c r="P1316">
        <v>-0.98654560000000002</v>
      </c>
      <c r="Q1316">
        <v>0.162240299999999</v>
      </c>
      <c r="R1316">
        <v>-2.0161140000000001E-2</v>
      </c>
      <c r="S1316">
        <v>-3.0678709999999998</v>
      </c>
      <c r="T1316">
        <v>-0.17469789999999999</v>
      </c>
      <c r="U1316">
        <v>-0.1052704</v>
      </c>
      <c r="V1316">
        <v>-2.9035459999999999E-2</v>
      </c>
      <c r="W1316">
        <v>0.17224700000000001</v>
      </c>
      <c r="X1316">
        <v>0.9846258</v>
      </c>
      <c r="Y1316">
        <v>-4.3084240000000003E-2</v>
      </c>
      <c r="Z1316">
        <v>-1.730543E-3</v>
      </c>
      <c r="AA1316">
        <v>0.99906989999999996</v>
      </c>
      <c r="AB1316">
        <v>39</v>
      </c>
      <c r="AC1316">
        <v>-18.9727</v>
      </c>
      <c r="AD1316">
        <v>-1.1033876200470001</v>
      </c>
      <c r="AE1316">
        <v>-0.668399999999991</v>
      </c>
      <c r="AF1316">
        <v>-0.83405769398580998</v>
      </c>
      <c r="AG1316">
        <v>-1.1033876200470001</v>
      </c>
      <c r="AH1316">
        <v>18.902164044599001</v>
      </c>
      <c r="AI1316">
        <v>93.337530423071399</v>
      </c>
      <c r="AJ1316">
        <v>92.526536494690504</v>
      </c>
      <c r="AK1316">
        <v>18.952702235984798</v>
      </c>
    </row>
    <row r="1317" spans="1:37" x14ac:dyDescent="0.2">
      <c r="A1317" t="str">
        <f>"20200111150614153"</f>
        <v>20200111150614153</v>
      </c>
      <c r="B1317" t="str">
        <f>"1578726374147525"</f>
        <v>1578726374147525</v>
      </c>
      <c r="C1317" t="s">
        <v>37</v>
      </c>
      <c r="D1317">
        <v>4.8444089999999997</v>
      </c>
      <c r="E1317">
        <v>0.49358170000000001</v>
      </c>
      <c r="F1317" t="s">
        <v>78</v>
      </c>
      <c r="G1317">
        <v>-298.20999999999998</v>
      </c>
      <c r="H1317" s="1">
        <v>-8.6022409999999992E-6</v>
      </c>
      <c r="I1317">
        <v>141.1268</v>
      </c>
      <c r="J1317">
        <v>-279.4425</v>
      </c>
      <c r="K1317">
        <v>1.1033740000000001</v>
      </c>
      <c r="L1317">
        <v>141.81209999999999</v>
      </c>
      <c r="M1317">
        <v>-0.99991109999999905</v>
      </c>
      <c r="N1317">
        <v>0</v>
      </c>
      <c r="O1317">
        <v>8.6263409999999992E-3</v>
      </c>
      <c r="P1317">
        <v>-0.98656060000000001</v>
      </c>
      <c r="Q1317">
        <v>0.16211129999999899</v>
      </c>
      <c r="R1317">
        <v>-2.0457340000000001E-2</v>
      </c>
      <c r="S1317">
        <v>-3.0677490000000001</v>
      </c>
      <c r="T1317">
        <v>-0.17690839999999999</v>
      </c>
      <c r="U1317">
        <v>-0.1093903</v>
      </c>
      <c r="V1317">
        <v>-2.9080720000000001E-2</v>
      </c>
      <c r="W1317">
        <v>0.1721202</v>
      </c>
      <c r="X1317">
        <v>0.98464660000000004</v>
      </c>
      <c r="Y1317">
        <v>-4.416788E-2</v>
      </c>
      <c r="Z1317">
        <v>-1.7689839999999999E-3</v>
      </c>
      <c r="AA1317">
        <v>0.99902250000000004</v>
      </c>
      <c r="AB1317">
        <v>39</v>
      </c>
      <c r="AC1317">
        <v>-18.767499999999899</v>
      </c>
      <c r="AD1317">
        <v>-1.103382602241</v>
      </c>
      <c r="AE1317">
        <v>-0.68529999999998303</v>
      </c>
      <c r="AF1317">
        <v>-0.84426339286209395</v>
      </c>
      <c r="AG1317">
        <v>-1.103382602241</v>
      </c>
      <c r="AH1317">
        <v>18.6963513874889</v>
      </c>
      <c r="AI1317">
        <v>93.374016082692904</v>
      </c>
      <c r="AJ1317">
        <v>92.585525333416797</v>
      </c>
      <c r="AK1317">
        <v>18.747900923781099</v>
      </c>
    </row>
    <row r="1318" spans="1:37" x14ac:dyDescent="0.2">
      <c r="A1318" t="str">
        <f>"20200111150614174"</f>
        <v>20200111150614174</v>
      </c>
      <c r="B1318" t="str">
        <f>"1578726374168022"</f>
        <v>1578726374168022</v>
      </c>
      <c r="C1318" t="s">
        <v>37</v>
      </c>
      <c r="D1318">
        <v>4.7543139999999999</v>
      </c>
      <c r="E1318">
        <v>0.4931664</v>
      </c>
      <c r="F1318" t="s">
        <v>78</v>
      </c>
      <c r="G1318">
        <v>-298.57499999999999</v>
      </c>
      <c r="H1318" s="1">
        <v>-8.5668129999999996E-6</v>
      </c>
      <c r="I1318">
        <v>141.11410000000001</v>
      </c>
      <c r="J1318">
        <v>-279.8347</v>
      </c>
      <c r="K1318">
        <v>1.1033629999999901</v>
      </c>
      <c r="L1318">
        <v>141.8152</v>
      </c>
      <c r="M1318">
        <v>-0.99991350000000001</v>
      </c>
      <c r="N1318">
        <v>0</v>
      </c>
      <c r="O1318">
        <v>8.3538969999999903E-3</v>
      </c>
      <c r="P1318">
        <v>-0.98661069999999995</v>
      </c>
      <c r="Q1318">
        <v>0.16172139999999999</v>
      </c>
      <c r="R1318">
        <v>-2.1118560000000001E-2</v>
      </c>
      <c r="S1318">
        <v>-3.0676269999999999</v>
      </c>
      <c r="T1318">
        <v>-0.17691179999999901</v>
      </c>
      <c r="U1318">
        <v>-0.1119232</v>
      </c>
      <c r="V1318">
        <v>-2.94734E-2</v>
      </c>
      <c r="W1318">
        <v>0.17172939999999901</v>
      </c>
      <c r="X1318">
        <v>0.984703199999999</v>
      </c>
      <c r="Y1318">
        <v>-4.4720450000000002E-2</v>
      </c>
      <c r="Z1318">
        <v>-1.769283E-3</v>
      </c>
      <c r="AA1318">
        <v>0.99899799999999905</v>
      </c>
      <c r="AB1318">
        <v>39</v>
      </c>
      <c r="AC1318">
        <v>-18.740299999999898</v>
      </c>
      <c r="AD1318">
        <v>-1.103371566813</v>
      </c>
      <c r="AE1318">
        <v>-0.70109999999999595</v>
      </c>
      <c r="AF1318">
        <v>-0.85467954723077799</v>
      </c>
      <c r="AG1318">
        <v>-1.103371566813</v>
      </c>
      <c r="AH1318">
        <v>18.66916268544</v>
      </c>
      <c r="AI1318">
        <v>93.378789314946303</v>
      </c>
      <c r="AJ1318">
        <v>92.621186820137396</v>
      </c>
      <c r="AK1318">
        <v>18.7212590740669</v>
      </c>
    </row>
    <row r="1319" spans="1:37" x14ac:dyDescent="0.2">
      <c r="A1319" t="str">
        <f>"20200111150614287"</f>
        <v>20200111150614287</v>
      </c>
      <c r="B1319" t="str">
        <f>"1578726374278309"</f>
        <v>1578726374278309</v>
      </c>
      <c r="C1319" t="s">
        <v>37</v>
      </c>
      <c r="D1319">
        <v>3.8228689999999999</v>
      </c>
      <c r="E1319">
        <v>0.48533300000000001</v>
      </c>
      <c r="F1319" t="s">
        <v>78</v>
      </c>
      <c r="G1319">
        <v>-298.78809999999999</v>
      </c>
      <c r="H1319" s="1">
        <v>-8.5419089999999999E-6</v>
      </c>
      <c r="I1319">
        <v>141.09059999999999</v>
      </c>
      <c r="J1319">
        <v>-281.81310000000002</v>
      </c>
      <c r="K1319">
        <v>1.103372</v>
      </c>
      <c r="L1319">
        <v>141.8295</v>
      </c>
      <c r="M1319">
        <v>-0.99992409999999998</v>
      </c>
      <c r="N1319">
        <v>0</v>
      </c>
      <c r="O1319">
        <v>6.980361E-3</v>
      </c>
      <c r="P1319">
        <v>-0.98610849999999906</v>
      </c>
      <c r="Q1319">
        <v>0.16461579999999901</v>
      </c>
      <c r="R1319">
        <v>-2.217854E-2</v>
      </c>
      <c r="S1319">
        <v>-3.0674739999999998</v>
      </c>
      <c r="T1319">
        <v>-0.17857239999999999</v>
      </c>
      <c r="U1319">
        <v>-0.1172791</v>
      </c>
      <c r="V1319">
        <v>-2.917759E-2</v>
      </c>
      <c r="W1319">
        <v>0.17461009999999999</v>
      </c>
      <c r="X1319">
        <v>0.9842052</v>
      </c>
      <c r="Y1319">
        <v>-4.5091850000000003E-2</v>
      </c>
      <c r="Z1319">
        <v>-1.71682E-3</v>
      </c>
      <c r="AA1319">
        <v>0.99898140000000002</v>
      </c>
      <c r="AB1319">
        <v>39</v>
      </c>
      <c r="AC1319">
        <v>-16.974999999999898</v>
      </c>
      <c r="AD1319">
        <v>-1.1033805419089999</v>
      </c>
      <c r="AE1319">
        <v>-0.738900000000001</v>
      </c>
      <c r="AF1319">
        <v>-0.853779299293838</v>
      </c>
      <c r="AG1319">
        <v>-1.1033805419089999</v>
      </c>
      <c r="AH1319">
        <v>16.898167884795601</v>
      </c>
      <c r="AI1319">
        <v>93.731128468912004</v>
      </c>
      <c r="AJ1319">
        <v>92.892407567676301</v>
      </c>
      <c r="AK1319">
        <v>16.9556617557352</v>
      </c>
    </row>
    <row r="1320" spans="1:37" x14ac:dyDescent="0.2">
      <c r="A1320" t="str">
        <f>"20200111150614308"</f>
        <v>20200111150614308</v>
      </c>
      <c r="B1320" t="str">
        <f>"1578726374297832"</f>
        <v>1578726374297832</v>
      </c>
      <c r="C1320" t="s">
        <v>37</v>
      </c>
      <c r="D1320">
        <v>5.1066320000000003</v>
      </c>
      <c r="E1320">
        <v>0.48533300000000001</v>
      </c>
      <c r="F1320" t="s">
        <v>38</v>
      </c>
      <c r="G1320">
        <v>-282.54419999999999</v>
      </c>
      <c r="H1320">
        <v>0.85553979999999996</v>
      </c>
      <c r="I1320">
        <v>141.78909999999999</v>
      </c>
      <c r="J1320">
        <v>-282.18799999999999</v>
      </c>
      <c r="K1320">
        <v>1.1033679999999999</v>
      </c>
      <c r="L1320">
        <v>141.83189999999999</v>
      </c>
      <c r="M1320">
        <v>-0.99992579999999998</v>
      </c>
      <c r="N1320">
        <v>0</v>
      </c>
      <c r="O1320">
        <v>6.7204859999999899E-3</v>
      </c>
      <c r="P1320">
        <v>-0.98623369999999999</v>
      </c>
      <c r="Q1320">
        <v>0.16386800000000001</v>
      </c>
      <c r="R1320">
        <v>-2.2140340000000001E-2</v>
      </c>
      <c r="S1320">
        <v>-3.22052</v>
      </c>
      <c r="T1320">
        <v>-1.091882</v>
      </c>
      <c r="U1320">
        <v>-0.17860409999999999</v>
      </c>
      <c r="V1320">
        <v>-2.8883929999999999E-2</v>
      </c>
      <c r="W1320">
        <v>0.17386399999999999</v>
      </c>
      <c r="X1320">
        <v>0.98434599999999906</v>
      </c>
      <c r="Y1320">
        <v>-5.8449180000000003E-2</v>
      </c>
      <c r="Z1320">
        <v>-1.1847180000000001E-2</v>
      </c>
      <c r="AA1320">
        <v>0.99822009999999906</v>
      </c>
      <c r="AB1320">
        <v>39</v>
      </c>
      <c r="AC1320">
        <v>-0.35620000000000102</v>
      </c>
      <c r="AD1320">
        <v>-0.2478282</v>
      </c>
      <c r="AE1320">
        <v>-4.2799999999999699E-2</v>
      </c>
      <c r="AF1320">
        <v>-3.05939649291323E-2</v>
      </c>
      <c r="AG1320">
        <v>-0.2478282</v>
      </c>
      <c r="AH1320">
        <v>0.240933888370129</v>
      </c>
      <c r="AI1320">
        <v>135.5790903093</v>
      </c>
      <c r="AJ1320">
        <v>97.236731394912297</v>
      </c>
      <c r="AK1320">
        <v>0.34699271746028698</v>
      </c>
    </row>
    <row r="1321" spans="1:37" x14ac:dyDescent="0.2">
      <c r="A1321" t="str">
        <f>"20200111150614330"</f>
        <v>20200111150614330</v>
      </c>
      <c r="B1321" t="str">
        <f>"1578726374317350"</f>
        <v>1578726374317350</v>
      </c>
      <c r="C1321" t="s">
        <v>37</v>
      </c>
      <c r="D1321">
        <v>4.932868</v>
      </c>
      <c r="E1321">
        <v>0.49353919999999901</v>
      </c>
      <c r="F1321" t="s">
        <v>38</v>
      </c>
      <c r="G1321">
        <v>-282.89999999999998</v>
      </c>
      <c r="H1321">
        <v>0.86143619999999899</v>
      </c>
      <c r="I1321">
        <v>141.79159999999999</v>
      </c>
      <c r="J1321">
        <v>-282.56270000000001</v>
      </c>
      <c r="K1321">
        <v>1.103364</v>
      </c>
      <c r="L1321">
        <v>141.83420000000001</v>
      </c>
      <c r="M1321">
        <v>-0.99992749999999997</v>
      </c>
      <c r="N1321">
        <v>0</v>
      </c>
      <c r="O1321">
        <v>6.4608449999999998E-3</v>
      </c>
      <c r="P1321">
        <v>-0.98648749999999996</v>
      </c>
      <c r="Q1321">
        <v>0.1623569</v>
      </c>
      <c r="R1321">
        <v>-2.1971810000000001E-2</v>
      </c>
      <c r="S1321">
        <v>-3.2195130000000001</v>
      </c>
      <c r="T1321">
        <v>-1.0939589999999999</v>
      </c>
      <c r="U1321">
        <v>-0.18388370000000001</v>
      </c>
      <c r="V1321">
        <v>-2.8460699999999998E-2</v>
      </c>
      <c r="W1321">
        <v>0.17235599999999901</v>
      </c>
      <c r="X1321">
        <v>0.98462349999999998</v>
      </c>
      <c r="Y1321">
        <v>-5.9764610000000003E-2</v>
      </c>
      <c r="Z1321">
        <v>-1.200299E-2</v>
      </c>
      <c r="AA1321">
        <v>0.99814029999999998</v>
      </c>
      <c r="AB1321">
        <v>39</v>
      </c>
      <c r="AC1321">
        <v>-0.33729999999997001</v>
      </c>
      <c r="AD1321">
        <v>-0.2419278</v>
      </c>
      <c r="AE1321">
        <v>-4.2600000000021503E-2</v>
      </c>
      <c r="AF1321">
        <v>-2.97261164426952E-2</v>
      </c>
      <c r="AG1321">
        <v>-0.2419278</v>
      </c>
      <c r="AH1321">
        <v>0.22372869389</v>
      </c>
      <c r="AI1321">
        <v>136.98815331490999</v>
      </c>
      <c r="AJ1321">
        <v>97.568378486243205</v>
      </c>
      <c r="AK1321">
        <v>0.33085832448546598</v>
      </c>
    </row>
    <row r="1322" spans="1:37" x14ac:dyDescent="0.2">
      <c r="A1322" t="str">
        <f>"20200111150614354"</f>
        <v>20200111150614354</v>
      </c>
      <c r="B1322" t="str">
        <f>"1578726374347606"</f>
        <v>1578726374347606</v>
      </c>
      <c r="C1322" t="s">
        <v>37</v>
      </c>
      <c r="D1322">
        <v>4.2360309999999997</v>
      </c>
      <c r="E1322">
        <v>0.48919399999999902</v>
      </c>
      <c r="F1322" t="s">
        <v>78</v>
      </c>
      <c r="G1322">
        <v>-294.64819999999997</v>
      </c>
      <c r="H1322" s="1">
        <v>-8.9790919999999999E-6</v>
      </c>
      <c r="I1322">
        <v>141.36940000000001</v>
      </c>
      <c r="J1322">
        <v>-282.99270000000001</v>
      </c>
      <c r="K1322">
        <v>1.103364</v>
      </c>
      <c r="L1322">
        <v>141.83670000000001</v>
      </c>
      <c r="M1322">
        <v>-0.99992939999999997</v>
      </c>
      <c r="N1322">
        <v>0</v>
      </c>
      <c r="O1322">
        <v>6.1627560000000001E-3</v>
      </c>
      <c r="P1322">
        <v>-0.98657379999999995</v>
      </c>
      <c r="Q1322">
        <v>0.16175320000000001</v>
      </c>
      <c r="R1322">
        <v>-2.2549530000000002E-2</v>
      </c>
      <c r="S1322">
        <v>-3.0848390000000001</v>
      </c>
      <c r="T1322">
        <v>-0.28163549999999998</v>
      </c>
      <c r="U1322">
        <v>-0.1186523</v>
      </c>
      <c r="V1322">
        <v>-2.8744059999999998E-2</v>
      </c>
      <c r="W1322">
        <v>0.1717543</v>
      </c>
      <c r="X1322">
        <v>0.98472039999999905</v>
      </c>
      <c r="Y1322">
        <v>-4.4382520000000002E-2</v>
      </c>
      <c r="Z1322">
        <v>-2.5823489999999998E-3</v>
      </c>
      <c r="AA1322">
        <v>0.99901130000000005</v>
      </c>
      <c r="AB1322">
        <v>40</v>
      </c>
      <c r="AC1322">
        <v>-11.6554999999999</v>
      </c>
      <c r="AD1322">
        <v>-1.1033729790919999</v>
      </c>
      <c r="AE1322">
        <v>-0.467299999999994</v>
      </c>
      <c r="AF1322">
        <v>-0.53434397241947795</v>
      </c>
      <c r="AG1322">
        <v>-1.1033729790919999</v>
      </c>
      <c r="AH1322">
        <v>11.5490672508841</v>
      </c>
      <c r="AI1322">
        <v>95.451554823211396</v>
      </c>
      <c r="AJ1322">
        <v>92.649030944333006</v>
      </c>
      <c r="AK1322">
        <v>11.6139532364004</v>
      </c>
    </row>
    <row r="1323" spans="1:37" x14ac:dyDescent="0.2">
      <c r="A1323" t="str">
        <f>"20200111150614376"</f>
        <v>20200111150614376</v>
      </c>
      <c r="B1323" t="str">
        <f>"1578726374368103"</f>
        <v>1578726374368103</v>
      </c>
      <c r="C1323" t="s">
        <v>37</v>
      </c>
      <c r="D1323">
        <v>4.721482</v>
      </c>
      <c r="E1323">
        <v>0.4918729</v>
      </c>
      <c r="F1323" t="s">
        <v>38</v>
      </c>
      <c r="G1323">
        <v>-284.02719999999999</v>
      </c>
      <c r="H1323">
        <v>1.0020659999999999</v>
      </c>
      <c r="I1323">
        <v>141.78530000000001</v>
      </c>
      <c r="J1323">
        <v>-283.39690000000002</v>
      </c>
      <c r="K1323">
        <v>1.103364</v>
      </c>
      <c r="L1323">
        <v>141.839</v>
      </c>
      <c r="M1323">
        <v>-0.99993099999999902</v>
      </c>
      <c r="N1323">
        <v>0</v>
      </c>
      <c r="O1323">
        <v>5.8827239999999998E-3</v>
      </c>
      <c r="P1323">
        <v>-0.98649010000000004</v>
      </c>
      <c r="Q1323">
        <v>0.16229199999999999</v>
      </c>
      <c r="R1323">
        <v>-2.2336769999999999E-2</v>
      </c>
      <c r="S1323">
        <v>-3.0869140000000002</v>
      </c>
      <c r="T1323">
        <v>-0.30233680000000002</v>
      </c>
      <c r="U1323">
        <v>-0.15379329999999999</v>
      </c>
      <c r="V1323">
        <v>-2.825536E-2</v>
      </c>
      <c r="W1323">
        <v>0.17229449999999999</v>
      </c>
      <c r="X1323">
        <v>0.98464019999999997</v>
      </c>
      <c r="Y1323">
        <v>-5.5341979999999999E-2</v>
      </c>
      <c r="Z1323">
        <v>-3.2764869999999998E-3</v>
      </c>
      <c r="AA1323">
        <v>0.99846209999999902</v>
      </c>
      <c r="AB1323">
        <v>40</v>
      </c>
      <c r="AC1323">
        <v>-0.63029999999997699</v>
      </c>
      <c r="AD1323">
        <v>-0.101298</v>
      </c>
      <c r="AE1323">
        <v>-5.3699999999991997E-2</v>
      </c>
      <c r="AF1323">
        <v>-5.5971865702241497E-2</v>
      </c>
      <c r="AG1323">
        <v>-0.101298</v>
      </c>
      <c r="AH1323">
        <v>0.61422275758165701</v>
      </c>
      <c r="AI1323">
        <v>99.326995221005603</v>
      </c>
      <c r="AJ1323">
        <v>95.206773525295304</v>
      </c>
      <c r="AK1323">
        <v>0.62503098362033604</v>
      </c>
    </row>
    <row r="1324" spans="1:37" x14ac:dyDescent="0.2">
      <c r="A1324" t="str">
        <f>"20200111150614400"</f>
        <v>20200111150614400</v>
      </c>
      <c r="B1324" t="str">
        <f>"1578726374387622"</f>
        <v>1578726374387622</v>
      </c>
      <c r="C1324" t="s">
        <v>37</v>
      </c>
      <c r="D1324">
        <v>4.7128319999999997</v>
      </c>
      <c r="E1324">
        <v>0.49153930000000001</v>
      </c>
      <c r="F1324" t="s">
        <v>53</v>
      </c>
      <c r="G1324">
        <v>0</v>
      </c>
      <c r="H1324">
        <v>0</v>
      </c>
      <c r="I1324">
        <v>0</v>
      </c>
      <c r="J1324">
        <v>-283.79969999999997</v>
      </c>
      <c r="K1324">
        <v>1.1033649999999999</v>
      </c>
      <c r="L1324">
        <v>141.84110000000001</v>
      </c>
      <c r="M1324">
        <v>-0.99993259999999995</v>
      </c>
      <c r="N1324">
        <v>0</v>
      </c>
      <c r="O1324">
        <v>5.6032859999999999E-3</v>
      </c>
      <c r="P1324">
        <v>-0.98641060000000003</v>
      </c>
      <c r="Q1324">
        <v>0.16291789999999901</v>
      </c>
      <c r="R1324">
        <v>-2.126494E-2</v>
      </c>
      <c r="S1324">
        <v>-2.967743</v>
      </c>
      <c r="T1324">
        <v>0.42773249999999902</v>
      </c>
      <c r="U1324">
        <v>-0.1317596</v>
      </c>
      <c r="V1324">
        <v>-2.6908109999999999E-2</v>
      </c>
      <c r="W1324">
        <v>0.17292289999999999</v>
      </c>
      <c r="X1324">
        <v>0.98456779999999999</v>
      </c>
      <c r="Y1324">
        <v>-4.9383829999999997E-2</v>
      </c>
      <c r="Z1324">
        <v>4.3418770000000001E-3</v>
      </c>
      <c r="AA1324">
        <v>0.99877039999999995</v>
      </c>
      <c r="AB1324">
        <v>40</v>
      </c>
      <c r="AC1324">
        <v>-2.967743</v>
      </c>
      <c r="AD1324">
        <v>0.42773249999999902</v>
      </c>
      <c r="AE1324">
        <v>-0.1317596</v>
      </c>
      <c r="AF1324">
        <v>-0.14537364854843801</v>
      </c>
      <c r="AG1324">
        <v>0.42773249999999902</v>
      </c>
      <c r="AH1324">
        <v>2.90669705932677</v>
      </c>
      <c r="AI1324">
        <v>81.639070655808595</v>
      </c>
      <c r="AJ1324">
        <v>92.8631680432877</v>
      </c>
      <c r="AK1324">
        <v>2.9415941909018302</v>
      </c>
    </row>
    <row r="1325" spans="1:37" x14ac:dyDescent="0.2">
      <c r="A1325" t="str">
        <f>"20200111150614420"</f>
        <v>20200111150614420</v>
      </c>
      <c r="B1325" t="str">
        <f>"1578726374417878"</f>
        <v>1578726374417878</v>
      </c>
      <c r="C1325" t="s">
        <v>37</v>
      </c>
      <c r="D1325">
        <v>4.8355860000000002</v>
      </c>
      <c r="E1325">
        <v>0.49138859999999901</v>
      </c>
      <c r="F1325" t="s">
        <v>53</v>
      </c>
      <c r="G1325">
        <v>0</v>
      </c>
      <c r="H1325">
        <v>0</v>
      </c>
      <c r="I1325">
        <v>0</v>
      </c>
      <c r="J1325">
        <v>-284.17419999999998</v>
      </c>
      <c r="K1325">
        <v>1.1033599999999999</v>
      </c>
      <c r="L1325">
        <v>141.84299999999999</v>
      </c>
      <c r="M1325">
        <v>-0.99993399999999999</v>
      </c>
      <c r="N1325">
        <v>0</v>
      </c>
      <c r="O1325">
        <v>5.3440600000000003E-3</v>
      </c>
      <c r="P1325">
        <v>-0.98637249999999999</v>
      </c>
      <c r="Q1325">
        <v>0.16319439999999999</v>
      </c>
      <c r="R1325">
        <v>-2.0904550000000001E-2</v>
      </c>
      <c r="S1325">
        <v>-2.9728699999999999</v>
      </c>
      <c r="T1325">
        <v>0.39740320000000001</v>
      </c>
      <c r="U1325">
        <v>-0.13127139999999901</v>
      </c>
      <c r="V1325">
        <v>-2.6292260000000001E-2</v>
      </c>
      <c r="W1325">
        <v>0.1732004</v>
      </c>
      <c r="X1325">
        <v>0.98453559999999996</v>
      </c>
      <c r="Y1325">
        <v>-4.8969749999999999E-2</v>
      </c>
      <c r="Z1325">
        <v>3.9679240000000003E-3</v>
      </c>
      <c r="AA1325">
        <v>0.99879240000000002</v>
      </c>
      <c r="AB1325">
        <v>40</v>
      </c>
      <c r="AC1325">
        <v>-2.9728699999999999</v>
      </c>
      <c r="AD1325">
        <v>0.39740320000000001</v>
      </c>
      <c r="AE1325">
        <v>-0.13127139999999901</v>
      </c>
      <c r="AF1325">
        <v>-0.144579024409001</v>
      </c>
      <c r="AG1325">
        <v>0.39740320000000001</v>
      </c>
      <c r="AH1325">
        <v>2.9200479133575499</v>
      </c>
      <c r="AI1325">
        <v>82.259326281277097</v>
      </c>
      <c r="AJ1325">
        <v>92.834545490541998</v>
      </c>
      <c r="AK1325">
        <v>2.95051050056987</v>
      </c>
    </row>
    <row r="1326" spans="1:37" x14ac:dyDescent="0.2">
      <c r="A1326" t="str">
        <f>"20200111150614444"</f>
        <v>20200111150614444</v>
      </c>
      <c r="B1326" t="str">
        <f>"1578726374437397"</f>
        <v>1578726374437397</v>
      </c>
      <c r="C1326" t="s">
        <v>37</v>
      </c>
      <c r="D1326">
        <v>4.7688559999999898</v>
      </c>
      <c r="E1326">
        <v>0.49003279999999899</v>
      </c>
      <c r="F1326" t="s">
        <v>39</v>
      </c>
      <c r="G1326">
        <v>-327.4547</v>
      </c>
      <c r="H1326" s="1">
        <v>-1.1695829999999999E-6</v>
      </c>
      <c r="I1326">
        <v>139.97460000000001</v>
      </c>
      <c r="J1326">
        <v>-284.58350000000002</v>
      </c>
      <c r="K1326">
        <v>1.103353</v>
      </c>
      <c r="L1326">
        <v>141.845</v>
      </c>
      <c r="M1326">
        <v>-0.99993549999999998</v>
      </c>
      <c r="N1326">
        <v>0</v>
      </c>
      <c r="O1326">
        <v>5.06059299999999E-3</v>
      </c>
      <c r="P1326">
        <v>-0.98642410000000003</v>
      </c>
      <c r="Q1326">
        <v>0.1628067</v>
      </c>
      <c r="R1326">
        <v>-2.1486729999999999E-2</v>
      </c>
      <c r="S1326">
        <v>-3.0515140000000001</v>
      </c>
      <c r="T1326">
        <v>-7.779324E-2</v>
      </c>
      <c r="U1326">
        <v>-0.13172909999999999</v>
      </c>
      <c r="V1326">
        <v>-2.6595029999999999E-2</v>
      </c>
      <c r="W1326">
        <v>0.1728111</v>
      </c>
      <c r="X1326">
        <v>0.98459589999999997</v>
      </c>
      <c r="Y1326">
        <v>-4.816662E-2</v>
      </c>
      <c r="Z1326">
        <v>-7.4251869999999998E-4</v>
      </c>
      <c r="AA1326">
        <v>0.99883899999999903</v>
      </c>
      <c r="AB1326">
        <v>40</v>
      </c>
      <c r="AC1326">
        <v>-42.871199999999902</v>
      </c>
      <c r="AD1326">
        <v>-1.103354169583</v>
      </c>
      <c r="AE1326">
        <v>-1.8703999999999801</v>
      </c>
      <c r="AF1326">
        <v>-2.0859619106405098</v>
      </c>
      <c r="AG1326">
        <v>-1.103354169583</v>
      </c>
      <c r="AH1326">
        <v>42.832867987273197</v>
      </c>
      <c r="AI1326">
        <v>91.473839586001901</v>
      </c>
      <c r="AJ1326">
        <v>92.788103337946097</v>
      </c>
      <c r="AK1326">
        <v>42.897822876357601</v>
      </c>
    </row>
    <row r="1327" spans="1:37" x14ac:dyDescent="0.2">
      <c r="A1327" t="str">
        <f>"20200111150614466"</f>
        <v>20200111150614466</v>
      </c>
      <c r="B1327" t="str">
        <f>"1578726374457894"</f>
        <v>1578726374457894</v>
      </c>
      <c r="C1327" t="s">
        <v>37</v>
      </c>
      <c r="D1327">
        <v>4.7270329999999996</v>
      </c>
      <c r="E1327">
        <v>0.4895467</v>
      </c>
      <c r="F1327" t="s">
        <v>78</v>
      </c>
      <c r="G1327">
        <v>-314.12450000000001</v>
      </c>
      <c r="H1327" s="1">
        <v>-8.1384180000000008E-6</v>
      </c>
      <c r="I1327">
        <v>140.45150000000001</v>
      </c>
      <c r="J1327">
        <v>-284.98660000000001</v>
      </c>
      <c r="K1327">
        <v>1.103348</v>
      </c>
      <c r="L1327">
        <v>141.8468</v>
      </c>
      <c r="M1327">
        <v>-0.99993690000000002</v>
      </c>
      <c r="N1327">
        <v>0</v>
      </c>
      <c r="O1327">
        <v>4.781787E-3</v>
      </c>
      <c r="P1327">
        <v>-0.98652669999999998</v>
      </c>
      <c r="Q1327">
        <v>0.16201279999999901</v>
      </c>
      <c r="R1327">
        <v>-2.2739769999999999E-2</v>
      </c>
      <c r="S1327">
        <v>-3.057007</v>
      </c>
      <c r="T1327">
        <v>-0.1141799</v>
      </c>
      <c r="U1327">
        <v>-0.14419560000000001</v>
      </c>
      <c r="V1327">
        <v>-2.757312E-2</v>
      </c>
      <c r="W1327">
        <v>0.1720131</v>
      </c>
      <c r="X1327">
        <v>0.98470869999999999</v>
      </c>
      <c r="Y1327">
        <v>-5.185327E-2</v>
      </c>
      <c r="Z1327">
        <v>-1.1459439999999899E-3</v>
      </c>
      <c r="AA1327">
        <v>0.99865409999999899</v>
      </c>
      <c r="AB1327">
        <v>40</v>
      </c>
      <c r="AC1327">
        <v>-29.137899999999998</v>
      </c>
      <c r="AD1327">
        <v>-1.103356138418</v>
      </c>
      <c r="AE1327">
        <v>-1.39529999999999</v>
      </c>
      <c r="AF1327">
        <v>-1.53243017211142</v>
      </c>
      <c r="AG1327">
        <v>-1.103356138418</v>
      </c>
      <c r="AH1327">
        <v>29.089279152661899</v>
      </c>
      <c r="AI1327">
        <v>92.169182185413405</v>
      </c>
      <c r="AJ1327">
        <v>93.015567799263593</v>
      </c>
      <c r="AK1327">
        <v>29.150504260167999</v>
      </c>
    </row>
    <row r="1328" spans="1:37" x14ac:dyDescent="0.2">
      <c r="A1328" t="str">
        <f>"20200111150614490"</f>
        <v>20200111150614490</v>
      </c>
      <c r="B1328" t="str">
        <f>"1578726374477413"</f>
        <v>1578726374477413</v>
      </c>
      <c r="C1328" t="s">
        <v>37</v>
      </c>
      <c r="D1328">
        <v>4.7041760000000004</v>
      </c>
      <c r="E1328">
        <v>0.48976700000000001</v>
      </c>
      <c r="F1328" t="s">
        <v>78</v>
      </c>
      <c r="G1328">
        <v>-309.53039999999999</v>
      </c>
      <c r="H1328" s="1">
        <v>-9.7256920000000005E-6</v>
      </c>
      <c r="I1328">
        <v>140.6268</v>
      </c>
      <c r="J1328">
        <v>-285.39690000000002</v>
      </c>
      <c r="K1328">
        <v>1.1033520000000001</v>
      </c>
      <c r="L1328">
        <v>141.8485</v>
      </c>
      <c r="M1328">
        <v>-0.9999382</v>
      </c>
      <c r="N1328">
        <v>0</v>
      </c>
      <c r="O1328">
        <v>4.4980369999999999E-3</v>
      </c>
      <c r="P1328">
        <v>-0.98643919999999996</v>
      </c>
      <c r="Q1328">
        <v>0.16248840000000001</v>
      </c>
      <c r="R1328">
        <v>-2.313805E-2</v>
      </c>
      <c r="S1328">
        <v>-3.0600890000000001</v>
      </c>
      <c r="T1328">
        <v>-0.137565299999999</v>
      </c>
      <c r="U1328">
        <v>-0.1520996</v>
      </c>
      <c r="V1328">
        <v>-2.7691480000000001E-2</v>
      </c>
      <c r="W1328">
        <v>0.17248279999999999</v>
      </c>
      <c r="X1328">
        <v>0.98462320000000003</v>
      </c>
      <c r="Y1328">
        <v>-5.4076239999999998E-2</v>
      </c>
      <c r="Z1328">
        <v>-1.4161250000000001E-3</v>
      </c>
      <c r="AA1328">
        <v>0.99853579999999997</v>
      </c>
      <c r="AB1328">
        <v>40</v>
      </c>
      <c r="AC1328">
        <v>-24.133499999999898</v>
      </c>
      <c r="AD1328">
        <v>-1.1033617256920001</v>
      </c>
      <c r="AE1328">
        <v>-1.22169999999999</v>
      </c>
      <c r="AF1328">
        <v>-1.3274789752604701</v>
      </c>
      <c r="AG1328">
        <v>-1.1033617256920001</v>
      </c>
      <c r="AH1328">
        <v>24.077561169931499</v>
      </c>
      <c r="AI1328">
        <v>92.619788233594704</v>
      </c>
      <c r="AJ1328">
        <v>93.155719011744395</v>
      </c>
      <c r="AK1328">
        <v>24.139357063088401</v>
      </c>
    </row>
    <row r="1329" spans="1:37" x14ac:dyDescent="0.2">
      <c r="A1329" t="str">
        <f>"20200111150614509"</f>
        <v>20200111150614509</v>
      </c>
      <c r="B1329" t="str">
        <f>"1578726374497910"</f>
        <v>1578726374497910</v>
      </c>
      <c r="C1329" t="s">
        <v>37</v>
      </c>
      <c r="D1329">
        <v>4.7637960000000001</v>
      </c>
      <c r="E1329">
        <v>0.48945539999999998</v>
      </c>
      <c r="F1329" t="s">
        <v>78</v>
      </c>
      <c r="G1329">
        <v>-308.2088</v>
      </c>
      <c r="H1329" s="1">
        <v>-9.5624050000000005E-6</v>
      </c>
      <c r="I1329">
        <v>140.7159</v>
      </c>
      <c r="J1329">
        <v>-285.76179999999999</v>
      </c>
      <c r="K1329">
        <v>1.1033539999999999</v>
      </c>
      <c r="L1329">
        <v>141.84989999999999</v>
      </c>
      <c r="M1329">
        <v>-0.99993949999999998</v>
      </c>
      <c r="N1329">
        <v>0</v>
      </c>
      <c r="O1329">
        <v>4.2454540000000001E-3</v>
      </c>
      <c r="P1329">
        <v>-0.98635539999999999</v>
      </c>
      <c r="Q1329">
        <v>0.1629168</v>
      </c>
      <c r="R1329">
        <v>-2.3691460000000001E-2</v>
      </c>
      <c r="S1329">
        <v>-3.0620729999999998</v>
      </c>
      <c r="T1329">
        <v>-0.1481054</v>
      </c>
      <c r="U1329">
        <v>-0.1520233</v>
      </c>
      <c r="V1329">
        <v>-2.7996429999999999E-2</v>
      </c>
      <c r="W1329">
        <v>0.172906</v>
      </c>
      <c r="X1329">
        <v>0.98454030000000003</v>
      </c>
      <c r="Y1329">
        <v>-5.3758479999999997E-2</v>
      </c>
      <c r="Z1329">
        <v>-1.503641E-3</v>
      </c>
      <c r="AA1329">
        <v>0.99855289999999997</v>
      </c>
      <c r="AB1329">
        <v>40</v>
      </c>
      <c r="AC1329">
        <v>-22.446999999999999</v>
      </c>
      <c r="AD1329">
        <v>-1.103363562405</v>
      </c>
      <c r="AE1329">
        <v>-1.1339999999999799</v>
      </c>
      <c r="AF1329">
        <v>-1.22633694304084</v>
      </c>
      <c r="AG1329">
        <v>-1.103363562405</v>
      </c>
      <c r="AH1329">
        <v>22.3880283637696</v>
      </c>
      <c r="AI1329">
        <v>92.817245271121493</v>
      </c>
      <c r="AJ1329">
        <v>93.135326679129406</v>
      </c>
      <c r="AK1329">
        <v>22.448722178905001</v>
      </c>
    </row>
    <row r="1330" spans="1:37" x14ac:dyDescent="0.2">
      <c r="A1330" t="str">
        <f>"20200111150614532"</f>
        <v>20200111150614532</v>
      </c>
      <c r="B1330" t="str">
        <f>"1578726374528166"</f>
        <v>1578726374528166</v>
      </c>
      <c r="C1330" t="s">
        <v>37</v>
      </c>
      <c r="D1330">
        <v>4.6718109999999999</v>
      </c>
      <c r="E1330">
        <v>0.48967429999999901</v>
      </c>
      <c r="F1330" t="s">
        <v>78</v>
      </c>
      <c r="G1330">
        <v>-307.49860000000001</v>
      </c>
      <c r="H1330" s="1">
        <v>-9.4695479999999993E-6</v>
      </c>
      <c r="I1330">
        <v>140.7466</v>
      </c>
      <c r="J1330">
        <v>-286.14670000000001</v>
      </c>
      <c r="K1330">
        <v>1.103353</v>
      </c>
      <c r="L1330">
        <v>141.85130000000001</v>
      </c>
      <c r="M1330">
        <v>-0.99994069999999902</v>
      </c>
      <c r="N1330">
        <v>0</v>
      </c>
      <c r="O1330">
        <v>3.9790989999999998E-3</v>
      </c>
      <c r="P1330">
        <v>-0.98625810000000003</v>
      </c>
      <c r="Q1330">
        <v>0.1634526</v>
      </c>
      <c r="R1330">
        <v>-2.405469E-2</v>
      </c>
      <c r="S1330">
        <v>-3.0634160000000001</v>
      </c>
      <c r="T1330">
        <v>-0.1554999</v>
      </c>
      <c r="U1330">
        <v>-0.15548709999999999</v>
      </c>
      <c r="V1330">
        <v>-2.809704E-2</v>
      </c>
      <c r="W1330">
        <v>0.17343810000000001</v>
      </c>
      <c r="X1330">
        <v>0.98444390000000004</v>
      </c>
      <c r="Y1330">
        <v>-5.4589440000000003E-2</v>
      </c>
      <c r="Z1330">
        <v>-1.5854439999999899E-3</v>
      </c>
      <c r="AA1330">
        <v>0.99850759999999905</v>
      </c>
      <c r="AB1330">
        <v>40</v>
      </c>
      <c r="AC1330">
        <v>-21.351900000000001</v>
      </c>
      <c r="AD1330">
        <v>-1.103362469548</v>
      </c>
      <c r="AE1330">
        <v>-1.1047</v>
      </c>
      <c r="AF1330">
        <v>-1.18649707438653</v>
      </c>
      <c r="AG1330">
        <v>-1.103362469548</v>
      </c>
      <c r="AH1330">
        <v>21.290633975252199</v>
      </c>
      <c r="AI1330">
        <v>92.962045725697607</v>
      </c>
      <c r="AJ1330">
        <v>93.189713831685793</v>
      </c>
      <c r="AK1330">
        <v>21.352196119249601</v>
      </c>
    </row>
    <row r="1331" spans="1:37" x14ac:dyDescent="0.2">
      <c r="A1331" t="str">
        <f>"20200111150614555"</f>
        <v>20200111150614555</v>
      </c>
      <c r="B1331" t="str">
        <f>"1578726374547686"</f>
        <v>1578726374547686</v>
      </c>
      <c r="C1331" t="s">
        <v>37</v>
      </c>
      <c r="D1331">
        <v>4.6333080000000004</v>
      </c>
      <c r="E1331">
        <v>0.48988399999999999</v>
      </c>
      <c r="F1331" t="s">
        <v>78</v>
      </c>
      <c r="G1331">
        <v>-306.85539999999997</v>
      </c>
      <c r="H1331" s="1">
        <v>-9.3942179999999998E-6</v>
      </c>
      <c r="I1331">
        <v>140.8039</v>
      </c>
      <c r="J1331">
        <v>-286.56740000000002</v>
      </c>
      <c r="K1331">
        <v>1.1033580000000001</v>
      </c>
      <c r="L1331">
        <v>141.8528</v>
      </c>
      <c r="M1331">
        <v>-0.99994169999999905</v>
      </c>
      <c r="N1331">
        <v>0</v>
      </c>
      <c r="O1331">
        <v>3.6882450000000002E-3</v>
      </c>
      <c r="P1331">
        <v>-0.98615900000000001</v>
      </c>
      <c r="Q1331">
        <v>0.16406470000000001</v>
      </c>
      <c r="R1331">
        <v>-2.3944670000000001E-2</v>
      </c>
      <c r="S1331">
        <v>-3.0650629999999999</v>
      </c>
      <c r="T1331">
        <v>-0.16330649999999999</v>
      </c>
      <c r="U1331">
        <v>-0.15502929999999901</v>
      </c>
      <c r="V1331">
        <v>-2.7700180000000001E-2</v>
      </c>
      <c r="W1331">
        <v>0.17404620000000001</v>
      </c>
      <c r="X1331">
        <v>0.9843478</v>
      </c>
      <c r="Y1331">
        <v>-5.4116499999999998E-2</v>
      </c>
      <c r="Z1331">
        <v>-1.6359829999999999E-3</v>
      </c>
      <c r="AA1331">
        <v>0.99853329999999996</v>
      </c>
      <c r="AB1331">
        <v>40</v>
      </c>
      <c r="AC1331">
        <v>-20.287999999999901</v>
      </c>
      <c r="AD1331">
        <v>-1.103367394218</v>
      </c>
      <c r="AE1331">
        <v>-1.0488999999999999</v>
      </c>
      <c r="AF1331">
        <v>-1.1204187463200099</v>
      </c>
      <c r="AG1331">
        <v>-1.103367394218</v>
      </c>
      <c r="AH1331">
        <v>20.224334087695599</v>
      </c>
      <c r="AI1331">
        <v>93.117985640529398</v>
      </c>
      <c r="AJ1331">
        <v>93.170918348296993</v>
      </c>
      <c r="AK1331">
        <v>20.285375201470998</v>
      </c>
    </row>
    <row r="1332" spans="1:37" x14ac:dyDescent="0.2">
      <c r="A1332" t="str">
        <f>"20200111150614577"</f>
        <v>20200111150614577</v>
      </c>
      <c r="B1332" t="str">
        <f>"1578726374568181"</f>
        <v>1578726374568181</v>
      </c>
      <c r="C1332" t="s">
        <v>37</v>
      </c>
      <c r="D1332">
        <v>4.9500970000000004</v>
      </c>
      <c r="E1332">
        <v>0.48981469999999999</v>
      </c>
      <c r="F1332" t="s">
        <v>78</v>
      </c>
      <c r="G1332">
        <v>-308.24700000000001</v>
      </c>
      <c r="H1332" s="1">
        <v>-9.5818439999999905E-6</v>
      </c>
      <c r="I1332">
        <v>140.7628</v>
      </c>
      <c r="J1332">
        <v>-286.97039999999998</v>
      </c>
      <c r="K1332">
        <v>1.103356</v>
      </c>
      <c r="L1332">
        <v>141.85399999999899</v>
      </c>
      <c r="M1332">
        <v>-0.99994280000000002</v>
      </c>
      <c r="N1332">
        <v>0</v>
      </c>
      <c r="O1332">
        <v>3.4095420000000002E-3</v>
      </c>
      <c r="P1332">
        <v>-0.98609409999999897</v>
      </c>
      <c r="Q1332">
        <v>0.16446150000000001</v>
      </c>
      <c r="R1332">
        <v>-2.3896460000000001E-2</v>
      </c>
      <c r="S1332">
        <v>-3.0643009999999999</v>
      </c>
      <c r="T1332">
        <v>-0.15595519999999999</v>
      </c>
      <c r="U1332">
        <v>-0.15405269999999999</v>
      </c>
      <c r="V1332">
        <v>-2.7377189999999999E-2</v>
      </c>
      <c r="W1332">
        <v>0.17444109999999999</v>
      </c>
      <c r="X1332">
        <v>0.98428700000000002</v>
      </c>
      <c r="Y1332">
        <v>-5.3541560000000002E-2</v>
      </c>
      <c r="Z1332">
        <v>-1.5340569999999999E-3</v>
      </c>
      <c r="AA1332">
        <v>0.99856440000000002</v>
      </c>
      <c r="AB1332">
        <v>40</v>
      </c>
      <c r="AC1332">
        <v>-21.276599999999998</v>
      </c>
      <c r="AD1332">
        <v>-1.103365581844</v>
      </c>
      <c r="AE1332">
        <v>-1.09119999999998</v>
      </c>
      <c r="AF1332">
        <v>-1.16062779279581</v>
      </c>
      <c r="AG1332">
        <v>-1.103365581844</v>
      </c>
      <c r="AH1332">
        <v>21.215850162242798</v>
      </c>
      <c r="AI1332">
        <v>92.972643411894694</v>
      </c>
      <c r="AJ1332">
        <v>93.131284154204494</v>
      </c>
      <c r="AK1332">
        <v>21.276201977499301</v>
      </c>
    </row>
    <row r="1333" spans="1:37" x14ac:dyDescent="0.2">
      <c r="A1333" t="str">
        <f>"20200111150614599"</f>
        <v>20200111150614599</v>
      </c>
      <c r="B1333" t="str">
        <f>"1578726374587701"</f>
        <v>1578726374587701</v>
      </c>
      <c r="C1333" t="s">
        <v>37</v>
      </c>
      <c r="D1333">
        <v>4.7985860000000002</v>
      </c>
      <c r="E1333">
        <v>0.48975569999999902</v>
      </c>
      <c r="F1333" t="s">
        <v>78</v>
      </c>
      <c r="G1333">
        <v>-308.93369999999999</v>
      </c>
      <c r="H1333" s="1">
        <v>-9.6757430000000005E-6</v>
      </c>
      <c r="I1333">
        <v>140.74690000000001</v>
      </c>
      <c r="J1333">
        <v>-287.36340000000001</v>
      </c>
      <c r="K1333">
        <v>1.1033569999999999</v>
      </c>
      <c r="L1333">
        <v>141.85509999999999</v>
      </c>
      <c r="M1333">
        <v>-0.99994359999999904</v>
      </c>
      <c r="N1333">
        <v>0</v>
      </c>
      <c r="O1333">
        <v>3.1379279999999999E-3</v>
      </c>
      <c r="P1333">
        <v>-0.98600589999999999</v>
      </c>
      <c r="Q1333">
        <v>0.16503329999999999</v>
      </c>
      <c r="R1333">
        <v>-2.3591399999999998E-2</v>
      </c>
      <c r="S1333">
        <v>-3.0642399999999999</v>
      </c>
      <c r="T1333">
        <v>-0.1539372</v>
      </c>
      <c r="U1333">
        <v>-0.15444949999999999</v>
      </c>
      <c r="V1333">
        <v>-2.6804640000000001E-2</v>
      </c>
      <c r="W1333">
        <v>0.175012</v>
      </c>
      <c r="X1333">
        <v>0.9842014</v>
      </c>
      <c r="Y1333">
        <v>-5.3402690000000003E-2</v>
      </c>
      <c r="Z1333">
        <v>-1.4971439999999999E-3</v>
      </c>
      <c r="AA1333">
        <v>0.99857189999999996</v>
      </c>
      <c r="AB1333">
        <v>40</v>
      </c>
      <c r="AC1333">
        <v>-21.5702999999999</v>
      </c>
      <c r="AD1333">
        <v>-1.1033666757429901</v>
      </c>
      <c r="AE1333">
        <v>-1.1081999999999801</v>
      </c>
      <c r="AF1333">
        <v>-1.1728234156189701</v>
      </c>
      <c r="AG1333">
        <v>-1.1033666757429901</v>
      </c>
      <c r="AH1333">
        <v>21.5105810376741</v>
      </c>
      <c r="AI1333">
        <v>92.932016797983493</v>
      </c>
      <c r="AJ1333">
        <v>93.120853052834704</v>
      </c>
      <c r="AK1333">
        <v>21.5707679363464</v>
      </c>
    </row>
    <row r="1334" spans="1:37" x14ac:dyDescent="0.2">
      <c r="A1334" t="str">
        <f>"20200111150614620"</f>
        <v>20200111150614620</v>
      </c>
      <c r="B1334" t="str">
        <f>"1578726374617957"</f>
        <v>1578726374617957</v>
      </c>
      <c r="C1334" t="s">
        <v>37</v>
      </c>
      <c r="D1334">
        <v>4.8104480000000001</v>
      </c>
      <c r="E1334">
        <v>0.48960310000000001</v>
      </c>
      <c r="F1334" t="s">
        <v>78</v>
      </c>
      <c r="G1334">
        <v>-308.68490000000003</v>
      </c>
      <c r="H1334" s="1">
        <v>-9.6514200000000002E-6</v>
      </c>
      <c r="I1334">
        <v>140.78530000000001</v>
      </c>
      <c r="J1334">
        <v>-287.74200000000002</v>
      </c>
      <c r="K1334">
        <v>1.1033580000000001</v>
      </c>
      <c r="L1334">
        <v>141.8561</v>
      </c>
      <c r="M1334">
        <v>-0.99994439999999996</v>
      </c>
      <c r="N1334">
        <v>0</v>
      </c>
      <c r="O1334">
        <v>2.8759659999999898E-3</v>
      </c>
      <c r="P1334">
        <v>-0.98600549999999998</v>
      </c>
      <c r="Q1334">
        <v>0.1649844</v>
      </c>
      <c r="R1334">
        <v>-2.3949120000000001E-2</v>
      </c>
      <c r="S1334">
        <v>-3.0654599999999999</v>
      </c>
      <c r="T1334">
        <v>-0.15863459999999999</v>
      </c>
      <c r="U1334">
        <v>-0.15380859999999999</v>
      </c>
      <c r="V1334">
        <v>-2.690437E-2</v>
      </c>
      <c r="W1334">
        <v>0.17496320000000001</v>
      </c>
      <c r="X1334">
        <v>0.98420730000000001</v>
      </c>
      <c r="Y1334">
        <v>-5.290951E-2</v>
      </c>
      <c r="Z1334">
        <v>-1.51588E-3</v>
      </c>
      <c r="AA1334">
        <v>0.99859819999999999</v>
      </c>
      <c r="AB1334">
        <v>40</v>
      </c>
      <c r="AC1334">
        <v>-20.942900000000002</v>
      </c>
      <c r="AD1334">
        <v>-1.1033676514199999</v>
      </c>
      <c r="AE1334">
        <v>-1.07079999999999</v>
      </c>
      <c r="AF1334">
        <v>-1.1279072112038599</v>
      </c>
      <c r="AG1334">
        <v>-1.1033676514199999</v>
      </c>
      <c r="AH1334">
        <v>20.881923566707901</v>
      </c>
      <c r="AI1334">
        <v>93.020210916183103</v>
      </c>
      <c r="AJ1334">
        <v>93.091745166477594</v>
      </c>
      <c r="AK1334">
        <v>20.9414499664449</v>
      </c>
    </row>
    <row r="1335" spans="1:37" x14ac:dyDescent="0.2">
      <c r="A1335" t="str">
        <f>"20200111150614644"</f>
        <v>20200111150614644</v>
      </c>
      <c r="B1335" t="str">
        <f>"1578726374637478"</f>
        <v>1578726374637478</v>
      </c>
      <c r="C1335" t="s">
        <v>37</v>
      </c>
      <c r="D1335">
        <v>5.0088330000000001</v>
      </c>
      <c r="E1335">
        <v>0.48956689999999897</v>
      </c>
      <c r="F1335" t="s">
        <v>78</v>
      </c>
      <c r="G1335">
        <v>-309.41669999999999</v>
      </c>
      <c r="H1335" s="1">
        <v>-9.7466879999999999E-6</v>
      </c>
      <c r="I1335">
        <v>140.75229999999999</v>
      </c>
      <c r="J1335">
        <v>-288.1533</v>
      </c>
      <c r="K1335">
        <v>1.1033539999999999</v>
      </c>
      <c r="L1335">
        <v>141.857</v>
      </c>
      <c r="M1335">
        <v>-0.99994519999999998</v>
      </c>
      <c r="N1335">
        <v>0</v>
      </c>
      <c r="O1335">
        <v>2.5923029999999998E-3</v>
      </c>
      <c r="P1335">
        <v>-0.98596629999999996</v>
      </c>
      <c r="Q1335">
        <v>0.16519410000000001</v>
      </c>
      <c r="R1335">
        <v>-2.411284E-2</v>
      </c>
      <c r="S1335">
        <v>-3.0649109999999999</v>
      </c>
      <c r="T1335">
        <v>-0.15602170000000001</v>
      </c>
      <c r="U1335">
        <v>-0.1560822</v>
      </c>
      <c r="V1335">
        <v>-2.6788840000000001E-2</v>
      </c>
      <c r="W1335">
        <v>0.175173</v>
      </c>
      <c r="X1335">
        <v>0.98417310000000002</v>
      </c>
      <c r="Y1335">
        <v>-5.3376229999999997E-2</v>
      </c>
      <c r="Z1335">
        <v>-1.488624E-3</v>
      </c>
      <c r="AA1335">
        <v>0.99857340000000006</v>
      </c>
      <c r="AB1335">
        <v>40</v>
      </c>
      <c r="AC1335">
        <v>-21.263399999999901</v>
      </c>
      <c r="AD1335">
        <v>-1.103363746688</v>
      </c>
      <c r="AE1335">
        <v>-1.1047</v>
      </c>
      <c r="AF1335">
        <v>-1.15671411339288</v>
      </c>
      <c r="AG1335">
        <v>-1.103363746688</v>
      </c>
      <c r="AH1335">
        <v>21.203525733605801</v>
      </c>
      <c r="AI1335">
        <v>92.974387910631904</v>
      </c>
      <c r="AJ1335">
        <v>93.122556582789699</v>
      </c>
      <c r="AK1335">
        <v>21.263699175668201</v>
      </c>
    </row>
    <row r="1336" spans="1:37" x14ac:dyDescent="0.2">
      <c r="A1336" t="str">
        <f>"20200111150614666"</f>
        <v>20200111150614666</v>
      </c>
      <c r="B1336" t="str">
        <f>"1578726374657974"</f>
        <v>1578726374657974</v>
      </c>
      <c r="C1336" t="s">
        <v>37</v>
      </c>
      <c r="D1336">
        <v>4.7172499999999999</v>
      </c>
      <c r="E1336">
        <v>0.48938490000000001</v>
      </c>
      <c r="F1336" t="s">
        <v>78</v>
      </c>
      <c r="G1336">
        <v>-309.71589999999998</v>
      </c>
      <c r="H1336" s="1">
        <v>-9.7895029999999999E-6</v>
      </c>
      <c r="I1336">
        <v>140.7518</v>
      </c>
      <c r="J1336">
        <v>-288.5659</v>
      </c>
      <c r="K1336">
        <v>1.1033440000000001</v>
      </c>
      <c r="L1336">
        <v>141.8578</v>
      </c>
      <c r="M1336">
        <v>-0.99994590000000005</v>
      </c>
      <c r="N1336">
        <v>0</v>
      </c>
      <c r="O1336">
        <v>2.307562E-3</v>
      </c>
      <c r="P1336">
        <v>-0.9859599</v>
      </c>
      <c r="Q1336">
        <v>0.16517789999999999</v>
      </c>
      <c r="R1336">
        <v>-2.448382E-2</v>
      </c>
      <c r="S1336">
        <v>-3.06509399999999</v>
      </c>
      <c r="T1336">
        <v>-0.15684200000000001</v>
      </c>
      <c r="U1336">
        <v>-0.15710450000000001</v>
      </c>
      <c r="V1336">
        <v>-2.6879489999999999E-2</v>
      </c>
      <c r="W1336">
        <v>0.17515799999999901</v>
      </c>
      <c r="X1336">
        <v>0.98417339999999998</v>
      </c>
      <c r="Y1336">
        <v>-5.342061E-2</v>
      </c>
      <c r="Z1336">
        <v>-1.48292E-3</v>
      </c>
      <c r="AA1336">
        <v>0.99857099999999899</v>
      </c>
      <c r="AB1336">
        <v>40</v>
      </c>
      <c r="AC1336">
        <v>-21.149999999999899</v>
      </c>
      <c r="AD1336">
        <v>-1.1033537895029999</v>
      </c>
      <c r="AE1336">
        <v>-1.1059999999999901</v>
      </c>
      <c r="AF1336">
        <v>-1.1516787521448</v>
      </c>
      <c r="AG1336">
        <v>-1.1033537895029999</v>
      </c>
      <c r="AH1336">
        <v>21.090151005055802</v>
      </c>
      <c r="AI1336">
        <v>92.990312650782897</v>
      </c>
      <c r="AJ1336">
        <v>93.125670327184594</v>
      </c>
      <c r="AK1336">
        <v>21.150371697655999</v>
      </c>
    </row>
    <row r="1337" spans="1:37" x14ac:dyDescent="0.2">
      <c r="A1337" t="str">
        <f>"20200111150614689"</f>
        <v>20200111150614689</v>
      </c>
      <c r="B1337" t="str">
        <f>"1578726374677493"</f>
        <v>1578726374677493</v>
      </c>
      <c r="C1337" t="s">
        <v>37</v>
      </c>
      <c r="D1337">
        <v>4.7451140000000001</v>
      </c>
      <c r="E1337">
        <v>0.48918420000000001</v>
      </c>
      <c r="F1337" t="s">
        <v>78</v>
      </c>
      <c r="G1337">
        <v>-309.98559999999998</v>
      </c>
      <c r="H1337" s="1">
        <v>-9.8089729999999999E-6</v>
      </c>
      <c r="I1337">
        <v>140.74199999999999</v>
      </c>
      <c r="J1337">
        <v>-288.97329999999999</v>
      </c>
      <c r="K1337">
        <v>1.103343</v>
      </c>
      <c r="L1337">
        <v>141.8586</v>
      </c>
      <c r="M1337">
        <v>-0.99994649999999996</v>
      </c>
      <c r="N1337">
        <v>0</v>
      </c>
      <c r="O1337">
        <v>2.0264549999999999E-3</v>
      </c>
      <c r="P1337">
        <v>-0.985909499999999</v>
      </c>
      <c r="Q1337">
        <v>0.16542219999999999</v>
      </c>
      <c r="R1337">
        <v>-2.4867029999999998E-2</v>
      </c>
      <c r="S1337">
        <v>-3.0651860000000002</v>
      </c>
      <c r="T1337">
        <v>-0.15789149999999999</v>
      </c>
      <c r="U1337">
        <v>-0.1596832</v>
      </c>
      <c r="V1337">
        <v>-2.6985760000000001E-2</v>
      </c>
      <c r="W1337">
        <v>0.17540349999999999</v>
      </c>
      <c r="X1337">
        <v>0.98412670000000002</v>
      </c>
      <c r="Y1337">
        <v>-5.3974899999999999E-2</v>
      </c>
      <c r="Z1337">
        <v>-1.49254799999999E-3</v>
      </c>
      <c r="AA1337">
        <v>0.99854120000000002</v>
      </c>
      <c r="AB1337">
        <v>40</v>
      </c>
      <c r="AC1337">
        <v>-21.0122999999999</v>
      </c>
      <c r="AD1337">
        <v>-1.103352808973</v>
      </c>
      <c r="AE1337">
        <v>-1.1165999999999701</v>
      </c>
      <c r="AF1337">
        <v>-1.15600192729822</v>
      </c>
      <c r="AG1337">
        <v>-1.103352808973</v>
      </c>
      <c r="AH1337">
        <v>20.952384985001299</v>
      </c>
      <c r="AI1337">
        <v>93.009842875467697</v>
      </c>
      <c r="AJ1337">
        <v>93.157967350759805</v>
      </c>
      <c r="AK1337">
        <v>21.013237838007999</v>
      </c>
    </row>
    <row r="1338" spans="1:37" x14ac:dyDescent="0.2">
      <c r="A1338" t="str">
        <f>"20200111150614709"</f>
        <v>20200111150614709</v>
      </c>
      <c r="B1338" t="str">
        <f>"1578726374697989"</f>
        <v>1578726374697989</v>
      </c>
      <c r="C1338" t="s">
        <v>37</v>
      </c>
      <c r="D1338">
        <v>4.742076</v>
      </c>
      <c r="E1338">
        <v>0.48915219999999998</v>
      </c>
      <c r="F1338" t="s">
        <v>78</v>
      </c>
      <c r="G1338">
        <v>-310.5822</v>
      </c>
      <c r="H1338" s="1">
        <v>-9.5404749999999995E-6</v>
      </c>
      <c r="I1338">
        <v>140.7114</v>
      </c>
      <c r="J1338">
        <v>-289.3467</v>
      </c>
      <c r="K1338">
        <v>1.1033409999999999</v>
      </c>
      <c r="L1338">
        <v>141.85910000000001</v>
      </c>
      <c r="M1338">
        <v>-0.99994699999999903</v>
      </c>
      <c r="N1338">
        <v>0</v>
      </c>
      <c r="O1338">
        <v>1.76912799999999E-3</v>
      </c>
      <c r="P1338">
        <v>-0.98589249999999995</v>
      </c>
      <c r="Q1338">
        <v>0.1655161</v>
      </c>
      <c r="R1338">
        <v>-2.4913959999999999E-2</v>
      </c>
      <c r="S1338">
        <v>-3.0650330000000001</v>
      </c>
      <c r="T1338">
        <v>-0.15650120000000001</v>
      </c>
      <c r="U1338">
        <v>-0.16271969999999999</v>
      </c>
      <c r="V1338">
        <v>-2.6779279999999999E-2</v>
      </c>
      <c r="W1338">
        <v>0.1755002</v>
      </c>
      <c r="X1338">
        <v>0.98411510000000002</v>
      </c>
      <c r="Y1338">
        <v>-5.4707690000000003E-2</v>
      </c>
      <c r="Z1338">
        <v>-1.485019E-3</v>
      </c>
      <c r="AA1338">
        <v>0.99850130000000004</v>
      </c>
      <c r="AB1338">
        <v>40</v>
      </c>
      <c r="AC1338">
        <v>-21.235499999999998</v>
      </c>
      <c r="AD1338">
        <v>-1.1033505404749999</v>
      </c>
      <c r="AE1338">
        <v>-1.1477000000000099</v>
      </c>
      <c r="AF1338">
        <v>-1.1820865679652199</v>
      </c>
      <c r="AG1338">
        <v>-1.1033505404749999</v>
      </c>
      <c r="AH1338">
        <v>21.176434486765601</v>
      </c>
      <c r="AI1338">
        <v>92.977943272841202</v>
      </c>
      <c r="AJ1338">
        <v>93.194983365213901</v>
      </c>
      <c r="AK1338">
        <v>21.238081096031401</v>
      </c>
    </row>
    <row r="1339" spans="1:37" x14ac:dyDescent="0.2">
      <c r="A1339" t="str">
        <f>"20200111150614732"</f>
        <v>20200111150614732</v>
      </c>
      <c r="B1339" t="str">
        <f>"1578726374728246"</f>
        <v>1578726374728246</v>
      </c>
      <c r="C1339" t="s">
        <v>37</v>
      </c>
      <c r="D1339">
        <v>4.6443260000000004</v>
      </c>
      <c r="E1339">
        <v>0.48942849999999999</v>
      </c>
      <c r="F1339" t="s">
        <v>78</v>
      </c>
      <c r="G1339">
        <v>-310.39780000000002</v>
      </c>
      <c r="H1339" s="1">
        <v>-9.6253489999999999E-6</v>
      </c>
      <c r="I1339">
        <v>140.73920000000001</v>
      </c>
      <c r="J1339">
        <v>-289.73829999999998</v>
      </c>
      <c r="K1339">
        <v>1.103345</v>
      </c>
      <c r="L1339">
        <v>141.8596</v>
      </c>
      <c r="M1339">
        <v>-0.99994729999999998</v>
      </c>
      <c r="N1339">
        <v>0</v>
      </c>
      <c r="O1339">
        <v>1.499104E-3</v>
      </c>
      <c r="P1339">
        <v>-0.98603339999999995</v>
      </c>
      <c r="Q1339">
        <v>0.16469719999999999</v>
      </c>
      <c r="R1339">
        <v>-2.4764029999999999E-2</v>
      </c>
      <c r="S1339">
        <v>-3.06579599999999</v>
      </c>
      <c r="T1339">
        <v>-0.16068759999999899</v>
      </c>
      <c r="U1339">
        <v>-0.1631012</v>
      </c>
      <c r="V1339">
        <v>-2.6362690000000001E-2</v>
      </c>
      <c r="W1339">
        <v>0.17468620000000001</v>
      </c>
      <c r="X1339">
        <v>0.98427119999999901</v>
      </c>
      <c r="Y1339">
        <v>-5.4545450000000002E-2</v>
      </c>
      <c r="Z1339">
        <v>-1.5059260000000001E-3</v>
      </c>
      <c r="AA1339">
        <v>0.99851019999999902</v>
      </c>
      <c r="AB1339">
        <v>40</v>
      </c>
      <c r="AC1339">
        <v>-20.659500000000001</v>
      </c>
      <c r="AD1339">
        <v>-1.1033546253490001</v>
      </c>
      <c r="AE1339">
        <v>-1.1203999999999801</v>
      </c>
      <c r="AF1339">
        <v>-1.1481059722143601</v>
      </c>
      <c r="AG1339">
        <v>-1.1033546253490001</v>
      </c>
      <c r="AH1339">
        <v>20.599214873948799</v>
      </c>
      <c r="AI1339">
        <v>93.061258792491998</v>
      </c>
      <c r="AJ1339">
        <v>93.190104002376899</v>
      </c>
      <c r="AK1339">
        <v>20.660667757258601</v>
      </c>
    </row>
    <row r="1340" spans="1:37" x14ac:dyDescent="0.2">
      <c r="A1340" t="str">
        <f>"20200111150614755"</f>
        <v>20200111150614755</v>
      </c>
      <c r="B1340" t="str">
        <f>"1578726374747766"</f>
        <v>1578726374747766</v>
      </c>
      <c r="C1340" t="s">
        <v>37</v>
      </c>
      <c r="D1340">
        <v>4.2724099999999998</v>
      </c>
      <c r="E1340">
        <v>0.4893228</v>
      </c>
      <c r="F1340" t="s">
        <v>78</v>
      </c>
      <c r="G1340">
        <v>-309.87029999999999</v>
      </c>
      <c r="H1340" s="1">
        <v>-9.8278279999999992E-6</v>
      </c>
      <c r="I1340">
        <v>140.80609999999999</v>
      </c>
      <c r="J1340">
        <v>-290.16059999999999</v>
      </c>
      <c r="K1340">
        <v>1.1033440000000001</v>
      </c>
      <c r="L1340">
        <v>141.86000000000001</v>
      </c>
      <c r="M1340">
        <v>-0.99994780000000005</v>
      </c>
      <c r="N1340">
        <v>0</v>
      </c>
      <c r="O1340">
        <v>1.2076179999999999E-3</v>
      </c>
      <c r="P1340">
        <v>-0.98611979999999999</v>
      </c>
      <c r="Q1340">
        <v>0.16419500000000001</v>
      </c>
      <c r="R1340">
        <v>-2.465846E-2</v>
      </c>
      <c r="S1340">
        <v>-3.0665279999999999</v>
      </c>
      <c r="T1340">
        <v>-0.16806379999999899</v>
      </c>
      <c r="U1340">
        <v>-0.1604767</v>
      </c>
      <c r="V1340">
        <v>-2.5969829999999999E-2</v>
      </c>
      <c r="W1340">
        <v>0.17418839999999999</v>
      </c>
      <c r="X1340">
        <v>0.98436979999999996</v>
      </c>
      <c r="Y1340">
        <v>-5.338449E-2</v>
      </c>
      <c r="Z1340">
        <v>-1.526892E-3</v>
      </c>
      <c r="AA1340">
        <v>0.99857289999999999</v>
      </c>
      <c r="AB1340">
        <v>40</v>
      </c>
      <c r="AC1340">
        <v>-19.709700000000002</v>
      </c>
      <c r="AD1340">
        <v>-1.103353827828</v>
      </c>
      <c r="AE1340">
        <v>-1.05390000000002</v>
      </c>
      <c r="AF1340">
        <v>-1.0743450743214</v>
      </c>
      <c r="AG1340">
        <v>-1.103353827828</v>
      </c>
      <c r="AH1340">
        <v>19.647018800576699</v>
      </c>
      <c r="AI1340">
        <v>93.209503549997393</v>
      </c>
      <c r="AJ1340">
        <v>93.129950423939903</v>
      </c>
      <c r="AK1340">
        <v>19.707281769902099</v>
      </c>
    </row>
    <row r="1341" spans="1:37" x14ac:dyDescent="0.2">
      <c r="A1341" t="str">
        <f>"20200111150614778"</f>
        <v>20200111150614778</v>
      </c>
      <c r="B1341" t="str">
        <f>"1578726374768261"</f>
        <v>1578726374768261</v>
      </c>
      <c r="C1341" t="s">
        <v>37</v>
      </c>
      <c r="D1341">
        <v>4.5550160000000002</v>
      </c>
      <c r="E1341">
        <v>0.489446099999999</v>
      </c>
      <c r="F1341" t="s">
        <v>78</v>
      </c>
      <c r="G1341">
        <v>-310.3091</v>
      </c>
      <c r="H1341" s="1">
        <v>-9.6839390000000006E-6</v>
      </c>
      <c r="I1341">
        <v>140.8039</v>
      </c>
      <c r="J1341">
        <v>-290.58640000000003</v>
      </c>
      <c r="K1341">
        <v>1.1033440000000001</v>
      </c>
      <c r="L1341">
        <v>141.86019999999999</v>
      </c>
      <c r="M1341">
        <v>-0.99994799999999995</v>
      </c>
      <c r="N1341">
        <v>0</v>
      </c>
      <c r="O1341">
        <v>9.1422189999999998E-4</v>
      </c>
      <c r="P1341">
        <v>-0.98610620000000004</v>
      </c>
      <c r="Q1341">
        <v>0.16431309999999999</v>
      </c>
      <c r="R1341">
        <v>-2.441608E-2</v>
      </c>
      <c r="S1341">
        <v>-3.0661320000000001</v>
      </c>
      <c r="T1341">
        <v>-0.1679041</v>
      </c>
      <c r="U1341">
        <v>-0.1607056</v>
      </c>
      <c r="V1341">
        <v>-2.5437930000000001E-2</v>
      </c>
      <c r="W1341">
        <v>0.17431060000000001</v>
      </c>
      <c r="X1341">
        <v>0.98436209999999902</v>
      </c>
      <c r="Y1341">
        <v>-5.317347E-2</v>
      </c>
      <c r="Z1341">
        <v>-1.5038229999999901E-3</v>
      </c>
      <c r="AA1341">
        <v>0.99858419999999903</v>
      </c>
      <c r="AB1341">
        <v>40</v>
      </c>
      <c r="AC1341">
        <v>-19.7226999999999</v>
      </c>
      <c r="AD1341">
        <v>-1.1033536839389999</v>
      </c>
      <c r="AE1341">
        <v>-1.05629999999999</v>
      </c>
      <c r="AF1341">
        <v>-1.07098917094935</v>
      </c>
      <c r="AG1341">
        <v>-1.1033536839389999</v>
      </c>
      <c r="AH1341">
        <v>19.660371781177801</v>
      </c>
      <c r="AI1341">
        <v>93.207364044222203</v>
      </c>
      <c r="AJ1341">
        <v>93.1180778316388</v>
      </c>
      <c r="AK1341">
        <v>19.720411398606402</v>
      </c>
    </row>
    <row r="1342" spans="1:37" x14ac:dyDescent="0.2">
      <c r="A1342" t="str">
        <f>"20200111150614800"</f>
        <v>20200111150614800</v>
      </c>
      <c r="B1342" t="str">
        <f>"1578726374787782"</f>
        <v>1578726374787782</v>
      </c>
      <c r="C1342" t="s">
        <v>37</v>
      </c>
      <c r="D1342">
        <v>4.6436419999999998</v>
      </c>
      <c r="E1342">
        <v>0.4893361</v>
      </c>
      <c r="F1342" t="s">
        <v>78</v>
      </c>
      <c r="G1342">
        <v>-310.51580000000001</v>
      </c>
      <c r="H1342" s="1">
        <v>-9.5986679999999992E-6</v>
      </c>
      <c r="I1342">
        <v>140.8254</v>
      </c>
      <c r="J1342">
        <v>-290.97430000000003</v>
      </c>
      <c r="K1342">
        <v>1.1033469999999901</v>
      </c>
      <c r="L1342">
        <v>141.8604</v>
      </c>
      <c r="M1342">
        <v>-0.99994810000000001</v>
      </c>
      <c r="N1342">
        <v>0</v>
      </c>
      <c r="O1342">
        <v>6.4693249999999997E-4</v>
      </c>
      <c r="P1342">
        <v>-0.98603960000000002</v>
      </c>
      <c r="Q1342">
        <v>0.1647131</v>
      </c>
      <c r="R1342">
        <v>-2.440643E-2</v>
      </c>
      <c r="S1342">
        <v>-3.0666199999999999</v>
      </c>
      <c r="T1342">
        <v>-0.16977700000000001</v>
      </c>
      <c r="U1342">
        <v>-0.15922549999999999</v>
      </c>
      <c r="V1342">
        <v>-2.5165739999999999E-2</v>
      </c>
      <c r="W1342">
        <v>0.17471429999999999</v>
      </c>
      <c r="X1342">
        <v>0.98429750000000005</v>
      </c>
      <c r="Y1342">
        <v>-5.241734E-2</v>
      </c>
      <c r="Z1342">
        <v>-1.4846709999999999E-3</v>
      </c>
      <c r="AA1342">
        <v>0.99862410000000001</v>
      </c>
      <c r="AB1342">
        <v>40</v>
      </c>
      <c r="AC1342">
        <v>-19.5414999999999</v>
      </c>
      <c r="AD1342">
        <v>-1.1033565986679901</v>
      </c>
      <c r="AE1342">
        <v>-1.0349999999999899</v>
      </c>
      <c r="AF1342">
        <v>-1.0443224991583899</v>
      </c>
      <c r="AG1342">
        <v>-1.1033565986679901</v>
      </c>
      <c r="AH1342">
        <v>19.478901604607799</v>
      </c>
      <c r="AI1342">
        <v>93.237339868170494</v>
      </c>
      <c r="AJ1342">
        <v>93.068860979514497</v>
      </c>
      <c r="AK1342">
        <v>19.5380555068324</v>
      </c>
    </row>
    <row r="1343" spans="1:37" x14ac:dyDescent="0.2">
      <c r="A1343" t="str">
        <f>"20200111150614821"</f>
        <v>20200111150614821</v>
      </c>
      <c r="B1343" t="str">
        <f>"1578726374818038"</f>
        <v>1578726374818038</v>
      </c>
      <c r="C1343" t="s">
        <v>37</v>
      </c>
      <c r="D1343">
        <v>4.4798530000000003</v>
      </c>
      <c r="E1343">
        <v>0.48920669999999999</v>
      </c>
      <c r="F1343" t="s">
        <v>78</v>
      </c>
      <c r="G1343">
        <v>-310.81990000000002</v>
      </c>
      <c r="H1343" s="1">
        <v>-9.48016E-6</v>
      </c>
      <c r="I1343">
        <v>140.822</v>
      </c>
      <c r="J1343">
        <v>-291.36349999999999</v>
      </c>
      <c r="K1343">
        <v>1.1033389999999901</v>
      </c>
      <c r="L1343">
        <v>141.8604</v>
      </c>
      <c r="M1343">
        <v>-0.99994819999999995</v>
      </c>
      <c r="N1343">
        <v>0</v>
      </c>
      <c r="O1343">
        <v>3.787493E-4</v>
      </c>
      <c r="P1343">
        <v>-0.98600639999999995</v>
      </c>
      <c r="Q1343">
        <v>0.16487209999999999</v>
      </c>
      <c r="R1343">
        <v>-2.467631E-2</v>
      </c>
      <c r="S1343">
        <v>-3.066986</v>
      </c>
      <c r="T1343">
        <v>-0.17051479999999999</v>
      </c>
      <c r="U1343">
        <v>-0.1604767</v>
      </c>
      <c r="V1343">
        <v>-2.5171099999999998E-2</v>
      </c>
      <c r="W1343">
        <v>0.17487720000000001</v>
      </c>
      <c r="X1343">
        <v>0.98426840000000004</v>
      </c>
      <c r="Y1343">
        <v>-5.2549159999999998E-2</v>
      </c>
      <c r="Z1343">
        <v>-1.479689E-3</v>
      </c>
      <c r="AA1343">
        <v>0.99861719999999898</v>
      </c>
      <c r="AB1343">
        <v>40</v>
      </c>
      <c r="AC1343">
        <v>-19.456399999999999</v>
      </c>
      <c r="AD1343">
        <v>-1.10334848015999</v>
      </c>
      <c r="AE1343">
        <v>-1.03839999999999</v>
      </c>
      <c r="AF1343">
        <v>-1.0424266028585101</v>
      </c>
      <c r="AG1343">
        <v>-1.10334848015999</v>
      </c>
      <c r="AH1343">
        <v>19.393814172723701</v>
      </c>
      <c r="AI1343">
        <v>93.251465053138105</v>
      </c>
      <c r="AJ1343">
        <v>93.076714294572398</v>
      </c>
      <c r="AK1343">
        <v>19.453124665645799</v>
      </c>
    </row>
    <row r="1344" spans="1:37" x14ac:dyDescent="0.2">
      <c r="A1344" t="str">
        <f>"20200111150614845"</f>
        <v>20200111150614845</v>
      </c>
      <c r="B1344" t="str">
        <f>"1578726374837558"</f>
        <v>1578726374837558</v>
      </c>
      <c r="C1344" t="s">
        <v>37</v>
      </c>
      <c r="D1344">
        <v>4.4697550000000001</v>
      </c>
      <c r="E1344">
        <v>0.48929719999999999</v>
      </c>
      <c r="F1344" t="s">
        <v>78</v>
      </c>
      <c r="G1344">
        <v>-310.98570000000001</v>
      </c>
      <c r="H1344" s="1">
        <v>-9.4176540000000005E-6</v>
      </c>
      <c r="I1344">
        <v>140.82149999999999</v>
      </c>
      <c r="J1344">
        <v>-291.7851</v>
      </c>
      <c r="K1344">
        <v>1.1033360000000001</v>
      </c>
      <c r="L1344">
        <v>141.8603</v>
      </c>
      <c r="M1344">
        <v>-0.99994819999999995</v>
      </c>
      <c r="N1344">
        <v>0</v>
      </c>
      <c r="O1344" s="1">
        <v>8.8448109999999998E-5</v>
      </c>
      <c r="P1344">
        <v>-0.98601849999999902</v>
      </c>
      <c r="Q1344">
        <v>0.1647721</v>
      </c>
      <c r="R1344">
        <v>-2.4860480000000001E-2</v>
      </c>
      <c r="S1344">
        <v>-3.0673219999999999</v>
      </c>
      <c r="T1344">
        <v>-0.17247479999999901</v>
      </c>
      <c r="U1344">
        <v>-0.1623993</v>
      </c>
      <c r="V1344">
        <v>-2.506968E-2</v>
      </c>
      <c r="W1344">
        <v>0.17478289999999999</v>
      </c>
      <c r="X1344">
        <v>0.98428780000000005</v>
      </c>
      <c r="Y1344">
        <v>-5.2875829999999999E-2</v>
      </c>
      <c r="Z1344">
        <v>-1.489354E-3</v>
      </c>
      <c r="AA1344">
        <v>0.99860000000000004</v>
      </c>
      <c r="AB1344">
        <v>40</v>
      </c>
      <c r="AC1344">
        <v>-19.200600000000001</v>
      </c>
      <c r="AD1344">
        <v>-1.1033454176540001</v>
      </c>
      <c r="AE1344">
        <v>-1.0387999999999999</v>
      </c>
      <c r="AF1344">
        <v>-1.0370837561738</v>
      </c>
      <c r="AG1344">
        <v>-1.1033454176540001</v>
      </c>
      <c r="AH1344">
        <v>19.137498081645099</v>
      </c>
      <c r="AI1344">
        <v>93.294830799008494</v>
      </c>
      <c r="AJ1344">
        <v>93.101892306050203</v>
      </c>
      <c r="AK1344">
        <v>19.197310922442899</v>
      </c>
    </row>
    <row r="1345" spans="1:37" x14ac:dyDescent="0.2">
      <c r="A1345" t="str">
        <f>"20200111150614866"</f>
        <v>20200111150614866</v>
      </c>
      <c r="B1345" t="str">
        <f>"1578726374858054"</f>
        <v>1578726374858054</v>
      </c>
      <c r="C1345" t="s">
        <v>37</v>
      </c>
      <c r="D1345">
        <v>4.4759199999999897</v>
      </c>
      <c r="E1345">
        <v>0.48970599999999997</v>
      </c>
      <c r="F1345" t="s">
        <v>78</v>
      </c>
      <c r="G1345">
        <v>-311.18959999999998</v>
      </c>
      <c r="H1345" s="1">
        <v>-9.3439440000000008E-6</v>
      </c>
      <c r="I1345">
        <v>140.83320000000001</v>
      </c>
      <c r="J1345">
        <v>-292.18329999999997</v>
      </c>
      <c r="K1345">
        <v>1.103334</v>
      </c>
      <c r="L1345">
        <v>141.86019999999999</v>
      </c>
      <c r="M1345">
        <v>-0.99994819999999995</v>
      </c>
      <c r="N1345">
        <v>0</v>
      </c>
      <c r="O1345">
        <v>-1.8587890000000001E-4</v>
      </c>
      <c r="P1345">
        <v>-0.98605379999999998</v>
      </c>
      <c r="Q1345">
        <v>0.1645266</v>
      </c>
      <c r="R1345">
        <v>-2.508258E-2</v>
      </c>
      <c r="S1345">
        <v>-3.0676570000000001</v>
      </c>
      <c r="T1345">
        <v>-0.17442739999999901</v>
      </c>
      <c r="U1345">
        <v>-0.162384</v>
      </c>
      <c r="V1345">
        <v>-2.5021479999999999E-2</v>
      </c>
      <c r="W1345">
        <v>0.17454249999999999</v>
      </c>
      <c r="X1345">
        <v>0.98433169999999903</v>
      </c>
      <c r="Y1345">
        <v>-5.2590169999999999E-2</v>
      </c>
      <c r="Z1345">
        <v>-1.48234E-3</v>
      </c>
      <c r="AA1345">
        <v>0.99861509999999998</v>
      </c>
      <c r="AB1345">
        <v>40</v>
      </c>
      <c r="AC1345">
        <v>-19.0063</v>
      </c>
      <c r="AD1345">
        <v>-1.1033433439439999</v>
      </c>
      <c r="AE1345">
        <v>-1.0269999999999799</v>
      </c>
      <c r="AF1345">
        <v>-1.02003943301418</v>
      </c>
      <c r="AG1345">
        <v>-1.1033433439439999</v>
      </c>
      <c r="AH1345">
        <v>18.942839598827099</v>
      </c>
      <c r="AI1345">
        <v>93.328668158149299</v>
      </c>
      <c r="AJ1345">
        <v>93.082302600505699</v>
      </c>
      <c r="AK1345">
        <v>19.002342462086698</v>
      </c>
    </row>
    <row r="1346" spans="1:37" x14ac:dyDescent="0.2">
      <c r="A1346" t="str">
        <f>"20200111150614889"</f>
        <v>20200111150614889</v>
      </c>
      <c r="B1346" t="str">
        <f>"1578726374877574"</f>
        <v>1578726374877574</v>
      </c>
      <c r="C1346" t="s">
        <v>37</v>
      </c>
      <c r="D1346">
        <v>4.5876339999999898</v>
      </c>
      <c r="E1346">
        <v>0.49030439999999997</v>
      </c>
      <c r="F1346" t="s">
        <v>78</v>
      </c>
      <c r="G1346">
        <v>-311.39510000000001</v>
      </c>
      <c r="H1346" s="1">
        <v>-9.2737390000000007E-6</v>
      </c>
      <c r="I1346">
        <v>140.8603</v>
      </c>
      <c r="J1346">
        <v>-292.59210000000002</v>
      </c>
      <c r="K1346">
        <v>1.1033379999999999</v>
      </c>
      <c r="L1346">
        <v>141.85990000000001</v>
      </c>
      <c r="M1346">
        <v>-0.99994810000000001</v>
      </c>
      <c r="N1346">
        <v>0</v>
      </c>
      <c r="O1346">
        <v>-4.6747949999999998E-4</v>
      </c>
      <c r="P1346">
        <v>-0.98601240000000001</v>
      </c>
      <c r="Q1346">
        <v>0.1647497</v>
      </c>
      <c r="R1346">
        <v>-2.52430999999999E-2</v>
      </c>
      <c r="S1346">
        <v>-3.0678099999999899</v>
      </c>
      <c r="T1346">
        <v>-0.17618599999999901</v>
      </c>
      <c r="U1346">
        <v>-0.159668</v>
      </c>
      <c r="V1346">
        <v>-2.4904519999999999E-2</v>
      </c>
      <c r="W1346">
        <v>0.17477019999999999</v>
      </c>
      <c r="X1346">
        <v>0.98429419999999901</v>
      </c>
      <c r="Y1346">
        <v>-5.1425270000000002E-2</v>
      </c>
      <c r="Z1346">
        <v>-1.447671E-3</v>
      </c>
      <c r="AA1346">
        <v>0.9986758</v>
      </c>
      <c r="AB1346">
        <v>41</v>
      </c>
      <c r="AC1346">
        <v>-18.803000000000001</v>
      </c>
      <c r="AD1346">
        <v>-1.103347273739</v>
      </c>
      <c r="AE1346">
        <v>-0.99960000000001503</v>
      </c>
      <c r="AF1346">
        <v>-0.98741905696960197</v>
      </c>
      <c r="AG1346">
        <v>-1.103347273739</v>
      </c>
      <c r="AH1346">
        <v>18.7391233780736</v>
      </c>
      <c r="AI1346">
        <v>93.364989978748596</v>
      </c>
      <c r="AJ1346">
        <v>93.016292147806496</v>
      </c>
      <c r="AK1346">
        <v>18.7975295339361</v>
      </c>
    </row>
    <row r="1347" spans="1:37" x14ac:dyDescent="0.2">
      <c r="A1347" t="str">
        <f>"20200111150614911"</f>
        <v>20200111150614911</v>
      </c>
      <c r="B1347" t="str">
        <f>"1578726374907830"</f>
        <v>1578726374907830</v>
      </c>
      <c r="C1347" t="s">
        <v>37</v>
      </c>
      <c r="D1347">
        <v>4.4388189999999996</v>
      </c>
      <c r="E1347">
        <v>0.49099529999999902</v>
      </c>
      <c r="F1347" t="s">
        <v>78</v>
      </c>
      <c r="G1347">
        <v>-311.76589999999999</v>
      </c>
      <c r="H1347" s="1">
        <v>-9.1407980000000002E-6</v>
      </c>
      <c r="I1347">
        <v>140.8854</v>
      </c>
      <c r="J1347">
        <v>-292.98500000000001</v>
      </c>
      <c r="K1347">
        <v>1.1033379999999999</v>
      </c>
      <c r="L1347">
        <v>141.8595</v>
      </c>
      <c r="M1347">
        <v>-0.99994780000000005</v>
      </c>
      <c r="N1347">
        <v>0</v>
      </c>
      <c r="O1347">
        <v>-7.3728009999999905E-4</v>
      </c>
      <c r="P1347">
        <v>-0.98589329999999997</v>
      </c>
      <c r="Q1347">
        <v>0.16529639999999901</v>
      </c>
      <c r="R1347">
        <v>-2.6297290000000001E-2</v>
      </c>
      <c r="S1347">
        <v>-3.0680540000000001</v>
      </c>
      <c r="T1347">
        <v>-0.1765496</v>
      </c>
      <c r="U1347">
        <v>-0.1559296</v>
      </c>
      <c r="V1347">
        <v>-2.5693279999999999E-2</v>
      </c>
      <c r="W1347">
        <v>0.17532039999999999</v>
      </c>
      <c r="X1347">
        <v>0.9841761</v>
      </c>
      <c r="Y1347">
        <v>-4.9940520000000002E-2</v>
      </c>
      <c r="Z1347">
        <v>-1.3924229999999901E-3</v>
      </c>
      <c r="AA1347">
        <v>0.99875119999999895</v>
      </c>
      <c r="AB1347">
        <v>41</v>
      </c>
      <c r="AC1347">
        <v>-18.7808999999999</v>
      </c>
      <c r="AD1347">
        <v>-1.103347140798</v>
      </c>
      <c r="AE1347">
        <v>-0.97409999999999197</v>
      </c>
      <c r="AF1347">
        <v>-0.95695827621094398</v>
      </c>
      <c r="AG1347">
        <v>-1.103347140798</v>
      </c>
      <c r="AH1347">
        <v>18.717186493192902</v>
      </c>
      <c r="AI1347">
        <v>93.369196776607097</v>
      </c>
      <c r="AJ1347">
        <v>92.926827189876306</v>
      </c>
      <c r="AK1347">
        <v>18.7740835802039</v>
      </c>
    </row>
    <row r="1348" spans="1:37" x14ac:dyDescent="0.2">
      <c r="A1348" t="str">
        <f>"20200111150614933"</f>
        <v>20200111150614933</v>
      </c>
      <c r="B1348" t="str">
        <f>"1578726374927350"</f>
        <v>1578726374927350</v>
      </c>
      <c r="C1348" t="s">
        <v>37</v>
      </c>
      <c r="D1348">
        <v>4.3849390000000001</v>
      </c>
      <c r="E1348">
        <v>0.49146610000000002</v>
      </c>
      <c r="F1348" t="s">
        <v>78</v>
      </c>
      <c r="G1348">
        <v>-312.13749999999999</v>
      </c>
      <c r="H1348" s="1">
        <v>-9.006192E-6</v>
      </c>
      <c r="I1348">
        <v>140.90530000000001</v>
      </c>
      <c r="J1348">
        <v>-293.38209999999998</v>
      </c>
      <c r="K1348">
        <v>1.1033409999999999</v>
      </c>
      <c r="L1348">
        <v>141.85890000000001</v>
      </c>
      <c r="M1348">
        <v>-0.99994749999999999</v>
      </c>
      <c r="N1348">
        <v>0</v>
      </c>
      <c r="O1348">
        <v>-1.0104179999999999E-3</v>
      </c>
      <c r="P1348">
        <v>-0.98588529999999996</v>
      </c>
      <c r="Q1348">
        <v>0.1653172</v>
      </c>
      <c r="R1348">
        <v>-2.647122E-2</v>
      </c>
      <c r="S1348">
        <v>-3.0684809999999998</v>
      </c>
      <c r="T1348">
        <v>-0.17677039999999999</v>
      </c>
      <c r="U1348">
        <v>-0.15286250000000001</v>
      </c>
      <c r="V1348">
        <v>-2.55979E-2</v>
      </c>
      <c r="W1348">
        <v>0.17534620000000001</v>
      </c>
      <c r="X1348">
        <v>0.98417399999999999</v>
      </c>
      <c r="Y1348">
        <v>-4.866724E-2</v>
      </c>
      <c r="Z1348">
        <v>-1.3416679999999901E-3</v>
      </c>
      <c r="AA1348">
        <v>0.99881419999999999</v>
      </c>
      <c r="AB1348">
        <v>41</v>
      </c>
      <c r="AC1348">
        <v>-18.755400000000002</v>
      </c>
      <c r="AD1348">
        <v>-1.1033500061920001</v>
      </c>
      <c r="AE1348">
        <v>-0.95359999999999401</v>
      </c>
      <c r="AF1348">
        <v>-0.93143256288822196</v>
      </c>
      <c r="AG1348">
        <v>-1.1033500061920001</v>
      </c>
      <c r="AH1348">
        <v>18.691832492578499</v>
      </c>
      <c r="AI1348">
        <v>93.373984715378498</v>
      </c>
      <c r="AJ1348">
        <v>92.8527458708068</v>
      </c>
      <c r="AK1348">
        <v>18.747521163769498</v>
      </c>
    </row>
    <row r="1349" spans="1:37" x14ac:dyDescent="0.2">
      <c r="A1349" t="str">
        <f>"20200111150614956"</f>
        <v>20200111150614956</v>
      </c>
      <c r="B1349" t="str">
        <f>"1578726374947845"</f>
        <v>1578726374947845</v>
      </c>
      <c r="C1349" t="s">
        <v>37</v>
      </c>
      <c r="D1349">
        <v>4.492191</v>
      </c>
      <c r="E1349">
        <v>0.49189620000000001</v>
      </c>
      <c r="F1349" t="s">
        <v>78</v>
      </c>
      <c r="G1349">
        <v>-312.44029999999998</v>
      </c>
      <c r="H1349" s="1">
        <v>-8.898424E-6</v>
      </c>
      <c r="I1349">
        <v>140.9289</v>
      </c>
      <c r="J1349">
        <v>-293.80840000000001</v>
      </c>
      <c r="K1349">
        <v>1.103334</v>
      </c>
      <c r="L1349">
        <v>141.85830000000001</v>
      </c>
      <c r="M1349">
        <v>-0.99994709999999998</v>
      </c>
      <c r="N1349">
        <v>0</v>
      </c>
      <c r="O1349">
        <v>-1.3034660000000001E-3</v>
      </c>
      <c r="P1349">
        <v>-0.98592539999999995</v>
      </c>
      <c r="Q1349">
        <v>0.1652489</v>
      </c>
      <c r="R1349">
        <v>-2.538029E-2</v>
      </c>
      <c r="S1349">
        <v>-3.0687259999999998</v>
      </c>
      <c r="T1349">
        <v>-0.17765999999999901</v>
      </c>
      <c r="U1349">
        <v>-0.14974979999999999</v>
      </c>
      <c r="V1349">
        <v>-2.421796E-2</v>
      </c>
      <c r="W1349">
        <v>0.17528569999999999</v>
      </c>
      <c r="X1349">
        <v>0.98421970000000003</v>
      </c>
      <c r="Y1349">
        <v>-4.7361720000000003E-2</v>
      </c>
      <c r="Z1349">
        <v>-1.293656E-3</v>
      </c>
      <c r="AA1349">
        <v>0.99887700000000001</v>
      </c>
      <c r="AB1349">
        <v>41</v>
      </c>
      <c r="AC1349">
        <v>-18.631899999999899</v>
      </c>
      <c r="AD1349">
        <v>-1.1033428984239999</v>
      </c>
      <c r="AE1349">
        <v>-0.92940000000001499</v>
      </c>
      <c r="AF1349">
        <v>-0.90195679774081206</v>
      </c>
      <c r="AG1349">
        <v>-1.1033428984239999</v>
      </c>
      <c r="AH1349">
        <v>18.568143168748499</v>
      </c>
      <c r="AI1349">
        <v>93.3965946353579</v>
      </c>
      <c r="AJ1349">
        <v>92.780985068617895</v>
      </c>
      <c r="AK1349">
        <v>18.622750397071702</v>
      </c>
    </row>
    <row r="1350" spans="1:37" x14ac:dyDescent="0.2">
      <c r="A1350" t="str">
        <f>"20200111150614979"</f>
        <v>20200111150614979</v>
      </c>
      <c r="B1350" t="str">
        <f>"1578726374968341"</f>
        <v>1578726374968341</v>
      </c>
      <c r="C1350" t="s">
        <v>37</v>
      </c>
      <c r="D1350">
        <v>4.3711820000000001</v>
      </c>
      <c r="E1350">
        <v>0.49225600000000003</v>
      </c>
      <c r="F1350" t="s">
        <v>78</v>
      </c>
      <c r="G1350">
        <v>-312.75220000000002</v>
      </c>
      <c r="H1350" s="1">
        <v>-8.7899420000000002E-6</v>
      </c>
      <c r="I1350">
        <v>140.96279999999999</v>
      </c>
      <c r="J1350">
        <v>-294.21780000000001</v>
      </c>
      <c r="K1350">
        <v>1.103335</v>
      </c>
      <c r="L1350">
        <v>141.85749999999999</v>
      </c>
      <c r="M1350">
        <v>-0.99994669999999897</v>
      </c>
      <c r="N1350">
        <v>0</v>
      </c>
      <c r="O1350">
        <v>-1.5848310000000001E-3</v>
      </c>
      <c r="P1350">
        <v>-0.9859253</v>
      </c>
      <c r="Q1350">
        <v>0.16533100000000001</v>
      </c>
      <c r="R1350">
        <v>-2.4835090000000001E-2</v>
      </c>
      <c r="S1350">
        <v>-3.0690919999999999</v>
      </c>
      <c r="T1350">
        <v>-0.1787533</v>
      </c>
      <c r="U1350">
        <v>-0.1450806</v>
      </c>
      <c r="V1350">
        <v>-2.3396279999999998E-2</v>
      </c>
      <c r="W1350">
        <v>0.17537439999999899</v>
      </c>
      <c r="X1350">
        <v>0.98422379999999998</v>
      </c>
      <c r="Y1350">
        <v>-4.5561209999999998E-2</v>
      </c>
      <c r="Z1350">
        <v>-1.2327709999999999E-3</v>
      </c>
      <c r="AA1350">
        <v>0.99896079999999998</v>
      </c>
      <c r="AB1350">
        <v>41</v>
      </c>
      <c r="AC1350">
        <v>-18.534400000000002</v>
      </c>
      <c r="AD1350">
        <v>-1.103343789942</v>
      </c>
      <c r="AE1350">
        <v>-0.89470000000000005</v>
      </c>
      <c r="AF1350">
        <v>-0.86227486208932602</v>
      </c>
      <c r="AG1350">
        <v>-1.103343789942</v>
      </c>
      <c r="AH1350">
        <v>18.470491871403201</v>
      </c>
      <c r="AI1350">
        <v>93.414818628024094</v>
      </c>
      <c r="AJ1350">
        <v>92.672850669332107</v>
      </c>
      <c r="AK1350">
        <v>18.523497386513402</v>
      </c>
    </row>
    <row r="1351" spans="1:37" x14ac:dyDescent="0.2">
      <c r="A1351" t="str">
        <f>"20200111150615000"</f>
        <v>20200111150615000</v>
      </c>
      <c r="B1351" t="str">
        <f>"1578726374997622"</f>
        <v>1578726374997622</v>
      </c>
      <c r="C1351" t="s">
        <v>37</v>
      </c>
      <c r="D1351">
        <v>4.3193149999999996</v>
      </c>
      <c r="E1351">
        <v>0.49285839999999997</v>
      </c>
      <c r="F1351" t="s">
        <v>78</v>
      </c>
      <c r="G1351">
        <v>-313.21780000000001</v>
      </c>
      <c r="H1351" s="1">
        <v>-8.6222439999999904E-6</v>
      </c>
      <c r="I1351">
        <v>140.9914</v>
      </c>
      <c r="J1351">
        <v>-294.59930000000003</v>
      </c>
      <c r="K1351">
        <v>1.10334</v>
      </c>
      <c r="L1351">
        <v>141.85669999999999</v>
      </c>
      <c r="M1351">
        <v>-0.99994620000000001</v>
      </c>
      <c r="N1351">
        <v>0</v>
      </c>
      <c r="O1351">
        <v>-1.8468829999999999E-3</v>
      </c>
      <c r="P1351">
        <v>-0.98585599999999995</v>
      </c>
      <c r="Q1351">
        <v>0.16570499999999999</v>
      </c>
      <c r="R1351">
        <v>-2.5103429999999999E-2</v>
      </c>
      <c r="S1351">
        <v>-3.069153</v>
      </c>
      <c r="T1351">
        <v>-0.1782281</v>
      </c>
      <c r="U1351">
        <v>-0.1399078</v>
      </c>
      <c r="V1351">
        <v>-2.3406409999999999E-2</v>
      </c>
      <c r="W1351">
        <v>0.17575279999999999</v>
      </c>
      <c r="X1351">
        <v>0.98415599999999903</v>
      </c>
      <c r="Y1351">
        <v>-4.3622510000000003E-2</v>
      </c>
      <c r="Z1351">
        <v>-1.1577669999999899E-3</v>
      </c>
      <c r="AA1351">
        <v>0.99904740000000003</v>
      </c>
      <c r="AB1351">
        <v>41</v>
      </c>
      <c r="AC1351">
        <v>-18.618499999999901</v>
      </c>
      <c r="AD1351">
        <v>-1.1033486222439901</v>
      </c>
      <c r="AE1351">
        <v>-0.86529999999998997</v>
      </c>
      <c r="AF1351">
        <v>-0.82800896432123705</v>
      </c>
      <c r="AG1351">
        <v>-1.1033486222439901</v>
      </c>
      <c r="AH1351">
        <v>18.555044319658698</v>
      </c>
      <c r="AI1351">
        <v>93.399627469749404</v>
      </c>
      <c r="AJ1351">
        <v>92.555098500232106</v>
      </c>
      <c r="AK1351">
        <v>18.606252893360899</v>
      </c>
    </row>
    <row r="1352" spans="1:37" x14ac:dyDescent="0.2">
      <c r="A1352" t="str">
        <f>"20200111150615022"</f>
        <v>20200111150615022</v>
      </c>
      <c r="B1352" t="str">
        <f>"1578726375018118"</f>
        <v>1578726375018118</v>
      </c>
      <c r="C1352" t="s">
        <v>37</v>
      </c>
      <c r="D1352">
        <v>4.4416769999999897</v>
      </c>
      <c r="E1352">
        <v>0.49327139999999903</v>
      </c>
      <c r="F1352" t="s">
        <v>78</v>
      </c>
      <c r="G1352">
        <v>-313.74509999999998</v>
      </c>
      <c r="H1352" s="1">
        <v>-8.4298550000000006E-6</v>
      </c>
      <c r="I1352">
        <v>141.0146</v>
      </c>
      <c r="J1352">
        <v>-295.0129</v>
      </c>
      <c r="K1352">
        <v>1.1033360000000001</v>
      </c>
      <c r="L1352">
        <v>141.85570000000001</v>
      </c>
      <c r="M1352">
        <v>-0.99994559999999999</v>
      </c>
      <c r="N1352">
        <v>0</v>
      </c>
      <c r="O1352">
        <v>-2.131109E-3</v>
      </c>
      <c r="P1352">
        <v>-0.98593850000000005</v>
      </c>
      <c r="Q1352">
        <v>0.16523160000000001</v>
      </c>
      <c r="R1352">
        <v>-2.497866E-2</v>
      </c>
      <c r="S1352">
        <v>-3.0693359999999998</v>
      </c>
      <c r="T1352">
        <v>-0.1768817</v>
      </c>
      <c r="U1352">
        <v>-0.13499449999999999</v>
      </c>
      <c r="V1352">
        <v>-2.3001009999999999E-2</v>
      </c>
      <c r="W1352">
        <v>0.1752861</v>
      </c>
      <c r="X1352">
        <v>0.98424880000000003</v>
      </c>
      <c r="Y1352">
        <v>-4.1744330000000003E-2</v>
      </c>
      <c r="Z1352">
        <v>-1.0786019999999999E-3</v>
      </c>
      <c r="AA1352">
        <v>0.99912769999999995</v>
      </c>
      <c r="AB1352">
        <v>41</v>
      </c>
      <c r="AC1352">
        <v>-18.732199999999899</v>
      </c>
      <c r="AD1352">
        <v>-1.1033444298549999</v>
      </c>
      <c r="AE1352">
        <v>-0.84110000000001095</v>
      </c>
      <c r="AF1352">
        <v>-0.79841127600639905</v>
      </c>
      <c r="AG1352">
        <v>-1.1033444298549999</v>
      </c>
      <c r="AH1352">
        <v>18.669310494540799</v>
      </c>
      <c r="AI1352">
        <v>93.379128717974496</v>
      </c>
      <c r="AJ1352">
        <v>92.448817728451402</v>
      </c>
      <c r="AK1352">
        <v>18.7189204773704</v>
      </c>
    </row>
    <row r="1353" spans="1:37" x14ac:dyDescent="0.2">
      <c r="A1353" t="str">
        <f>"20200111150615045"</f>
        <v>20200111150615045</v>
      </c>
      <c r="B1353" t="str">
        <f>"1578726375037638"</f>
        <v>1578726375037638</v>
      </c>
      <c r="C1353" t="s">
        <v>37</v>
      </c>
      <c r="D1353">
        <v>4.3737539999999999</v>
      </c>
      <c r="E1353">
        <v>0.49362869999999998</v>
      </c>
      <c r="F1353" t="s">
        <v>78</v>
      </c>
      <c r="G1353">
        <v>-313.92489999999998</v>
      </c>
      <c r="H1353" s="1">
        <v>-8.3693630000000003E-6</v>
      </c>
      <c r="I1353">
        <v>141.0419</v>
      </c>
      <c r="J1353">
        <v>-295.42349999999999</v>
      </c>
      <c r="K1353">
        <v>1.1033360000000001</v>
      </c>
      <c r="L1353">
        <v>141.8546</v>
      </c>
      <c r="M1353">
        <v>-0.99994470000000002</v>
      </c>
      <c r="N1353">
        <v>0</v>
      </c>
      <c r="O1353">
        <v>-2.412834E-3</v>
      </c>
      <c r="P1353">
        <v>-0.98603850000000004</v>
      </c>
      <c r="Q1353">
        <v>0.16463520000000001</v>
      </c>
      <c r="R1353">
        <v>-2.496756E-2</v>
      </c>
      <c r="S1353">
        <v>-3.0694270000000001</v>
      </c>
      <c r="T1353">
        <v>-0.17907339999999999</v>
      </c>
      <c r="U1353">
        <v>-0.13208010000000001</v>
      </c>
      <c r="V1353">
        <v>-2.2711970000000001E-2</v>
      </c>
      <c r="W1353">
        <v>0.1746974</v>
      </c>
      <c r="X1353">
        <v>0.98436019999999902</v>
      </c>
      <c r="Y1353">
        <v>-4.0515549999999997E-2</v>
      </c>
      <c r="Z1353">
        <v>-1.039721E-3</v>
      </c>
      <c r="AA1353">
        <v>0.99917829999999996</v>
      </c>
      <c r="AB1353">
        <v>41</v>
      </c>
      <c r="AC1353">
        <v>-18.501399999999901</v>
      </c>
      <c r="AD1353">
        <v>-1.1033443693629901</v>
      </c>
      <c r="AE1353">
        <v>-0.81270000000000597</v>
      </c>
      <c r="AF1353">
        <v>-0.76533786759340605</v>
      </c>
      <c r="AG1353">
        <v>-1.1033443693629901</v>
      </c>
      <c r="AH1353">
        <v>18.4378606657882</v>
      </c>
      <c r="AI1353">
        <v>93.421626938832802</v>
      </c>
      <c r="AJ1353">
        <v>92.376928193071507</v>
      </c>
      <c r="AK1353">
        <v>18.4866929649409</v>
      </c>
    </row>
    <row r="1354" spans="1:37" x14ac:dyDescent="0.2">
      <c r="A1354" t="str">
        <f>"20200111150615067"</f>
        <v>20200111150615067</v>
      </c>
      <c r="B1354" t="str">
        <f>"1578726375058133"</f>
        <v>1578726375058133</v>
      </c>
      <c r="C1354" t="s">
        <v>37</v>
      </c>
      <c r="D1354">
        <v>4.3979239999999997</v>
      </c>
      <c r="E1354">
        <v>0.4940156</v>
      </c>
      <c r="F1354" t="s">
        <v>78</v>
      </c>
      <c r="G1354">
        <v>-314.05939999999998</v>
      </c>
      <c r="H1354" s="1">
        <v>-8.3257289999999999E-6</v>
      </c>
      <c r="I1354">
        <v>141.06829999999999</v>
      </c>
      <c r="J1354">
        <v>-295.84589999999997</v>
      </c>
      <c r="K1354">
        <v>1.103334</v>
      </c>
      <c r="L1354">
        <v>141.85329999999999</v>
      </c>
      <c r="M1354">
        <v>-0.999944099999999</v>
      </c>
      <c r="N1354">
        <v>0</v>
      </c>
      <c r="O1354">
        <v>-2.7029039999999999E-3</v>
      </c>
      <c r="P1354">
        <v>-0.98598899999999901</v>
      </c>
      <c r="Q1354">
        <v>0.16480929999999999</v>
      </c>
      <c r="R1354">
        <v>-2.5769429999999999E-2</v>
      </c>
      <c r="S1354">
        <v>-3.06957999999999</v>
      </c>
      <c r="T1354">
        <v>-0.1817349</v>
      </c>
      <c r="U1354">
        <v>-0.12950129999999899</v>
      </c>
      <c r="V1354">
        <v>-2.3228470000000001E-2</v>
      </c>
      <c r="W1354">
        <v>0.174876799999999</v>
      </c>
      <c r="X1354">
        <v>0.98431630000000003</v>
      </c>
      <c r="Y1354">
        <v>-3.938622E-2</v>
      </c>
      <c r="Z1354">
        <v>-1.0045760000000001E-3</v>
      </c>
      <c r="AA1354">
        <v>0.99922350000000004</v>
      </c>
      <c r="AB1354">
        <v>41</v>
      </c>
      <c r="AC1354">
        <v>-18.2135</v>
      </c>
      <c r="AD1354">
        <v>-1.103342325729</v>
      </c>
      <c r="AE1354">
        <v>-0.78499999999999603</v>
      </c>
      <c r="AF1354">
        <v>-0.73308000269487295</v>
      </c>
      <c r="AG1354">
        <v>-1.103342325729</v>
      </c>
      <c r="AH1354">
        <v>18.1490766895147</v>
      </c>
      <c r="AI1354">
        <v>93.476090549090898</v>
      </c>
      <c r="AJ1354">
        <v>92.313041627748206</v>
      </c>
      <c r="AK1354">
        <v>18.1973557216422</v>
      </c>
    </row>
    <row r="1355" spans="1:37" x14ac:dyDescent="0.2">
      <c r="A1355" t="str">
        <f>"20200111150615089"</f>
        <v>20200111150615089</v>
      </c>
      <c r="B1355" t="str">
        <f>"1578726375077654"</f>
        <v>1578726375077654</v>
      </c>
      <c r="C1355" t="s">
        <v>37</v>
      </c>
      <c r="D1355">
        <v>4.3777460000000001</v>
      </c>
      <c r="E1355">
        <v>0.494367</v>
      </c>
      <c r="F1355" t="s">
        <v>78</v>
      </c>
      <c r="G1355">
        <v>-314.46050000000002</v>
      </c>
      <c r="H1355" s="1">
        <v>-8.176272E-6</v>
      </c>
      <c r="I1355">
        <v>141.07409999999999</v>
      </c>
      <c r="J1355">
        <v>-296.23329999999999</v>
      </c>
      <c r="K1355">
        <v>1.1033249999999999</v>
      </c>
      <c r="L1355">
        <v>141.852</v>
      </c>
      <c r="M1355">
        <v>-0.99994319999999903</v>
      </c>
      <c r="N1355">
        <v>0</v>
      </c>
      <c r="O1355">
        <v>-2.968535E-3</v>
      </c>
      <c r="P1355">
        <v>-0.98590959999999905</v>
      </c>
      <c r="Q1355">
        <v>0.16509649999999901</v>
      </c>
      <c r="R1355">
        <v>-2.6940470000000001E-2</v>
      </c>
      <c r="S1355">
        <v>-3.0696720000000002</v>
      </c>
      <c r="T1355">
        <v>-0.18194869999999999</v>
      </c>
      <c r="U1355">
        <v>-0.12849430000000001</v>
      </c>
      <c r="V1355">
        <v>-2.4137749999999999E-2</v>
      </c>
      <c r="W1355">
        <v>0.17516779999999901</v>
      </c>
      <c r="X1355">
        <v>0.98424269999999903</v>
      </c>
      <c r="Y1355">
        <v>-3.8793620000000001E-2</v>
      </c>
      <c r="Z1355">
        <v>-9.7246889999999997E-4</v>
      </c>
      <c r="AA1355">
        <v>0.99924679999999999</v>
      </c>
      <c r="AB1355">
        <v>41</v>
      </c>
      <c r="AC1355">
        <v>-18.2272</v>
      </c>
      <c r="AD1355">
        <v>-1.10333317627199</v>
      </c>
      <c r="AE1355">
        <v>-0.77790000000001602</v>
      </c>
      <c r="AF1355">
        <v>-0.721148064191941</v>
      </c>
      <c r="AG1355">
        <v>-1.10333317627199</v>
      </c>
      <c r="AH1355">
        <v>18.162998044169601</v>
      </c>
      <c r="AI1355">
        <v>93.473499332847396</v>
      </c>
      <c r="AJ1355">
        <v>92.273691210286998</v>
      </c>
      <c r="AK1355">
        <v>18.210763206984499</v>
      </c>
    </row>
    <row r="1356" spans="1:37" x14ac:dyDescent="0.2">
      <c r="A1356" t="str">
        <f>"20200111150615111"</f>
        <v>20200111150615111</v>
      </c>
      <c r="B1356" t="str">
        <f>"1578726375107910"</f>
        <v>1578726375107910</v>
      </c>
      <c r="C1356" t="s">
        <v>37</v>
      </c>
      <c r="D1356">
        <v>4.375604</v>
      </c>
      <c r="E1356">
        <v>0.49475200000000003</v>
      </c>
      <c r="F1356" t="s">
        <v>78</v>
      </c>
      <c r="G1356">
        <v>-314.89249999999998</v>
      </c>
      <c r="H1356" s="1">
        <v>-8.0118569999999993E-6</v>
      </c>
      <c r="I1356">
        <v>141.06729999999999</v>
      </c>
      <c r="J1356">
        <v>-296.63670000000002</v>
      </c>
      <c r="K1356">
        <v>1.103329</v>
      </c>
      <c r="L1356">
        <v>141.85059999999999</v>
      </c>
      <c r="M1356">
        <v>-0.99994229999999995</v>
      </c>
      <c r="N1356">
        <v>0</v>
      </c>
      <c r="O1356">
        <v>-3.2451329999999999E-3</v>
      </c>
      <c r="P1356">
        <v>-0.98587819999999904</v>
      </c>
      <c r="Q1356">
        <v>0.16522779999999901</v>
      </c>
      <c r="R1356">
        <v>-2.728444E-2</v>
      </c>
      <c r="S1356">
        <v>-3.0697329999999998</v>
      </c>
      <c r="T1356">
        <v>-0.18151629999999999</v>
      </c>
      <c r="U1356">
        <v>-0.12910460000000001</v>
      </c>
      <c r="V1356">
        <v>-2.4209430000000001E-2</v>
      </c>
      <c r="W1356">
        <v>0.1753044</v>
      </c>
      <c r="X1356">
        <v>0.984216599999999</v>
      </c>
      <c r="Y1356">
        <v>-3.8715640000000003E-2</v>
      </c>
      <c r="Z1356">
        <v>-9.5150189999999998E-4</v>
      </c>
      <c r="AA1356">
        <v>0.99924979999999997</v>
      </c>
      <c r="AB1356">
        <v>41</v>
      </c>
      <c r="AC1356">
        <v>-18.255799999999901</v>
      </c>
      <c r="AD1356">
        <v>-1.1033370118570001</v>
      </c>
      <c r="AE1356">
        <v>-0.783299999999997</v>
      </c>
      <c r="AF1356">
        <v>-0.72141997740933705</v>
      </c>
      <c r="AG1356">
        <v>-1.1033370118570001</v>
      </c>
      <c r="AH1356">
        <v>18.1919183035468</v>
      </c>
      <c r="AI1356">
        <v>93.4680095193863</v>
      </c>
      <c r="AJ1356">
        <v>92.270935488536693</v>
      </c>
      <c r="AK1356">
        <v>18.2396187160933</v>
      </c>
    </row>
    <row r="1357" spans="1:37" x14ac:dyDescent="0.2">
      <c r="A1357" t="str">
        <f>"20200111150615136"</f>
        <v>20200111150615136</v>
      </c>
      <c r="B1357" t="str">
        <f>"1578726375127431"</f>
        <v>1578726375127431</v>
      </c>
      <c r="C1357" t="s">
        <v>37</v>
      </c>
      <c r="D1357">
        <v>4.4209740000000002</v>
      </c>
      <c r="E1357">
        <v>0.49498799999999998</v>
      </c>
      <c r="F1357" t="s">
        <v>78</v>
      </c>
      <c r="G1357">
        <v>-315.23919999999998</v>
      </c>
      <c r="H1357" s="1">
        <v>-7.8656679999999906E-6</v>
      </c>
      <c r="I1357">
        <v>141.07929999999999</v>
      </c>
      <c r="J1357">
        <v>-297.07740000000001</v>
      </c>
      <c r="K1357">
        <v>1.1033389999999901</v>
      </c>
      <c r="L1357">
        <v>141.84889999999999</v>
      </c>
      <c r="M1357">
        <v>-0.99994119999999997</v>
      </c>
      <c r="N1357">
        <v>0</v>
      </c>
      <c r="O1357">
        <v>-3.5472429999999998E-3</v>
      </c>
      <c r="P1357">
        <v>-0.98572950000000004</v>
      </c>
      <c r="Q1357">
        <v>0.16608879999999901</v>
      </c>
      <c r="R1357">
        <v>-2.742735E-2</v>
      </c>
      <c r="S1357">
        <v>-3.0699160000000001</v>
      </c>
      <c r="T1357">
        <v>-0.1820811</v>
      </c>
      <c r="U1357">
        <v>-0.12728879999999901</v>
      </c>
      <c r="V1357">
        <v>-2.405641E-2</v>
      </c>
      <c r="W1357">
        <v>0.17617049999999901</v>
      </c>
      <c r="X1357">
        <v>0.98406569999999904</v>
      </c>
      <c r="Y1357">
        <v>-3.7822920000000003E-2</v>
      </c>
      <c r="Z1357">
        <v>-9.1007709999999995E-4</v>
      </c>
      <c r="AA1357">
        <v>0.99928399999999995</v>
      </c>
      <c r="AB1357">
        <v>41</v>
      </c>
      <c r="AC1357">
        <v>-18.1617999999999</v>
      </c>
      <c r="AD1357">
        <v>-1.1033468656679899</v>
      </c>
      <c r="AE1357">
        <v>-0.76959999999999695</v>
      </c>
      <c r="AF1357">
        <v>-0.70257910988624295</v>
      </c>
      <c r="AG1357">
        <v>-1.1033468656679899</v>
      </c>
      <c r="AH1357">
        <v>18.0977425733563</v>
      </c>
      <c r="AI1357">
        <v>93.486156487722198</v>
      </c>
      <c r="AJ1357">
        <v>92.223184091338297</v>
      </c>
      <c r="AK1357">
        <v>18.144951858935901</v>
      </c>
    </row>
    <row r="1358" spans="1:37" x14ac:dyDescent="0.2">
      <c r="A1358" t="str">
        <f>"20200111150615157"</f>
        <v>20200111150615157</v>
      </c>
      <c r="B1358" t="str">
        <f>"1578726375147928"</f>
        <v>1578726375147928</v>
      </c>
      <c r="C1358" t="s">
        <v>37</v>
      </c>
      <c r="D1358">
        <v>4.4169869999999998</v>
      </c>
      <c r="E1358">
        <v>0.49471949999999998</v>
      </c>
      <c r="F1358" t="s">
        <v>78</v>
      </c>
      <c r="G1358">
        <v>-315.89049999999997</v>
      </c>
      <c r="H1358" s="1">
        <v>-7.5761220000000004E-6</v>
      </c>
      <c r="I1358">
        <v>141.07669999999999</v>
      </c>
      <c r="J1358">
        <v>-297.48270000000002</v>
      </c>
      <c r="K1358">
        <v>1.103343</v>
      </c>
      <c r="L1358">
        <v>141.84729999999999</v>
      </c>
      <c r="M1358">
        <v>-0.9999401</v>
      </c>
      <c r="N1358">
        <v>0</v>
      </c>
      <c r="O1358">
        <v>-3.824914E-3</v>
      </c>
      <c r="P1358">
        <v>-0.98564110000000005</v>
      </c>
      <c r="Q1358">
        <v>0.1665104</v>
      </c>
      <c r="R1358">
        <v>-2.8040019999999999E-2</v>
      </c>
      <c r="S1358">
        <v>-3.0702509999999998</v>
      </c>
      <c r="T1358">
        <v>-0.1800628</v>
      </c>
      <c r="U1358">
        <v>-0.1260223</v>
      </c>
      <c r="V1358">
        <v>-2.4395650000000001E-2</v>
      </c>
      <c r="W1358">
        <v>0.1765967</v>
      </c>
      <c r="X1358">
        <v>0.98398090000000005</v>
      </c>
      <c r="Y1358">
        <v>-3.7132400000000003E-2</v>
      </c>
      <c r="Z1358">
        <v>-8.6342929999999997E-4</v>
      </c>
      <c r="AA1358">
        <v>0.99931000000000003</v>
      </c>
      <c r="AB1358">
        <v>41</v>
      </c>
      <c r="AC1358">
        <v>-18.407799999999899</v>
      </c>
      <c r="AD1358">
        <v>-1.1033505761219999</v>
      </c>
      <c r="AE1358">
        <v>-0.77060000000000095</v>
      </c>
      <c r="AF1358">
        <v>-0.69768022383184602</v>
      </c>
      <c r="AG1358">
        <v>-1.1033505761219999</v>
      </c>
      <c r="AH1358">
        <v>18.344820477424399</v>
      </c>
      <c r="AI1358">
        <v>93.439432065627599</v>
      </c>
      <c r="AJ1358">
        <v>92.177992217637595</v>
      </c>
      <c r="AK1358">
        <v>18.391209273386199</v>
      </c>
    </row>
    <row r="1359" spans="1:37" x14ac:dyDescent="0.2">
      <c r="A1359" t="str">
        <f>"20200111150615179"</f>
        <v>20200111150615179</v>
      </c>
      <c r="B1359" t="str">
        <f>"1578726375167446"</f>
        <v>1578726375167446</v>
      </c>
      <c r="C1359" t="s">
        <v>37</v>
      </c>
      <c r="D1359">
        <v>4.3973019999999998</v>
      </c>
      <c r="E1359">
        <v>0.49442649999999999</v>
      </c>
      <c r="F1359" t="s">
        <v>78</v>
      </c>
      <c r="G1359">
        <v>-316.54520000000002</v>
      </c>
      <c r="H1359" s="1">
        <v>-7.2761919999999997E-6</v>
      </c>
      <c r="I1359">
        <v>141.0403</v>
      </c>
      <c r="J1359">
        <v>-297.88099999999997</v>
      </c>
      <c r="K1359">
        <v>1.103348</v>
      </c>
      <c r="L1359">
        <v>141.84549999999999</v>
      </c>
      <c r="M1359">
        <v>-0.99993899999999902</v>
      </c>
      <c r="N1359">
        <v>0</v>
      </c>
      <c r="O1359">
        <v>-4.0979359999999999E-3</v>
      </c>
      <c r="P1359">
        <v>-0.98560890000000001</v>
      </c>
      <c r="Q1359">
        <v>0.1666183</v>
      </c>
      <c r="R1359">
        <v>-2.851996E-2</v>
      </c>
      <c r="S1359">
        <v>-3.0700069999999999</v>
      </c>
      <c r="T1359">
        <v>-0.1776934</v>
      </c>
      <c r="U1359">
        <v>-0.12995909999999999</v>
      </c>
      <c r="V1359">
        <v>-2.4607219999999999E-2</v>
      </c>
      <c r="W1359">
        <v>0.17671029999999999</v>
      </c>
      <c r="X1359">
        <v>0.98395529999999998</v>
      </c>
      <c r="Y1359">
        <v>-3.8142269999999999E-2</v>
      </c>
      <c r="Z1359">
        <v>-8.6553740000000002E-4</v>
      </c>
      <c r="AA1359">
        <v>0.99927189999999999</v>
      </c>
      <c r="AB1359">
        <v>41</v>
      </c>
      <c r="AC1359">
        <v>-18.664200000000001</v>
      </c>
      <c r="AD1359">
        <v>-1.103355276192</v>
      </c>
      <c r="AE1359">
        <v>-0.80519999999998404</v>
      </c>
      <c r="AF1359">
        <v>-0.72617146854319403</v>
      </c>
      <c r="AG1359">
        <v>-1.103355276192</v>
      </c>
      <c r="AH1359">
        <v>18.602453563235098</v>
      </c>
      <c r="AI1359">
        <v>93.391793517555897</v>
      </c>
      <c r="AJ1359">
        <v>92.235481769558305</v>
      </c>
      <c r="AK1359">
        <v>18.649289435245102</v>
      </c>
    </row>
    <row r="1360" spans="1:37" x14ac:dyDescent="0.2">
      <c r="A1360" t="str">
        <f>"20200111150615201"</f>
        <v>20200111150615201</v>
      </c>
      <c r="B1360" t="str">
        <f>"1578726375197701"</f>
        <v>1578726375197701</v>
      </c>
      <c r="C1360" t="s">
        <v>37</v>
      </c>
      <c r="D1360">
        <v>4.3656940000000004</v>
      </c>
      <c r="E1360">
        <v>0.4940213</v>
      </c>
      <c r="F1360" t="s">
        <v>78</v>
      </c>
      <c r="G1360">
        <v>-317.05</v>
      </c>
      <c r="H1360" s="1">
        <v>-7.0449199999999998E-6</v>
      </c>
      <c r="I1360">
        <v>141.01220000000001</v>
      </c>
      <c r="J1360">
        <v>-298.28050000000002</v>
      </c>
      <c r="K1360">
        <v>1.1033409999999999</v>
      </c>
      <c r="L1360">
        <v>141.84360000000001</v>
      </c>
      <c r="M1360">
        <v>-0.99993779999999999</v>
      </c>
      <c r="N1360">
        <v>0</v>
      </c>
      <c r="O1360">
        <v>-4.37214599999999E-3</v>
      </c>
      <c r="P1360">
        <v>-0.98555490000000001</v>
      </c>
      <c r="Q1360">
        <v>0.1669649</v>
      </c>
      <c r="R1360">
        <v>-2.8368089999999999E-2</v>
      </c>
      <c r="S1360">
        <v>-3.0698240000000001</v>
      </c>
      <c r="T1360">
        <v>-0.17669689999999999</v>
      </c>
      <c r="U1360">
        <v>-0.1334534</v>
      </c>
      <c r="V1360">
        <v>-2.4185269999999998E-2</v>
      </c>
      <c r="W1360">
        <v>0.17706229999999901</v>
      </c>
      <c r="X1360">
        <v>0.98390250000000001</v>
      </c>
      <c r="Y1360">
        <v>-3.900576E-2</v>
      </c>
      <c r="Z1360">
        <v>-8.6977759999999995E-4</v>
      </c>
      <c r="AA1360">
        <v>0.99923859999999998</v>
      </c>
      <c r="AB1360">
        <v>41</v>
      </c>
      <c r="AC1360">
        <v>-18.769499999999901</v>
      </c>
      <c r="AD1360">
        <v>-1.1033480449199999</v>
      </c>
      <c r="AE1360">
        <v>-0.83140000000000203</v>
      </c>
      <c r="AF1360">
        <v>-0.74674934695363104</v>
      </c>
      <c r="AG1360">
        <v>-1.1033480449199999</v>
      </c>
      <c r="AH1360">
        <v>18.708434077037001</v>
      </c>
      <c r="AI1360">
        <v>93.372485389202396</v>
      </c>
      <c r="AJ1360">
        <v>92.285754393938404</v>
      </c>
      <c r="AK1360">
        <v>18.755812888548501</v>
      </c>
    </row>
    <row r="1361" spans="1:37" x14ac:dyDescent="0.2">
      <c r="A1361" t="str">
        <f>"20200111150615224"</f>
        <v>20200111150615224</v>
      </c>
      <c r="B1361" t="str">
        <f>"1578726375218198"</f>
        <v>1578726375218198</v>
      </c>
      <c r="C1361" t="s">
        <v>37</v>
      </c>
      <c r="D1361">
        <v>4.2968330000000003</v>
      </c>
      <c r="E1361">
        <v>0.49372429999999901</v>
      </c>
      <c r="F1361" t="s">
        <v>78</v>
      </c>
      <c r="G1361">
        <v>-317.4837</v>
      </c>
      <c r="H1361" s="1">
        <v>-6.8455260000000002E-6</v>
      </c>
      <c r="I1361">
        <v>140.9855</v>
      </c>
      <c r="J1361">
        <v>-298.70310000000001</v>
      </c>
      <c r="K1361">
        <v>1.1033489999999999</v>
      </c>
      <c r="L1361">
        <v>141.8416</v>
      </c>
      <c r="M1361">
        <v>-0.99993639999999995</v>
      </c>
      <c r="N1361">
        <v>0</v>
      </c>
      <c r="O1361">
        <v>-4.661737E-3</v>
      </c>
      <c r="P1361">
        <v>-0.98551979999999995</v>
      </c>
      <c r="Q1361">
        <v>0.16721929999999999</v>
      </c>
      <c r="R1361">
        <v>-2.8081149999999999E-2</v>
      </c>
      <c r="S1361">
        <v>-3.0699160000000001</v>
      </c>
      <c r="T1361">
        <v>-0.17638589999999901</v>
      </c>
      <c r="U1361">
        <v>-0.1371918</v>
      </c>
      <c r="V1361">
        <v>-2.3613640000000002E-2</v>
      </c>
      <c r="W1361">
        <v>0.17732319999999999</v>
      </c>
      <c r="X1361">
        <v>0.98386929999999995</v>
      </c>
      <c r="Y1361">
        <v>-3.9928690000000003E-2</v>
      </c>
      <c r="Z1361">
        <v>-8.7806270000000001E-4</v>
      </c>
      <c r="AA1361">
        <v>0.99920209999999998</v>
      </c>
      <c r="AB1361">
        <v>41</v>
      </c>
      <c r="AC1361">
        <v>-18.7806</v>
      </c>
      <c r="AD1361">
        <v>-1.103355845526</v>
      </c>
      <c r="AE1361">
        <v>-0.85609999999999697</v>
      </c>
      <c r="AF1361">
        <v>-0.76589782026699404</v>
      </c>
      <c r="AG1361">
        <v>-1.103355845526</v>
      </c>
      <c r="AH1361">
        <v>18.719908595591999</v>
      </c>
      <c r="AI1361">
        <v>93.370311275327495</v>
      </c>
      <c r="AJ1361">
        <v>92.3428667731838</v>
      </c>
      <c r="AK1361">
        <v>18.768030568503001</v>
      </c>
    </row>
    <row r="1362" spans="1:37" x14ac:dyDescent="0.2">
      <c r="A1362" t="str">
        <f>"20200111150615246"</f>
        <v>20200111150615246</v>
      </c>
      <c r="B1362" t="str">
        <f>"1578726375237717"</f>
        <v>1578726375237717</v>
      </c>
      <c r="C1362" t="s">
        <v>37</v>
      </c>
      <c r="D1362">
        <v>4.3886510000000003</v>
      </c>
      <c r="E1362">
        <v>0.49342920000000001</v>
      </c>
      <c r="F1362" t="s">
        <v>78</v>
      </c>
      <c r="G1362">
        <v>-317.86750000000001</v>
      </c>
      <c r="H1362" s="1">
        <v>-6.6721059999999998E-6</v>
      </c>
      <c r="I1362">
        <v>140.97329999999999</v>
      </c>
      <c r="J1362">
        <v>-299.11329999999998</v>
      </c>
      <c r="K1362">
        <v>1.1033469999999901</v>
      </c>
      <c r="L1362">
        <v>141.83940000000001</v>
      </c>
      <c r="M1362">
        <v>-0.99993500000000002</v>
      </c>
      <c r="N1362">
        <v>0</v>
      </c>
      <c r="O1362">
        <v>-4.9428659999999998E-3</v>
      </c>
      <c r="P1362">
        <v>-0.9854039</v>
      </c>
      <c r="Q1362">
        <v>0.16784279999999999</v>
      </c>
      <c r="R1362">
        <v>-2.842927E-2</v>
      </c>
      <c r="S1362">
        <v>-3.070068</v>
      </c>
      <c r="T1362">
        <v>-0.17675299999999999</v>
      </c>
      <c r="U1362">
        <v>-0.1390991</v>
      </c>
      <c r="V1362">
        <v>-2.3685970000000001E-2</v>
      </c>
      <c r="W1362">
        <v>0.1779511</v>
      </c>
      <c r="X1362">
        <v>0.98375419999999902</v>
      </c>
      <c r="Y1362">
        <v>-4.026474E-2</v>
      </c>
      <c r="Z1362">
        <v>-8.7332849999999999E-4</v>
      </c>
      <c r="AA1362">
        <v>0.99918869999999904</v>
      </c>
      <c r="AB1362">
        <v>41</v>
      </c>
      <c r="AC1362">
        <v>-18.754200000000001</v>
      </c>
      <c r="AD1362">
        <v>-1.10335367210599</v>
      </c>
      <c r="AE1362">
        <v>-0.86610000000001697</v>
      </c>
      <c r="AF1362">
        <v>-0.77072304346518805</v>
      </c>
      <c r="AG1362">
        <v>-1.10335367210599</v>
      </c>
      <c r="AH1362">
        <v>18.693686380577699</v>
      </c>
      <c r="AI1362">
        <v>93.374977801780304</v>
      </c>
      <c r="AJ1362">
        <v>92.360913789153898</v>
      </c>
      <c r="AK1362">
        <v>18.7420733599801</v>
      </c>
    </row>
    <row r="1363" spans="1:37" x14ac:dyDescent="0.2">
      <c r="A1363" t="str">
        <f>"20200111150615268"</f>
        <v>20200111150615268</v>
      </c>
      <c r="B1363" t="str">
        <f>"1578726375258213"</f>
        <v>1578726375258213</v>
      </c>
      <c r="C1363" t="s">
        <v>37</v>
      </c>
      <c r="D1363">
        <v>4.4041220000000001</v>
      </c>
      <c r="E1363">
        <v>0.49318770000000001</v>
      </c>
      <c r="F1363" t="s">
        <v>78</v>
      </c>
      <c r="G1363">
        <v>-318.3784</v>
      </c>
      <c r="H1363" s="1">
        <v>-6.4392290000000003E-6</v>
      </c>
      <c r="I1363">
        <v>140.94929999999999</v>
      </c>
      <c r="J1363">
        <v>-299.52499999999998</v>
      </c>
      <c r="K1363">
        <v>1.103348</v>
      </c>
      <c r="L1363">
        <v>141.8372</v>
      </c>
      <c r="M1363">
        <v>-0.99993359999999998</v>
      </c>
      <c r="N1363">
        <v>0</v>
      </c>
      <c r="O1363">
        <v>-5.2245920000000001E-3</v>
      </c>
      <c r="P1363">
        <v>-0.98534069999999996</v>
      </c>
      <c r="Q1363">
        <v>0.16820679999999999</v>
      </c>
      <c r="R1363">
        <v>-2.847212E-2</v>
      </c>
      <c r="S1363">
        <v>-3.0703429999999998</v>
      </c>
      <c r="T1363">
        <v>-0.17584539999999901</v>
      </c>
      <c r="U1363">
        <v>-0.14186099999999999</v>
      </c>
      <c r="V1363">
        <v>-2.345218E-2</v>
      </c>
      <c r="W1363">
        <v>0.17832029999999999</v>
      </c>
      <c r="X1363">
        <v>0.98369289999999998</v>
      </c>
      <c r="Y1363">
        <v>-4.0876160000000002E-2</v>
      </c>
      <c r="Z1363">
        <v>-8.7012859999999995E-4</v>
      </c>
      <c r="AA1363">
        <v>0.99916389999999999</v>
      </c>
      <c r="AB1363">
        <v>41</v>
      </c>
      <c r="AC1363">
        <v>-18.853400000000001</v>
      </c>
      <c r="AD1363">
        <v>-1.103354439229</v>
      </c>
      <c r="AE1363">
        <v>-0.88790000000000102</v>
      </c>
      <c r="AF1363">
        <v>-0.78669296167425795</v>
      </c>
      <c r="AG1363">
        <v>-1.103354439229</v>
      </c>
      <c r="AH1363">
        <v>18.793557785013402</v>
      </c>
      <c r="AI1363">
        <v>93.356998586276703</v>
      </c>
      <c r="AJ1363">
        <v>92.396985593134602</v>
      </c>
      <c r="AK1363">
        <v>18.842348342315301</v>
      </c>
    </row>
    <row r="1364" spans="1:37" x14ac:dyDescent="0.2">
      <c r="A1364" t="str">
        <f>"20200111150615290"</f>
        <v>20200111150615290</v>
      </c>
      <c r="B1364" t="str">
        <f>"1578726375277734"</f>
        <v>1578726375277734</v>
      </c>
      <c r="C1364" t="s">
        <v>37</v>
      </c>
      <c r="D1364">
        <v>4.4484129999999897</v>
      </c>
      <c r="E1364">
        <v>0.49293909999999902</v>
      </c>
      <c r="F1364" t="s">
        <v>78</v>
      </c>
      <c r="G1364">
        <v>-318.80309999999997</v>
      </c>
      <c r="H1364" s="1">
        <v>-6.2468679999999901E-6</v>
      </c>
      <c r="I1364">
        <v>140.9341</v>
      </c>
      <c r="J1364">
        <v>-299.9228</v>
      </c>
      <c r="K1364">
        <v>1.103351</v>
      </c>
      <c r="L1364">
        <v>141.8349</v>
      </c>
      <c r="M1364">
        <v>-0.99993199999999904</v>
      </c>
      <c r="N1364">
        <v>0</v>
      </c>
      <c r="O1364">
        <v>-5.4967790000000002E-3</v>
      </c>
      <c r="P1364">
        <v>-0.98526619999999998</v>
      </c>
      <c r="Q1364">
        <v>0.168659</v>
      </c>
      <c r="R1364">
        <v>-2.8370139999999999E-2</v>
      </c>
      <c r="S1364">
        <v>-3.070465</v>
      </c>
      <c r="T1364">
        <v>-0.17573339999999901</v>
      </c>
      <c r="U1364">
        <v>-0.14382929999999999</v>
      </c>
      <c r="V1364">
        <v>-2.3082479999999999E-2</v>
      </c>
      <c r="W1364">
        <v>0.1787782</v>
      </c>
      <c r="X1364">
        <v>0.98361860000000001</v>
      </c>
      <c r="Y1364">
        <v>-4.1241430000000003E-2</v>
      </c>
      <c r="Z1364">
        <v>-8.6441000000000003E-4</v>
      </c>
      <c r="AA1364">
        <v>0.99914879999999995</v>
      </c>
      <c r="AB1364">
        <v>41</v>
      </c>
      <c r="AC1364">
        <v>-18.880299999999899</v>
      </c>
      <c r="AD1364">
        <v>-1.103357246868</v>
      </c>
      <c r="AE1364">
        <v>-0.90080000000000304</v>
      </c>
      <c r="AF1364">
        <v>-0.79429356349204305</v>
      </c>
      <c r="AG1364">
        <v>-1.103357246868</v>
      </c>
      <c r="AH1364">
        <v>18.820835803113599</v>
      </c>
      <c r="AI1364">
        <v>93.352104571681593</v>
      </c>
      <c r="AJ1364">
        <v>92.416613127893399</v>
      </c>
      <c r="AK1364">
        <v>18.869874398283201</v>
      </c>
    </row>
    <row r="1365" spans="1:37" x14ac:dyDescent="0.2">
      <c r="A1365" t="str">
        <f>"20200111150615313"</f>
        <v>20200111150615313</v>
      </c>
      <c r="B1365" t="str">
        <f>"1578726375307991"</f>
        <v>1578726375307991</v>
      </c>
      <c r="C1365" t="s">
        <v>37</v>
      </c>
      <c r="D1365">
        <v>4.4415019999999998</v>
      </c>
      <c r="E1365">
        <v>0.49256949999999999</v>
      </c>
      <c r="F1365" t="s">
        <v>78</v>
      </c>
      <c r="G1365">
        <v>-319.25310000000002</v>
      </c>
      <c r="H1365" s="1">
        <v>-6.0426429999999997E-6</v>
      </c>
      <c r="I1365">
        <v>140.91640000000001</v>
      </c>
      <c r="J1365">
        <v>-300.34930000000003</v>
      </c>
      <c r="K1365">
        <v>1.103351</v>
      </c>
      <c r="L1365">
        <v>141.8323</v>
      </c>
      <c r="M1365">
        <v>-0.99993029999999905</v>
      </c>
      <c r="N1365">
        <v>0</v>
      </c>
      <c r="O1365">
        <v>-5.7885189999999998E-3</v>
      </c>
      <c r="P1365">
        <v>-0.98527659999999995</v>
      </c>
      <c r="Q1365">
        <v>0.16851479999999999</v>
      </c>
      <c r="R1365">
        <v>-2.8864440000000002E-2</v>
      </c>
      <c r="S1365">
        <v>-3.0706180000000001</v>
      </c>
      <c r="T1365">
        <v>-0.17526839999999999</v>
      </c>
      <c r="U1365">
        <v>-0.14590449999999999</v>
      </c>
      <c r="V1365">
        <v>-2.328945E-2</v>
      </c>
      <c r="W1365">
        <v>0.17864079999999999</v>
      </c>
      <c r="X1365">
        <v>0.98363869999999898</v>
      </c>
      <c r="Y1365">
        <v>-4.162151E-2</v>
      </c>
      <c r="Z1365">
        <v>-8.5627330000000005E-4</v>
      </c>
      <c r="AA1365">
        <v>0.9991331</v>
      </c>
      <c r="AB1365">
        <v>41</v>
      </c>
      <c r="AC1365">
        <v>-18.903799999999901</v>
      </c>
      <c r="AD1365">
        <v>-1.1033570426429999</v>
      </c>
      <c r="AE1365">
        <v>-0.91589999999999305</v>
      </c>
      <c r="AF1365">
        <v>-0.803722226118189</v>
      </c>
      <c r="AG1365">
        <v>-1.1033570426429999</v>
      </c>
      <c r="AH1365">
        <v>18.844737224830698</v>
      </c>
      <c r="AI1365">
        <v>93.347798837284401</v>
      </c>
      <c r="AJ1365">
        <v>92.442167264891097</v>
      </c>
      <c r="AK1365">
        <v>18.894112502396801</v>
      </c>
    </row>
    <row r="1366" spans="1:37" x14ac:dyDescent="0.2">
      <c r="A1366" t="str">
        <f>"20200111150615337"</f>
        <v>20200111150615337</v>
      </c>
      <c r="B1366" t="str">
        <f>"1578726375328485"</f>
        <v>1578726375328485</v>
      </c>
      <c r="C1366" t="s">
        <v>37</v>
      </c>
      <c r="D1366">
        <v>4.4948959999999998</v>
      </c>
      <c r="E1366">
        <v>0.49241509999999999</v>
      </c>
      <c r="F1366" t="s">
        <v>78</v>
      </c>
      <c r="G1366">
        <v>-319.4271</v>
      </c>
      <c r="H1366" s="1">
        <v>-5.9603619999999999E-6</v>
      </c>
      <c r="I1366">
        <v>140.89689999999999</v>
      </c>
      <c r="J1366">
        <v>-300.78809999999999</v>
      </c>
      <c r="K1366">
        <v>1.1033539999999999</v>
      </c>
      <c r="L1366">
        <v>141.8295</v>
      </c>
      <c r="M1366">
        <v>-0.99992839999999905</v>
      </c>
      <c r="N1366">
        <v>0</v>
      </c>
      <c r="O1366">
        <v>-6.0886050000000004E-3</v>
      </c>
      <c r="P1366">
        <v>-0.98517520000000003</v>
      </c>
      <c r="Q1366">
        <v>0.16905880000000001</v>
      </c>
      <c r="R1366">
        <v>-2.9140340000000001E-2</v>
      </c>
      <c r="S1366">
        <v>-3.0708009999999999</v>
      </c>
      <c r="T1366">
        <v>-0.1775987</v>
      </c>
      <c r="U1366">
        <v>-0.15055850000000001</v>
      </c>
      <c r="V1366">
        <v>-2.327067E-2</v>
      </c>
      <c r="W1366">
        <v>0.17918970000000001</v>
      </c>
      <c r="X1366">
        <v>0.98353930000000001</v>
      </c>
      <c r="Y1366">
        <v>-4.2826469999999998E-2</v>
      </c>
      <c r="Z1366">
        <v>-8.8502090000000002E-4</v>
      </c>
      <c r="AA1366">
        <v>0.99908209999999997</v>
      </c>
      <c r="AB1366">
        <v>41</v>
      </c>
      <c r="AC1366">
        <v>-18.638999999999999</v>
      </c>
      <c r="AD1366">
        <v>-1.1033599603619999</v>
      </c>
      <c r="AE1366">
        <v>-0.93260000000000698</v>
      </c>
      <c r="AF1366">
        <v>-0.816238060037909</v>
      </c>
      <c r="AG1366">
        <v>-1.1033599603619999</v>
      </c>
      <c r="AH1366">
        <v>18.5793896473795</v>
      </c>
      <c r="AI1366">
        <v>93.395321625090006</v>
      </c>
      <c r="AJ1366">
        <v>92.515526284663196</v>
      </c>
      <c r="AK1366">
        <v>18.6300125454047</v>
      </c>
    </row>
    <row r="1367" spans="1:37" x14ac:dyDescent="0.2">
      <c r="A1367" t="str">
        <f>"20200111150615359"</f>
        <v>20200111150615359</v>
      </c>
      <c r="B1367" t="str">
        <f>"1578726375348007"</f>
        <v>1578726375348007</v>
      </c>
      <c r="C1367" t="s">
        <v>37</v>
      </c>
      <c r="D1367">
        <v>4.5933080000000004</v>
      </c>
      <c r="E1367">
        <v>0.49217529999999998</v>
      </c>
      <c r="F1367" t="s">
        <v>39</v>
      </c>
      <c r="G1367">
        <v>-320.10599999999999</v>
      </c>
      <c r="H1367" s="1">
        <v>-4.4615280000000003E-6</v>
      </c>
      <c r="I1367">
        <v>140.8655</v>
      </c>
      <c r="J1367">
        <v>-301.21030000000002</v>
      </c>
      <c r="K1367">
        <v>1.1033549999999901</v>
      </c>
      <c r="L1367">
        <v>141.82669999999999</v>
      </c>
      <c r="M1367">
        <v>-0.99992649999999905</v>
      </c>
      <c r="N1367">
        <v>0</v>
      </c>
      <c r="O1367">
        <v>-6.377125E-3</v>
      </c>
      <c r="P1367">
        <v>-0.98505480000000001</v>
      </c>
      <c r="Q1367">
        <v>0.16972809999999999</v>
      </c>
      <c r="R1367">
        <v>-2.9316760000000001E-2</v>
      </c>
      <c r="S1367">
        <v>-3.0707089999999999</v>
      </c>
      <c r="T1367">
        <v>-0.1753875</v>
      </c>
      <c r="U1367">
        <v>-0.153228799999999</v>
      </c>
      <c r="V1367">
        <v>-2.3164589999999999E-2</v>
      </c>
      <c r="W1367">
        <v>0.17986469999999999</v>
      </c>
      <c r="X1367">
        <v>0.98341859999999903</v>
      </c>
      <c r="Y1367">
        <v>-4.3407359999999999E-2</v>
      </c>
      <c r="Z1367">
        <v>-8.7413740000000001E-4</v>
      </c>
      <c r="AA1367">
        <v>0.99905710000000003</v>
      </c>
      <c r="AB1367">
        <v>41</v>
      </c>
      <c r="AC1367">
        <v>-18.895699999999898</v>
      </c>
      <c r="AD1367">
        <v>-1.10335946152799</v>
      </c>
      <c r="AE1367">
        <v>-0.96119999999999095</v>
      </c>
      <c r="AF1367">
        <v>-0.83782450120057494</v>
      </c>
      <c r="AG1367">
        <v>-1.10335946152799</v>
      </c>
      <c r="AH1367">
        <v>18.837382894303499</v>
      </c>
      <c r="AI1367">
        <v>93.348844772736001</v>
      </c>
      <c r="AJ1367">
        <v>92.546648456758405</v>
      </c>
      <c r="AK1367">
        <v>18.888259483148602</v>
      </c>
    </row>
    <row r="1368" spans="1:37" x14ac:dyDescent="0.2">
      <c r="A1368" t="str">
        <f>"20200111150615382"</f>
        <v>20200111150615382</v>
      </c>
      <c r="B1368" t="str">
        <f>"1578726375367526"</f>
        <v>1578726375367526</v>
      </c>
      <c r="C1368" t="s">
        <v>37</v>
      </c>
      <c r="D1368">
        <v>4.5090629999999896</v>
      </c>
      <c r="E1368">
        <v>0.49195870000000003</v>
      </c>
      <c r="F1368" t="s">
        <v>39</v>
      </c>
      <c r="G1368">
        <v>-320.7133</v>
      </c>
      <c r="H1368" s="1">
        <v>-4.2497589999999999E-6</v>
      </c>
      <c r="I1368">
        <v>140.83670000000001</v>
      </c>
      <c r="J1368">
        <v>-301.61489999999998</v>
      </c>
      <c r="K1368">
        <v>1.103356</v>
      </c>
      <c r="L1368">
        <v>141.82390000000001</v>
      </c>
      <c r="M1368">
        <v>-0.99992459999999905</v>
      </c>
      <c r="N1368">
        <v>0</v>
      </c>
      <c r="O1368">
        <v>-6.6539609999999999E-3</v>
      </c>
      <c r="P1368">
        <v>-0.98505659999999895</v>
      </c>
      <c r="Q1368">
        <v>0.16981640000000001</v>
      </c>
      <c r="R1368">
        <v>-2.873827E-2</v>
      </c>
      <c r="S1368">
        <v>-3.0708310000000001</v>
      </c>
      <c r="T1368">
        <v>-0.17372939999999901</v>
      </c>
      <c r="U1368">
        <v>-0.15586849999999999</v>
      </c>
      <c r="V1368">
        <v>-2.2313550000000001E-2</v>
      </c>
      <c r="W1368">
        <v>0.17995939999999999</v>
      </c>
      <c r="X1368">
        <v>0.98342090000000004</v>
      </c>
      <c r="Y1368">
        <v>-4.3986089999999999E-2</v>
      </c>
      <c r="Z1368">
        <v>-8.6654229999999998E-4</v>
      </c>
      <c r="AA1368">
        <v>0.99903180000000003</v>
      </c>
      <c r="AB1368">
        <v>41</v>
      </c>
      <c r="AC1368">
        <v>-19.098400000000002</v>
      </c>
      <c r="AD1368">
        <v>-1.103360249759</v>
      </c>
      <c r="AE1368">
        <v>-0.98720000000000097</v>
      </c>
      <c r="AF1368">
        <v>-0.85723783073825199</v>
      </c>
      <c r="AG1368">
        <v>-1.103360249759</v>
      </c>
      <c r="AH1368">
        <v>19.041162926765399</v>
      </c>
      <c r="AI1368">
        <v>93.313007555806294</v>
      </c>
      <c r="AJ1368">
        <v>92.577729470217093</v>
      </c>
      <c r="AK1368">
        <v>19.092358317997899</v>
      </c>
    </row>
    <row r="1369" spans="1:37" x14ac:dyDescent="0.2">
      <c r="A1369" t="str">
        <f>"20200111150615403"</f>
        <v>20200111150615403</v>
      </c>
      <c r="B1369" t="str">
        <f>"1578726375397532"</f>
        <v>1578726375397532</v>
      </c>
      <c r="C1369" t="s">
        <v>37</v>
      </c>
      <c r="D1369">
        <v>4.5043110000000004</v>
      </c>
      <c r="E1369">
        <v>0.49174040000000002</v>
      </c>
      <c r="F1369" t="s">
        <v>39</v>
      </c>
      <c r="G1369">
        <v>-321.09980000000002</v>
      </c>
      <c r="H1369" s="1">
        <v>-4.1177450000000002E-6</v>
      </c>
      <c r="I1369">
        <v>140.83410000000001</v>
      </c>
      <c r="J1369">
        <v>-302.01069999999999</v>
      </c>
      <c r="K1369">
        <v>1.103361</v>
      </c>
      <c r="L1369">
        <v>141.821</v>
      </c>
      <c r="M1369">
        <v>-0.99992269999999905</v>
      </c>
      <c r="N1369">
        <v>0</v>
      </c>
      <c r="O1369">
        <v>-6.9245979999999997E-3</v>
      </c>
      <c r="P1369">
        <v>-0.985000599999999</v>
      </c>
      <c r="Q1369">
        <v>0.1701619</v>
      </c>
      <c r="R1369">
        <v>-2.861408E-2</v>
      </c>
      <c r="S1369">
        <v>-3.07089199999999</v>
      </c>
      <c r="T1369">
        <v>-0.1738942</v>
      </c>
      <c r="U1369">
        <v>-0.15599060000000001</v>
      </c>
      <c r="V1369">
        <v>-2.1923370000000001E-2</v>
      </c>
      <c r="W1369">
        <v>0.18031069999999999</v>
      </c>
      <c r="X1369">
        <v>0.98336539999999995</v>
      </c>
      <c r="Y1369">
        <v>-4.3754979999999999E-2</v>
      </c>
      <c r="Z1369">
        <v>-8.4550849999999998E-4</v>
      </c>
      <c r="AA1369">
        <v>0.99904190000000004</v>
      </c>
      <c r="AB1369">
        <v>41</v>
      </c>
      <c r="AC1369">
        <v>-19.089099999999998</v>
      </c>
      <c r="AD1369">
        <v>-1.1033651177449999</v>
      </c>
      <c r="AE1369">
        <v>-0.98689999999999101</v>
      </c>
      <c r="AF1369">
        <v>-0.85184656904135403</v>
      </c>
      <c r="AG1369">
        <v>-1.1033651177449999</v>
      </c>
      <c r="AH1369">
        <v>19.032061218007101</v>
      </c>
      <c r="AI1369">
        <v>93.314641776024104</v>
      </c>
      <c r="AJ1369">
        <v>92.5627628844762</v>
      </c>
      <c r="AK1369">
        <v>19.0830398879794</v>
      </c>
    </row>
    <row r="1370" spans="1:37" x14ac:dyDescent="0.2">
      <c r="A1370" t="str">
        <f>"20200111150615425"</f>
        <v>20200111150615425</v>
      </c>
      <c r="B1370" t="str">
        <f>"1578726375418027"</f>
        <v>1578726375418027</v>
      </c>
      <c r="C1370" t="s">
        <v>37</v>
      </c>
      <c r="D1370">
        <v>4.5576210000000001</v>
      </c>
      <c r="E1370">
        <v>0.49160130000000002</v>
      </c>
      <c r="F1370" t="s">
        <v>39</v>
      </c>
      <c r="G1370">
        <v>-321.45370000000003</v>
      </c>
      <c r="H1370" s="1">
        <v>-3.9702130000000003E-6</v>
      </c>
      <c r="I1370">
        <v>140.82499999999999</v>
      </c>
      <c r="J1370">
        <v>-302.42270000000002</v>
      </c>
      <c r="K1370">
        <v>1.1033629999999901</v>
      </c>
      <c r="L1370">
        <v>141.81799999999899</v>
      </c>
      <c r="M1370">
        <v>-0.99992080000000005</v>
      </c>
      <c r="N1370">
        <v>0</v>
      </c>
      <c r="O1370">
        <v>-7.2060839999999998E-3</v>
      </c>
      <c r="P1370">
        <v>-0.984894099999999</v>
      </c>
      <c r="Q1370">
        <v>0.17074489999999901</v>
      </c>
      <c r="R1370">
        <v>-2.8817039999999999E-2</v>
      </c>
      <c r="S1370">
        <v>-3.0712280000000001</v>
      </c>
      <c r="T1370">
        <v>-0.17428850000000001</v>
      </c>
      <c r="U1370">
        <v>-0.15733339999999901</v>
      </c>
      <c r="V1370">
        <v>-2.1850629999999999E-2</v>
      </c>
      <c r="W1370">
        <v>0.1808989</v>
      </c>
      <c r="X1370">
        <v>0.98325899999999999</v>
      </c>
      <c r="Y1370">
        <v>-4.3903829999999998E-2</v>
      </c>
      <c r="Z1370">
        <v>-8.3558869999999998E-4</v>
      </c>
      <c r="AA1370">
        <v>0.99903539999999902</v>
      </c>
      <c r="AB1370">
        <v>41</v>
      </c>
      <c r="AC1370">
        <v>-19.030999999999999</v>
      </c>
      <c r="AD1370">
        <v>-1.10336697021299</v>
      </c>
      <c r="AE1370">
        <v>-0.992999999999994</v>
      </c>
      <c r="AF1370">
        <v>-0.85296856834601098</v>
      </c>
      <c r="AG1370">
        <v>-1.10336697021299</v>
      </c>
      <c r="AH1370">
        <v>18.9740561306076</v>
      </c>
      <c r="AI1370">
        <v>93.324728651283394</v>
      </c>
      <c r="AJ1370">
        <v>92.573968212798903</v>
      </c>
      <c r="AK1370">
        <v>19.025240605495402</v>
      </c>
    </row>
    <row r="1371" spans="1:37" x14ac:dyDescent="0.2">
      <c r="A1371" t="str">
        <f>"20200111150615448"</f>
        <v>20200111150615448</v>
      </c>
      <c r="B1371" t="str">
        <f>"1578726375437547"</f>
        <v>1578726375437547</v>
      </c>
      <c r="C1371" t="s">
        <v>37</v>
      </c>
      <c r="D1371">
        <v>4.5521529999999997</v>
      </c>
      <c r="E1371">
        <v>0.49145620000000001</v>
      </c>
      <c r="F1371" t="s">
        <v>39</v>
      </c>
      <c r="G1371">
        <v>-321.91669999999999</v>
      </c>
      <c r="H1371" s="1">
        <v>-3.7672940000000002E-6</v>
      </c>
      <c r="I1371">
        <v>140.80879999999999</v>
      </c>
      <c r="J1371">
        <v>-302.84300000000002</v>
      </c>
      <c r="K1371">
        <v>1.1033629999999901</v>
      </c>
      <c r="L1371">
        <v>141.81469999999999</v>
      </c>
      <c r="M1371">
        <v>-0.99991859999999999</v>
      </c>
      <c r="N1371">
        <v>0</v>
      </c>
      <c r="O1371">
        <v>-7.4931750000000004E-3</v>
      </c>
      <c r="P1371">
        <v>-0.98479359999999905</v>
      </c>
      <c r="Q1371">
        <v>0.17118620000000001</v>
      </c>
      <c r="R1371">
        <v>-2.96175999999999E-2</v>
      </c>
      <c r="S1371">
        <v>-3.0715029999999999</v>
      </c>
      <c r="T1371">
        <v>-0.17384829999999901</v>
      </c>
      <c r="U1371">
        <v>-0.15899659999999999</v>
      </c>
      <c r="V1371">
        <v>-2.236966E-2</v>
      </c>
      <c r="W1371">
        <v>0.181344899999999</v>
      </c>
      <c r="X1371">
        <v>0.98316510000000001</v>
      </c>
      <c r="Y1371">
        <v>-4.415235E-2</v>
      </c>
      <c r="Z1371">
        <v>-8.2419419999999995E-4</v>
      </c>
      <c r="AA1371">
        <v>0.99902449999999998</v>
      </c>
      <c r="AB1371">
        <v>41</v>
      </c>
      <c r="AC1371">
        <v>-19.073699999999899</v>
      </c>
      <c r="AD1371">
        <v>-1.103366767294</v>
      </c>
      <c r="AE1371">
        <v>-1.00589999999999</v>
      </c>
      <c r="AF1371">
        <v>-0.86007145551240405</v>
      </c>
      <c r="AG1371">
        <v>-1.103366767294</v>
      </c>
      <c r="AH1371">
        <v>19.017240623340101</v>
      </c>
      <c r="AI1371">
        <v>93.317154679535903</v>
      </c>
      <c r="AJ1371">
        <v>92.589487554719497</v>
      </c>
      <c r="AK1371">
        <v>19.0686282164652</v>
      </c>
    </row>
    <row r="1372" spans="1:37" x14ac:dyDescent="0.2">
      <c r="A1372" t="str">
        <f>"20200111150615469"</f>
        <v>20200111150615469</v>
      </c>
      <c r="B1372" t="str">
        <f>"1578726375458043"</f>
        <v>1578726375458043</v>
      </c>
      <c r="C1372" t="s">
        <v>37</v>
      </c>
      <c r="D1372">
        <v>4.6167439999999997</v>
      </c>
      <c r="E1372">
        <v>0.49123299999999998</v>
      </c>
      <c r="F1372" t="s">
        <v>39</v>
      </c>
      <c r="G1372">
        <v>-322.55959999999999</v>
      </c>
      <c r="H1372" s="1">
        <v>-3.4818630000000001E-6</v>
      </c>
      <c r="I1372">
        <v>140.77260000000001</v>
      </c>
      <c r="J1372">
        <v>-303.24829999999997</v>
      </c>
      <c r="K1372">
        <v>1.103361</v>
      </c>
      <c r="L1372">
        <v>141.8115</v>
      </c>
      <c r="M1372">
        <v>-0.99991640000000004</v>
      </c>
      <c r="N1372">
        <v>0</v>
      </c>
      <c r="O1372">
        <v>-7.7698899999999998E-3</v>
      </c>
      <c r="P1372">
        <v>-0.98481390000000002</v>
      </c>
      <c r="Q1372">
        <v>0.17102809999999999</v>
      </c>
      <c r="R1372">
        <v>-2.9847930000000002E-2</v>
      </c>
      <c r="S1372">
        <v>-3.0712890000000002</v>
      </c>
      <c r="T1372">
        <v>-0.17187430000000001</v>
      </c>
      <c r="U1372">
        <v>-0.162323</v>
      </c>
      <c r="V1372">
        <v>-2.232717E-2</v>
      </c>
      <c r="W1372">
        <v>0.18119289999999999</v>
      </c>
      <c r="X1372">
        <v>0.98319409999999896</v>
      </c>
      <c r="Y1372">
        <v>-4.4958999999999999E-2</v>
      </c>
      <c r="Z1372">
        <v>-8.2196020000000001E-4</v>
      </c>
      <c r="AA1372">
        <v>0.99898849999999995</v>
      </c>
      <c r="AB1372">
        <v>42</v>
      </c>
      <c r="AC1372">
        <v>-19.311299999999999</v>
      </c>
      <c r="AD1372">
        <v>-1.103364481863</v>
      </c>
      <c r="AE1372">
        <v>-1.03889999999998</v>
      </c>
      <c r="AF1372">
        <v>-0.88593018314268801</v>
      </c>
      <c r="AG1372">
        <v>-1.103364481863</v>
      </c>
      <c r="AH1372">
        <v>19.256109657626499</v>
      </c>
      <c r="AI1372">
        <v>93.275972965831798</v>
      </c>
      <c r="AJ1372">
        <v>92.634192053145398</v>
      </c>
      <c r="AK1372">
        <v>19.308030573203901</v>
      </c>
    </row>
    <row r="1373" spans="1:37" x14ac:dyDescent="0.2">
      <c r="A1373" t="str">
        <f>"20200111150615492"</f>
        <v>20200111150615492</v>
      </c>
      <c r="B1373" t="str">
        <f>"1578726375488299"</f>
        <v>1578726375488299</v>
      </c>
      <c r="C1373" t="s">
        <v>37</v>
      </c>
      <c r="D1373">
        <v>4.6406140000000002</v>
      </c>
      <c r="E1373">
        <v>0.49109059999999999</v>
      </c>
      <c r="F1373" t="s">
        <v>39</v>
      </c>
      <c r="G1373">
        <v>-322.79039999999998</v>
      </c>
      <c r="H1373" s="1">
        <v>-3.3795409999999899E-6</v>
      </c>
      <c r="I1373">
        <v>140.7602</v>
      </c>
      <c r="J1373">
        <v>-303.65969999999999</v>
      </c>
      <c r="K1373">
        <v>1.103353</v>
      </c>
      <c r="L1373">
        <v>141.80799999999999</v>
      </c>
      <c r="M1373">
        <v>-0.99991409999999903</v>
      </c>
      <c r="N1373">
        <v>0</v>
      </c>
      <c r="O1373">
        <v>-8.0508980000000008E-3</v>
      </c>
      <c r="P1373">
        <v>-0.98487449999999999</v>
      </c>
      <c r="Q1373">
        <v>0.17059070000000001</v>
      </c>
      <c r="R1373">
        <v>-3.0350200000000001E-2</v>
      </c>
      <c r="S1373">
        <v>-3.0713810000000001</v>
      </c>
      <c r="T1373">
        <v>-0.1734127</v>
      </c>
      <c r="U1373">
        <v>-0.16520689999999999</v>
      </c>
      <c r="V1373">
        <v>-2.2552139999999998E-2</v>
      </c>
      <c r="W1373">
        <v>0.1807619</v>
      </c>
      <c r="X1373">
        <v>0.98326829999999998</v>
      </c>
      <c r="Y1373">
        <v>-4.5610409999999997E-2</v>
      </c>
      <c r="Z1373">
        <v>-8.317814E-4</v>
      </c>
      <c r="AA1373">
        <v>0.99895889999999998</v>
      </c>
      <c r="AB1373">
        <v>42</v>
      </c>
      <c r="AC1373">
        <v>-19.130699999999901</v>
      </c>
      <c r="AD1373">
        <v>-1.103356379541</v>
      </c>
      <c r="AE1373">
        <v>-1.0477999999999901</v>
      </c>
      <c r="AF1373">
        <v>-0.89078427352187906</v>
      </c>
      <c r="AG1373">
        <v>-1.103356379541</v>
      </c>
      <c r="AH1373">
        <v>19.075254623173599</v>
      </c>
      <c r="AI1373">
        <v>93.306834652672293</v>
      </c>
      <c r="AJ1373">
        <v>92.673680033586507</v>
      </c>
      <c r="AK1373">
        <v>19.1278914379273</v>
      </c>
    </row>
    <row r="1374" spans="1:37" x14ac:dyDescent="0.2">
      <c r="A1374" t="str">
        <f>"20200111150615513"</f>
        <v>20200111150615513</v>
      </c>
      <c r="B1374" t="str">
        <f>"1578726375507819"</f>
        <v>1578726375507819</v>
      </c>
      <c r="C1374" t="s">
        <v>37</v>
      </c>
      <c r="D1374">
        <v>4.6177900000000003</v>
      </c>
      <c r="E1374">
        <v>0.49102879999999899</v>
      </c>
      <c r="F1374" t="s">
        <v>39</v>
      </c>
      <c r="G1374">
        <v>-322.93349999999998</v>
      </c>
      <c r="H1374" s="1">
        <v>-3.3168109999999998E-6</v>
      </c>
      <c r="I1374">
        <v>140.7552</v>
      </c>
      <c r="J1374">
        <v>-304.06130000000002</v>
      </c>
      <c r="K1374">
        <v>1.103351</v>
      </c>
      <c r="L1374">
        <v>141.80459999999999</v>
      </c>
      <c r="M1374">
        <v>-0.99991180000000002</v>
      </c>
      <c r="N1374">
        <v>0</v>
      </c>
      <c r="O1374">
        <v>-8.3246359999999998E-3</v>
      </c>
      <c r="P1374">
        <v>-0.984761</v>
      </c>
      <c r="Q1374">
        <v>0.17112079999999999</v>
      </c>
      <c r="R1374">
        <v>-3.1041920000000001E-2</v>
      </c>
      <c r="S1374">
        <v>-3.0713200000000001</v>
      </c>
      <c r="T1374">
        <v>-0.1758227</v>
      </c>
      <c r="U1374">
        <v>-0.16777039999999999</v>
      </c>
      <c r="V1374">
        <v>-2.2975570000000001E-2</v>
      </c>
      <c r="W1374">
        <v>0.18129700000000001</v>
      </c>
      <c r="X1374">
        <v>0.98316000000000003</v>
      </c>
      <c r="Y1374">
        <v>-4.6167189999999997E-2</v>
      </c>
      <c r="Z1374">
        <v>-8.4358779999999997E-4</v>
      </c>
      <c r="AA1374">
        <v>0.99893339999999997</v>
      </c>
      <c r="AB1374">
        <v>42</v>
      </c>
      <c r="AC1374">
        <v>-18.8721999999999</v>
      </c>
      <c r="AD1374">
        <v>-1.103354316811</v>
      </c>
      <c r="AE1374">
        <v>-1.0493999999999899</v>
      </c>
      <c r="AF1374">
        <v>-0.88922094707359001</v>
      </c>
      <c r="AG1374">
        <v>-1.103354316811</v>
      </c>
      <c r="AH1374">
        <v>18.816165032292901</v>
      </c>
      <c r="AI1374">
        <v>93.352171007514102</v>
      </c>
      <c r="AJ1374">
        <v>92.705691051123097</v>
      </c>
      <c r="AK1374">
        <v>18.869450738259999</v>
      </c>
    </row>
    <row r="1375" spans="1:37" x14ac:dyDescent="0.2">
      <c r="A1375" t="str">
        <f>"20200111150615537"</f>
        <v>20200111150615537</v>
      </c>
      <c r="B1375" t="str">
        <f>"1578726375528318"</f>
        <v>1578726375528318</v>
      </c>
      <c r="C1375" t="s">
        <v>37</v>
      </c>
      <c r="D1375">
        <v>4.6529829999999999</v>
      </c>
      <c r="E1375">
        <v>0.49095050000000001</v>
      </c>
      <c r="F1375" t="s">
        <v>39</v>
      </c>
      <c r="G1375">
        <v>-323.55529999999999</v>
      </c>
      <c r="H1375" s="1">
        <v>-3.0410429999999999E-6</v>
      </c>
      <c r="I1375">
        <v>140.72130000000001</v>
      </c>
      <c r="J1375">
        <v>-304.50409999999999</v>
      </c>
      <c r="K1375">
        <v>1.1033539999999999</v>
      </c>
      <c r="L1375">
        <v>141.8006</v>
      </c>
      <c r="M1375">
        <v>-0.9999091</v>
      </c>
      <c r="N1375">
        <v>0</v>
      </c>
      <c r="O1375">
        <v>-8.6269850000000002E-3</v>
      </c>
      <c r="P1375">
        <v>-0.98469789999999902</v>
      </c>
      <c r="Q1375">
        <v>0.1714213</v>
      </c>
      <c r="R1375">
        <v>-3.1381689999999997E-2</v>
      </c>
      <c r="S1375">
        <v>-3.071259</v>
      </c>
      <c r="T1375">
        <v>-0.17383280000000001</v>
      </c>
      <c r="U1375">
        <v>-0.1706696</v>
      </c>
      <c r="V1375">
        <v>-2.301831E-2</v>
      </c>
      <c r="W1375">
        <v>0.18160319999999999</v>
      </c>
      <c r="X1375">
        <v>0.98310239999999904</v>
      </c>
      <c r="Y1375">
        <v>-4.6807170000000002E-2</v>
      </c>
      <c r="Z1375">
        <v>-8.3504939999999995E-4</v>
      </c>
      <c r="AA1375">
        <v>0.9989036</v>
      </c>
      <c r="AB1375">
        <v>42</v>
      </c>
      <c r="AC1375">
        <v>-19.051199999999898</v>
      </c>
      <c r="AD1375">
        <v>-1.103357041043</v>
      </c>
      <c r="AE1375">
        <v>-1.0792999999999799</v>
      </c>
      <c r="AF1375">
        <v>-0.91184786638929405</v>
      </c>
      <c r="AG1375">
        <v>-1.103357041043</v>
      </c>
      <c r="AH1375">
        <v>18.9962892853558</v>
      </c>
      <c r="AI1375">
        <v>93.320348128308893</v>
      </c>
      <c r="AJ1375">
        <v>92.748166361749099</v>
      </c>
      <c r="AK1375">
        <v>19.050140941850799</v>
      </c>
    </row>
    <row r="1376" spans="1:37" x14ac:dyDescent="0.2">
      <c r="A1376" t="str">
        <f>"20200111150615559"</f>
        <v>20200111150615559</v>
      </c>
      <c r="B1376" t="str">
        <f>"1578726375547837"</f>
        <v>1578726375547837</v>
      </c>
      <c r="C1376" t="s">
        <v>37</v>
      </c>
      <c r="D1376">
        <v>4.6407220000000002</v>
      </c>
      <c r="E1376">
        <v>0.49098429999999998</v>
      </c>
      <c r="F1376" t="s">
        <v>39</v>
      </c>
      <c r="G1376">
        <v>-324.07249999999999</v>
      </c>
      <c r="H1376" s="1">
        <v>-2.8139069999999998E-6</v>
      </c>
      <c r="I1376">
        <v>140.70140000000001</v>
      </c>
      <c r="J1376">
        <v>-304.92169999999999</v>
      </c>
      <c r="K1376">
        <v>1.103351</v>
      </c>
      <c r="L1376">
        <v>141.79679999999999</v>
      </c>
      <c r="M1376">
        <v>-0.99990650000000003</v>
      </c>
      <c r="N1376">
        <v>0</v>
      </c>
      <c r="O1376">
        <v>-8.9120480000000005E-3</v>
      </c>
      <c r="P1376">
        <v>-0.9846357</v>
      </c>
      <c r="Q1376">
        <v>0.1716598</v>
      </c>
      <c r="R1376">
        <v>-3.2023280000000001E-2</v>
      </c>
      <c r="S1376">
        <v>-3.071259</v>
      </c>
      <c r="T1376">
        <v>-0.1731722</v>
      </c>
      <c r="U1376">
        <v>-0.1725159</v>
      </c>
      <c r="V1376">
        <v>-2.3380069999999999E-2</v>
      </c>
      <c r="W1376">
        <v>0.18184700000000001</v>
      </c>
      <c r="X1376">
        <v>0.9830489</v>
      </c>
      <c r="Y1376">
        <v>-4.7121450000000002E-2</v>
      </c>
      <c r="Z1376">
        <v>-8.2466759999999897E-4</v>
      </c>
      <c r="AA1376">
        <v>0.99888889999999997</v>
      </c>
      <c r="AB1376">
        <v>42</v>
      </c>
      <c r="AC1376">
        <v>-19.1508</v>
      </c>
      <c r="AD1376">
        <v>-1.103353813907</v>
      </c>
      <c r="AE1376">
        <v>-1.0953999999999799</v>
      </c>
      <c r="AF1376">
        <v>-0.92162522503287303</v>
      </c>
      <c r="AG1376">
        <v>-1.103353813907</v>
      </c>
      <c r="AH1376">
        <v>19.096620113305701</v>
      </c>
      <c r="AI1376">
        <v>93.302891478394699</v>
      </c>
      <c r="AJ1376">
        <v>92.763017520050894</v>
      </c>
      <c r="AK1376">
        <v>19.150657493830099</v>
      </c>
    </row>
    <row r="1377" spans="1:37" x14ac:dyDescent="0.2">
      <c r="A1377" t="str">
        <f>"20200111150615581"</f>
        <v>20200111150615581</v>
      </c>
      <c r="B1377" t="str">
        <f>"1578726375578091"</f>
        <v>1578726375578091</v>
      </c>
      <c r="C1377" t="s">
        <v>37</v>
      </c>
      <c r="D1377">
        <v>4.6298599999999999</v>
      </c>
      <c r="E1377">
        <v>0.49104120000000001</v>
      </c>
      <c r="F1377" t="s">
        <v>39</v>
      </c>
      <c r="G1377">
        <v>-324.61399999999998</v>
      </c>
      <c r="H1377" s="1">
        <v>-2.576736E-6</v>
      </c>
      <c r="I1377">
        <v>140.6832</v>
      </c>
      <c r="J1377">
        <v>-305.32909999999998</v>
      </c>
      <c r="K1377">
        <v>1.103353</v>
      </c>
      <c r="L1377">
        <v>141.79300000000001</v>
      </c>
      <c r="M1377">
        <v>-0.99990400000000002</v>
      </c>
      <c r="N1377">
        <v>0</v>
      </c>
      <c r="O1377">
        <v>-9.1900760000000001E-3</v>
      </c>
      <c r="P1377">
        <v>-0.98464319999999905</v>
      </c>
      <c r="Q1377">
        <v>0.1716039</v>
      </c>
      <c r="R1377">
        <v>-3.2095539999999999E-2</v>
      </c>
      <c r="S1377">
        <v>-3.071167</v>
      </c>
      <c r="T1377">
        <v>-0.172076799999999</v>
      </c>
      <c r="U1377">
        <v>-0.17367550000000001</v>
      </c>
      <c r="V1377">
        <v>-2.317872E-2</v>
      </c>
      <c r="W1377">
        <v>0.18179779999999901</v>
      </c>
      <c r="X1377">
        <v>0.98306269999999996</v>
      </c>
      <c r="Y1377">
        <v>-4.7222380000000001E-2</v>
      </c>
      <c r="Z1377">
        <v>-8.0674689999999999E-4</v>
      </c>
      <c r="AA1377">
        <v>0.99888410000000005</v>
      </c>
      <c r="AB1377">
        <v>42</v>
      </c>
      <c r="AC1377">
        <v>-19.2849</v>
      </c>
      <c r="AD1377">
        <v>-1.1033555767359999</v>
      </c>
      <c r="AE1377">
        <v>-1.1097999999999999</v>
      </c>
      <c r="AF1377">
        <v>-0.92948140055968398</v>
      </c>
      <c r="AG1377">
        <v>-1.1033555767359999</v>
      </c>
      <c r="AH1377">
        <v>19.231540895193</v>
      </c>
      <c r="AI1377">
        <v>93.279764681804096</v>
      </c>
      <c r="AJ1377">
        <v>92.767014530666799</v>
      </c>
      <c r="AK1377">
        <v>19.285577367716598</v>
      </c>
    </row>
    <row r="1378" spans="1:37" x14ac:dyDescent="0.2">
      <c r="A1378" t="str">
        <f>"20200111150615604"</f>
        <v>20200111150615604</v>
      </c>
      <c r="B1378" t="str">
        <f>"1578726375597611"</f>
        <v>1578726375597611</v>
      </c>
      <c r="C1378" t="s">
        <v>37</v>
      </c>
      <c r="D1378">
        <v>4.6109359999999997</v>
      </c>
      <c r="E1378">
        <v>0.49101509999999998</v>
      </c>
      <c r="F1378" t="s">
        <v>39</v>
      </c>
      <c r="G1378">
        <v>-325.08199999999999</v>
      </c>
      <c r="H1378" s="1">
        <v>-2.3738699999999999E-6</v>
      </c>
      <c r="I1378">
        <v>140.67529999999999</v>
      </c>
      <c r="J1378">
        <v>-305.7473</v>
      </c>
      <c r="K1378">
        <v>1.103356</v>
      </c>
      <c r="L1378">
        <v>141.78890000000001</v>
      </c>
      <c r="M1378">
        <v>-0.99990129999999999</v>
      </c>
      <c r="N1378">
        <v>0</v>
      </c>
      <c r="O1378">
        <v>-9.47514E-3</v>
      </c>
      <c r="P1378">
        <v>-0.98468840000000002</v>
      </c>
      <c r="Q1378">
        <v>0.1715034</v>
      </c>
      <c r="R1378">
        <v>-3.1234060000000001E-2</v>
      </c>
      <c r="S1378">
        <v>-3.0710449999999998</v>
      </c>
      <c r="T1378">
        <v>-0.17154220000000001</v>
      </c>
      <c r="U1378">
        <v>-0.17375179999999901</v>
      </c>
      <c r="V1378">
        <v>-2.203625E-2</v>
      </c>
      <c r="W1378">
        <v>0.18170449999999999</v>
      </c>
      <c r="X1378">
        <v>0.98310629999999999</v>
      </c>
      <c r="Y1378">
        <v>-4.6965800000000002E-2</v>
      </c>
      <c r="Z1378">
        <v>-7.8122450000000002E-4</v>
      </c>
      <c r="AA1378">
        <v>0.99889619999999901</v>
      </c>
      <c r="AB1378">
        <v>42</v>
      </c>
      <c r="AC1378">
        <v>-19.334700000000002</v>
      </c>
      <c r="AD1378">
        <v>-1.1033583738699999</v>
      </c>
      <c r="AE1378">
        <v>-1.1136000000000099</v>
      </c>
      <c r="AF1378">
        <v>-0.92733123790749905</v>
      </c>
      <c r="AG1378">
        <v>-1.1033583738699999</v>
      </c>
      <c r="AH1378">
        <v>19.281799438556099</v>
      </c>
      <c r="AI1378">
        <v>93.271280036776702</v>
      </c>
      <c r="AJ1378">
        <v>92.753438975494007</v>
      </c>
      <c r="AK1378">
        <v>19.335592375582699</v>
      </c>
    </row>
    <row r="1379" spans="1:37" x14ac:dyDescent="0.2">
      <c r="A1379" t="str">
        <f>"20200111150615625"</f>
        <v>20200111150615625</v>
      </c>
      <c r="B1379" t="str">
        <f>"1578726375618106"</f>
        <v>1578726375618106</v>
      </c>
      <c r="C1379" t="s">
        <v>37</v>
      </c>
      <c r="D1379">
        <v>4.4960959999999996</v>
      </c>
      <c r="E1379">
        <v>0.49101489999999998</v>
      </c>
      <c r="F1379" t="s">
        <v>39</v>
      </c>
      <c r="G1379">
        <v>-325.5745</v>
      </c>
      <c r="H1379" s="1">
        <v>-2.161263E-6</v>
      </c>
      <c r="I1379">
        <v>140.6703</v>
      </c>
      <c r="J1379">
        <v>-306.16899999999998</v>
      </c>
      <c r="K1379">
        <v>1.1033649999999999</v>
      </c>
      <c r="L1379">
        <v>141.78469999999999</v>
      </c>
      <c r="M1379">
        <v>-0.99989839999999997</v>
      </c>
      <c r="N1379">
        <v>0</v>
      </c>
      <c r="O1379">
        <v>-9.7628249999999993E-3</v>
      </c>
      <c r="P1379">
        <v>-0.98462739999999904</v>
      </c>
      <c r="Q1379">
        <v>0.17197029999999999</v>
      </c>
      <c r="R1379">
        <v>-3.0580960000000001E-2</v>
      </c>
      <c r="S1379">
        <v>-3.07089199999999</v>
      </c>
      <c r="T1379">
        <v>-0.1708916</v>
      </c>
      <c r="U1379">
        <v>-0.173233</v>
      </c>
      <c r="V1379">
        <v>-2.1101020000000002E-2</v>
      </c>
      <c r="W1379">
        <v>0.1821776</v>
      </c>
      <c r="X1379">
        <v>0.9830392</v>
      </c>
      <c r="Y1379">
        <v>-4.6514550000000002E-2</v>
      </c>
      <c r="Z1379">
        <v>-7.497901E-4</v>
      </c>
      <c r="AA1379">
        <v>0.99891730000000001</v>
      </c>
      <c r="AB1379">
        <v>42</v>
      </c>
      <c r="AC1379">
        <v>-19.4054999999999</v>
      </c>
      <c r="AD1379">
        <v>-1.1033671612629901</v>
      </c>
      <c r="AE1379">
        <v>-1.1143999999999801</v>
      </c>
      <c r="AF1379">
        <v>-0.92191351976617697</v>
      </c>
      <c r="AG1379">
        <v>-1.1033671612629901</v>
      </c>
      <c r="AH1379">
        <v>19.353094663381999</v>
      </c>
      <c r="AI1379">
        <v>93.259351833962398</v>
      </c>
      <c r="AJ1379">
        <v>92.727308164065093</v>
      </c>
      <c r="AK1379">
        <v>19.406432353225199</v>
      </c>
    </row>
    <row r="1380" spans="1:37" x14ac:dyDescent="0.2">
      <c r="A1380" t="str">
        <f>"20200111150615648"</f>
        <v>20200111150615648</v>
      </c>
      <c r="B1380" t="str">
        <f>"1578726375637626"</f>
        <v>1578726375637626</v>
      </c>
      <c r="C1380" t="s">
        <v>37</v>
      </c>
      <c r="D1380">
        <v>4.5215540000000001</v>
      </c>
      <c r="E1380">
        <v>0.49103159999999901</v>
      </c>
      <c r="F1380" t="s">
        <v>39</v>
      </c>
      <c r="G1380">
        <v>-326.22919999999999</v>
      </c>
      <c r="H1380" s="1">
        <v>-1.8799629999999901E-6</v>
      </c>
      <c r="I1380">
        <v>140.6686</v>
      </c>
      <c r="J1380">
        <v>-306.5829</v>
      </c>
      <c r="K1380">
        <v>1.1033649999999999</v>
      </c>
      <c r="L1380">
        <v>141.78039999999999</v>
      </c>
      <c r="M1380">
        <v>-0.99989550000000005</v>
      </c>
      <c r="N1380">
        <v>0</v>
      </c>
      <c r="O1380">
        <v>-1.0044910000000001E-2</v>
      </c>
      <c r="P1380">
        <v>-0.98454819999999998</v>
      </c>
      <c r="Q1380">
        <v>0.17246649999999999</v>
      </c>
      <c r="R1380">
        <v>-3.0339720000000001E-2</v>
      </c>
      <c r="S1380">
        <v>-3.0710139999999999</v>
      </c>
      <c r="T1380">
        <v>-0.1689155</v>
      </c>
      <c r="U1380">
        <v>-0.1708527</v>
      </c>
      <c r="V1380">
        <v>-2.0582980000000001E-2</v>
      </c>
      <c r="W1380">
        <v>0.18267929999999999</v>
      </c>
      <c r="X1380">
        <v>0.98295710000000003</v>
      </c>
      <c r="Y1380">
        <v>-4.5461950000000001E-2</v>
      </c>
      <c r="Z1380">
        <v>-6.967249E-4</v>
      </c>
      <c r="AA1380">
        <v>0.99896580000000001</v>
      </c>
      <c r="AB1380">
        <v>42</v>
      </c>
      <c r="AC1380">
        <v>-19.6463</v>
      </c>
      <c r="AD1380">
        <v>-1.1033668799629901</v>
      </c>
      <c r="AE1380">
        <v>-1.1117999999999799</v>
      </c>
      <c r="AF1380">
        <v>-0.91152204769772904</v>
      </c>
      <c r="AG1380">
        <v>-1.1033668799629901</v>
      </c>
      <c r="AH1380">
        <v>19.5948699530155</v>
      </c>
      <c r="AI1380">
        <v>93.219388673726101</v>
      </c>
      <c r="AJ1380">
        <v>92.663388084477802</v>
      </c>
      <c r="AK1380">
        <v>19.647066432188499</v>
      </c>
    </row>
    <row r="1381" spans="1:37" x14ac:dyDescent="0.2">
      <c r="A1381" t="str">
        <f>"20200111150615670"</f>
        <v>20200111150615670</v>
      </c>
      <c r="B1381" t="str">
        <f>"1578726375667883"</f>
        <v>1578726375667883</v>
      </c>
      <c r="C1381" t="s">
        <v>37</v>
      </c>
      <c r="D1381">
        <v>4.4710169999999998</v>
      </c>
      <c r="E1381">
        <v>0.49101260000000002</v>
      </c>
      <c r="F1381" t="s">
        <v>39</v>
      </c>
      <c r="G1381">
        <v>-326.84989999999999</v>
      </c>
      <c r="H1381" s="1">
        <v>-1.612652E-6</v>
      </c>
      <c r="I1381">
        <v>140.66480000000001</v>
      </c>
      <c r="J1381">
        <v>-306.98779999999999</v>
      </c>
      <c r="K1381">
        <v>1.1033660000000001</v>
      </c>
      <c r="L1381">
        <v>141.77610000000001</v>
      </c>
      <c r="M1381">
        <v>-0.99989269999999997</v>
      </c>
      <c r="N1381">
        <v>0</v>
      </c>
      <c r="O1381">
        <v>-1.032103E-2</v>
      </c>
      <c r="P1381">
        <v>-0.98453489999999999</v>
      </c>
      <c r="Q1381">
        <v>0.172567</v>
      </c>
      <c r="R1381">
        <v>-3.019266E-2</v>
      </c>
      <c r="S1381">
        <v>-3.0711360000000001</v>
      </c>
      <c r="T1381">
        <v>-0.16719790000000001</v>
      </c>
      <c r="U1381">
        <v>-0.16903689999999999</v>
      </c>
      <c r="V1381">
        <v>-2.0164939999999999E-2</v>
      </c>
      <c r="W1381">
        <v>0.18278620000000001</v>
      </c>
      <c r="X1381">
        <v>0.98294590000000004</v>
      </c>
      <c r="Y1381">
        <v>-4.4597810000000002E-2</v>
      </c>
      <c r="Z1381">
        <v>-6.5113879999999995E-4</v>
      </c>
      <c r="AA1381">
        <v>0.99900480000000003</v>
      </c>
      <c r="AB1381">
        <v>42</v>
      </c>
      <c r="AC1381">
        <v>-19.862100000000002</v>
      </c>
      <c r="AD1381">
        <v>-1.103367612652</v>
      </c>
      <c r="AE1381">
        <v>-1.1113</v>
      </c>
      <c r="AF1381">
        <v>-0.90345307637307803</v>
      </c>
      <c r="AG1381">
        <v>-1.103367612652</v>
      </c>
      <c r="AH1381">
        <v>19.8115654632497</v>
      </c>
      <c r="AI1381">
        <v>93.1843843279227</v>
      </c>
      <c r="AJ1381">
        <v>92.611010762338296</v>
      </c>
      <c r="AK1381">
        <v>19.862823909366099</v>
      </c>
    </row>
    <row r="1382" spans="1:37" x14ac:dyDescent="0.2">
      <c r="A1382" t="str">
        <f>"20200111150615695"</f>
        <v>20200111150615695</v>
      </c>
      <c r="B1382" t="str">
        <f>"1578726375688379"</f>
        <v>1578726375688379</v>
      </c>
      <c r="C1382" t="s">
        <v>37</v>
      </c>
      <c r="D1382">
        <v>4.5633339999999896</v>
      </c>
      <c r="E1382">
        <v>0.49101790000000001</v>
      </c>
      <c r="F1382" t="s">
        <v>39</v>
      </c>
      <c r="G1382">
        <v>-327.30869999999999</v>
      </c>
      <c r="H1382" s="1">
        <v>-1.413206E-6</v>
      </c>
      <c r="I1382">
        <v>140.6549</v>
      </c>
      <c r="J1382">
        <v>-307.43599999999998</v>
      </c>
      <c r="K1382">
        <v>1.1033629999999901</v>
      </c>
      <c r="L1382">
        <v>141.77119999999999</v>
      </c>
      <c r="M1382">
        <v>-0.99988940000000004</v>
      </c>
      <c r="N1382">
        <v>0</v>
      </c>
      <c r="O1382">
        <v>-1.0626719999999999E-2</v>
      </c>
      <c r="P1382">
        <v>-0.98448400000000003</v>
      </c>
      <c r="Q1382">
        <v>0.17284279999999999</v>
      </c>
      <c r="R1382">
        <v>-3.02808E-2</v>
      </c>
      <c r="S1382">
        <v>-3.071167</v>
      </c>
      <c r="T1382">
        <v>-0.16675609999999999</v>
      </c>
      <c r="U1382">
        <v>-0.16944890000000001</v>
      </c>
      <c r="V1382">
        <v>-1.995249E-2</v>
      </c>
      <c r="W1382">
        <v>0.18306789999999901</v>
      </c>
      <c r="X1382">
        <v>0.98289780000000004</v>
      </c>
      <c r="Y1382">
        <v>-4.4426420000000001E-2</v>
      </c>
      <c r="Z1382">
        <v>-6.2819449999999995E-4</v>
      </c>
      <c r="AA1382">
        <v>0.99901249999999997</v>
      </c>
      <c r="AB1382">
        <v>42</v>
      </c>
      <c r="AC1382">
        <v>-19.872699999999998</v>
      </c>
      <c r="AD1382">
        <v>-1.1033644132060001</v>
      </c>
      <c r="AE1382">
        <v>-1.1162999999999901</v>
      </c>
      <c r="AF1382">
        <v>-0.90227127257796702</v>
      </c>
      <c r="AG1382">
        <v>-1.1033644132060001</v>
      </c>
      <c r="AH1382">
        <v>19.822527306747801</v>
      </c>
      <c r="AI1382">
        <v>93.182630027686201</v>
      </c>
      <c r="AJ1382">
        <v>92.606160013429005</v>
      </c>
      <c r="AK1382">
        <v>19.873703613177099</v>
      </c>
    </row>
    <row r="1383" spans="1:37" x14ac:dyDescent="0.2">
      <c r="A1383" t="str">
        <f>"20200111150615715"</f>
        <v>20200111150615715</v>
      </c>
      <c r="B1383" t="str">
        <f>"1578726375707968"</f>
        <v>1578726375707968</v>
      </c>
      <c r="C1383" t="s">
        <v>37</v>
      </c>
      <c r="D1383">
        <v>4.4462489999999999</v>
      </c>
      <c r="E1383">
        <v>0.49099079999999901</v>
      </c>
      <c r="F1383" t="s">
        <v>39</v>
      </c>
      <c r="G1383">
        <v>-327.7629</v>
      </c>
      <c r="H1383" s="1">
        <v>-1.2161169999999999E-6</v>
      </c>
      <c r="I1383">
        <v>140.6465</v>
      </c>
      <c r="J1383">
        <v>-307.84530000000001</v>
      </c>
      <c r="K1383">
        <v>1.1033649999999999</v>
      </c>
      <c r="L1383">
        <v>141.76669999999999</v>
      </c>
      <c r="M1383">
        <v>-0.99988650000000001</v>
      </c>
      <c r="N1383">
        <v>0</v>
      </c>
      <c r="O1383">
        <v>-1.0905460000000001E-2</v>
      </c>
      <c r="P1383">
        <v>-0.98441669999999903</v>
      </c>
      <c r="Q1383">
        <v>0.17304749999999999</v>
      </c>
      <c r="R1383">
        <v>-3.1281589999999998E-2</v>
      </c>
      <c r="S1383">
        <v>-3.0712890000000002</v>
      </c>
      <c r="T1383">
        <v>-0.1667131</v>
      </c>
      <c r="U1383">
        <v>-0.16992189999999999</v>
      </c>
      <c r="V1383">
        <v>-2.068E-2</v>
      </c>
      <c r="W1383">
        <v>0.18327750000000001</v>
      </c>
      <c r="X1383">
        <v>0.98284369999999999</v>
      </c>
      <c r="Y1383">
        <v>-4.4299749999999999E-2</v>
      </c>
      <c r="Z1383">
        <v>-6.0946699999999895E-4</v>
      </c>
      <c r="AA1383">
        <v>0.99901810000000002</v>
      </c>
      <c r="AB1383">
        <v>42</v>
      </c>
      <c r="AC1383">
        <v>-19.9176</v>
      </c>
      <c r="AD1383">
        <v>-1.1033662161169999</v>
      </c>
      <c r="AE1383">
        <v>-1.1201999999999801</v>
      </c>
      <c r="AF1383">
        <v>-0.90015737975631005</v>
      </c>
      <c r="AG1383">
        <v>-1.1033662161169999</v>
      </c>
      <c r="AH1383">
        <v>19.867854632163901</v>
      </c>
      <c r="AI1383">
        <v>93.175419294119806</v>
      </c>
      <c r="AJ1383">
        <v>92.5941387663905</v>
      </c>
      <c r="AK1383">
        <v>19.918818940890901</v>
      </c>
    </row>
    <row r="1384" spans="1:37" x14ac:dyDescent="0.2">
      <c r="A1384" t="str">
        <f>"20200111150615738"</f>
        <v>20200111150615738</v>
      </c>
      <c r="B1384" t="str">
        <f>"1578726375727487"</f>
        <v>1578726375727487</v>
      </c>
      <c r="C1384" t="s">
        <v>37</v>
      </c>
      <c r="D1384">
        <v>4.5046299999999997</v>
      </c>
      <c r="E1384">
        <v>0.49095440000000001</v>
      </c>
      <c r="F1384" t="s">
        <v>39</v>
      </c>
      <c r="G1384">
        <v>-328.2</v>
      </c>
      <c r="H1384" s="1">
        <v>-1.022026E-6</v>
      </c>
      <c r="I1384">
        <v>140.62180000000001</v>
      </c>
      <c r="J1384">
        <v>-308.26350000000002</v>
      </c>
      <c r="K1384">
        <v>1.1033649999999999</v>
      </c>
      <c r="L1384">
        <v>141.7619</v>
      </c>
      <c r="M1384">
        <v>-0.99988310000000002</v>
      </c>
      <c r="N1384">
        <v>0</v>
      </c>
      <c r="O1384">
        <v>-1.1189930000000001E-2</v>
      </c>
      <c r="P1384">
        <v>-0.98439159999999903</v>
      </c>
      <c r="Q1384">
        <v>0.17298740000000001</v>
      </c>
      <c r="R1384">
        <v>-3.2384030000000001E-2</v>
      </c>
      <c r="S1384">
        <v>-3.071259</v>
      </c>
      <c r="T1384">
        <v>-0.1664841</v>
      </c>
      <c r="U1384">
        <v>-0.17272950000000001</v>
      </c>
      <c r="V1384">
        <v>-2.1502710000000001E-2</v>
      </c>
      <c r="W1384">
        <v>0.18322260000000001</v>
      </c>
      <c r="X1384">
        <v>0.98283619999999905</v>
      </c>
      <c r="Y1384">
        <v>-4.4926140000000003E-2</v>
      </c>
      <c r="Z1384">
        <v>-6.1017949999999895E-4</v>
      </c>
      <c r="AA1384">
        <v>0.99899009999999999</v>
      </c>
      <c r="AB1384">
        <v>42</v>
      </c>
      <c r="AC1384">
        <v>-19.936499999999899</v>
      </c>
      <c r="AD1384">
        <v>-1.103366022026</v>
      </c>
      <c r="AE1384">
        <v>-1.1400999999999799</v>
      </c>
      <c r="AF1384">
        <v>-0.91413762009698596</v>
      </c>
      <c r="AG1384">
        <v>-1.103366022026</v>
      </c>
      <c r="AH1384">
        <v>19.887294550290399</v>
      </c>
      <c r="AI1384">
        <v>93.172226127246006</v>
      </c>
      <c r="AJ1384">
        <v>92.631800224017795</v>
      </c>
      <c r="AK1384">
        <v>19.938845219747499</v>
      </c>
    </row>
    <row r="1385" spans="1:37" x14ac:dyDescent="0.2">
      <c r="A1385" t="str">
        <f>"20200111150615759"</f>
        <v>20200111150615759</v>
      </c>
      <c r="B1385" t="str">
        <f>"1578726375757747"</f>
        <v>1578726375757747</v>
      </c>
      <c r="C1385" t="s">
        <v>37</v>
      </c>
      <c r="D1385">
        <v>4.5835800000000004</v>
      </c>
      <c r="E1385">
        <v>0.49094959999999999</v>
      </c>
      <c r="F1385" t="s">
        <v>39</v>
      </c>
      <c r="G1385">
        <v>-328.5693</v>
      </c>
      <c r="H1385" s="1">
        <v>-8.5682179999999998E-7</v>
      </c>
      <c r="I1385">
        <v>140.59630000000001</v>
      </c>
      <c r="J1385">
        <v>-308.67399999999998</v>
      </c>
      <c r="K1385">
        <v>1.1033569999999999</v>
      </c>
      <c r="L1385">
        <v>141.75700000000001</v>
      </c>
      <c r="M1385">
        <v>-0.99987999999999899</v>
      </c>
      <c r="N1385">
        <v>0</v>
      </c>
      <c r="O1385">
        <v>-1.14694999999999E-2</v>
      </c>
      <c r="P1385">
        <v>-0.98440509999999903</v>
      </c>
      <c r="Q1385">
        <v>0.17275670000000001</v>
      </c>
      <c r="R1385">
        <v>-3.3195379999999997E-2</v>
      </c>
      <c r="S1385">
        <v>-3.071075</v>
      </c>
      <c r="T1385">
        <v>-0.1668752</v>
      </c>
      <c r="U1385">
        <v>-0.1762695</v>
      </c>
      <c r="V1385">
        <v>-2.2038849999999999E-2</v>
      </c>
      <c r="W1385">
        <v>0.18299799999999999</v>
      </c>
      <c r="X1385">
        <v>0.98286620000000002</v>
      </c>
      <c r="Y1385">
        <v>-4.5796860000000002E-2</v>
      </c>
      <c r="Z1385">
        <v>-6.2008250000000005E-4</v>
      </c>
      <c r="AA1385">
        <v>0.99895059999999902</v>
      </c>
      <c r="AB1385">
        <v>42</v>
      </c>
      <c r="AC1385">
        <v>-19.895299999999899</v>
      </c>
      <c r="AD1385">
        <v>-1.1033578568218001</v>
      </c>
      <c r="AE1385">
        <v>-1.1606999999999901</v>
      </c>
      <c r="AF1385">
        <v>-0.929572819101113</v>
      </c>
      <c r="AG1385">
        <v>-1.1033578568218001</v>
      </c>
      <c r="AH1385">
        <v>19.846471547809699</v>
      </c>
      <c r="AI1385">
        <v>93.178586245693097</v>
      </c>
      <c r="AJ1385">
        <v>92.681670762287098</v>
      </c>
      <c r="AK1385">
        <v>19.898842606650302</v>
      </c>
    </row>
    <row r="1386" spans="1:37" x14ac:dyDescent="0.2">
      <c r="A1386" t="str">
        <f>"20200111150615781"</f>
        <v>20200111150615781</v>
      </c>
      <c r="B1386" t="str">
        <f>"1578726375778240"</f>
        <v>1578726375778240</v>
      </c>
      <c r="C1386" t="s">
        <v>37</v>
      </c>
      <c r="D1386">
        <v>4.4436619999999998</v>
      </c>
      <c r="E1386">
        <v>0.49095100000000003</v>
      </c>
      <c r="F1386" t="s">
        <v>39</v>
      </c>
      <c r="G1386">
        <v>-328.88240000000002</v>
      </c>
      <c r="H1386" s="1">
        <v>-7.1764209999999995E-7</v>
      </c>
      <c r="I1386">
        <v>140.578</v>
      </c>
      <c r="J1386">
        <v>-309.07799999999997</v>
      </c>
      <c r="K1386">
        <v>1.1033569999999999</v>
      </c>
      <c r="L1386">
        <v>141.75219999999999</v>
      </c>
      <c r="M1386">
        <v>-0.99987669999999995</v>
      </c>
      <c r="N1386">
        <v>0</v>
      </c>
      <c r="O1386">
        <v>-1.174419E-2</v>
      </c>
      <c r="P1386">
        <v>-0.98452739999999905</v>
      </c>
      <c r="Q1386">
        <v>0.17199489999999901</v>
      </c>
      <c r="R1386">
        <v>-3.3520550000000003E-2</v>
      </c>
      <c r="S1386">
        <v>-3.0709230000000001</v>
      </c>
      <c r="T1386">
        <v>-0.1676696</v>
      </c>
      <c r="U1386">
        <v>-0.17915339999999999</v>
      </c>
      <c r="V1386">
        <v>-2.2091670000000001E-2</v>
      </c>
      <c r="W1386">
        <v>0.18224279999999901</v>
      </c>
      <c r="X1386">
        <v>0.98300529999999997</v>
      </c>
      <c r="Y1386">
        <v>-4.6459170000000001E-2</v>
      </c>
      <c r="Z1386">
        <v>-6.2612529999999896E-4</v>
      </c>
      <c r="AA1386">
        <v>0.99892000000000003</v>
      </c>
      <c r="AB1386">
        <v>42</v>
      </c>
      <c r="AC1386">
        <v>-19.804400000000001</v>
      </c>
      <c r="AD1386">
        <v>-1.1033577176421001</v>
      </c>
      <c r="AE1386">
        <v>-1.1741999999999799</v>
      </c>
      <c r="AF1386">
        <v>-0.93861656128881399</v>
      </c>
      <c r="AG1386">
        <v>-1.1033577176421001</v>
      </c>
      <c r="AH1386">
        <v>19.755719612702599</v>
      </c>
      <c r="AI1386">
        <v>93.193056249486503</v>
      </c>
      <c r="AJ1386">
        <v>92.720141723121799</v>
      </c>
      <c r="AK1386">
        <v>19.808757071505799</v>
      </c>
    </row>
    <row r="1387" spans="1:37" x14ac:dyDescent="0.2">
      <c r="A1387" t="str">
        <f>"20200111150615804"</f>
        <v>20200111150615804</v>
      </c>
      <c r="B1387" t="str">
        <f>"1578726375798432"</f>
        <v>1578726375798432</v>
      </c>
      <c r="C1387" t="s">
        <v>37</v>
      </c>
      <c r="D1387">
        <v>4.4005000000000001</v>
      </c>
      <c r="E1387">
        <v>0.49099490000000001</v>
      </c>
      <c r="F1387" t="s">
        <v>39</v>
      </c>
      <c r="G1387">
        <v>-328.98599999999999</v>
      </c>
      <c r="H1387" s="1">
        <v>-6.7484149999999996E-7</v>
      </c>
      <c r="I1387">
        <v>140.58420000000001</v>
      </c>
      <c r="J1387">
        <v>-309.50810000000001</v>
      </c>
      <c r="K1387">
        <v>1.103361</v>
      </c>
      <c r="L1387">
        <v>141.74690000000001</v>
      </c>
      <c r="M1387">
        <v>-0.99987320000000002</v>
      </c>
      <c r="N1387">
        <v>0</v>
      </c>
      <c r="O1387">
        <v>-1.2037000000000001E-2</v>
      </c>
      <c r="P1387">
        <v>-0.98453139999999995</v>
      </c>
      <c r="Q1387">
        <v>0.17188979999999901</v>
      </c>
      <c r="R1387">
        <v>-3.3938820000000001E-2</v>
      </c>
      <c r="S1387">
        <v>-3.07077</v>
      </c>
      <c r="T1387">
        <v>-0.17019119999999999</v>
      </c>
      <c r="U1387">
        <v>-0.18014530000000001</v>
      </c>
      <c r="V1387">
        <v>-2.2221459999999998E-2</v>
      </c>
      <c r="W1387">
        <v>0.18214430000000001</v>
      </c>
      <c r="X1387">
        <v>0.98302069999999997</v>
      </c>
      <c r="Y1387">
        <v>-4.6489910000000002E-2</v>
      </c>
      <c r="Z1387">
        <v>-6.2020439999999999E-4</v>
      </c>
      <c r="AA1387">
        <v>0.99891859999999999</v>
      </c>
      <c r="AB1387">
        <v>42</v>
      </c>
      <c r="AC1387">
        <v>-19.477899999999899</v>
      </c>
      <c r="AD1387">
        <v>-1.1033616748415001</v>
      </c>
      <c r="AE1387">
        <v>-1.1627000000000001</v>
      </c>
      <c r="AF1387">
        <v>-0.92518926417024705</v>
      </c>
      <c r="AG1387">
        <v>-1.1033616748415001</v>
      </c>
      <c r="AH1387">
        <v>19.428363256870899</v>
      </c>
      <c r="AI1387">
        <v>93.246737994161606</v>
      </c>
      <c r="AJ1387">
        <v>92.726396644662799</v>
      </c>
      <c r="AK1387">
        <v>19.4816498531561</v>
      </c>
    </row>
    <row r="1388" spans="1:37" x14ac:dyDescent="0.2">
      <c r="A1388" t="str">
        <f>"20200111150615827"</f>
        <v>20200111150615827</v>
      </c>
      <c r="B1388" t="str">
        <f>"1578726375817952"</f>
        <v>1578726375817952</v>
      </c>
      <c r="C1388" t="s">
        <v>37</v>
      </c>
      <c r="D1388">
        <v>4.4195839999999897</v>
      </c>
      <c r="E1388">
        <v>0.4910757</v>
      </c>
      <c r="F1388" t="s">
        <v>39</v>
      </c>
      <c r="G1388">
        <v>-329.40429999999998</v>
      </c>
      <c r="H1388" s="1">
        <v>-4.9344329999999996E-7</v>
      </c>
      <c r="I1388">
        <v>140.57689999999999</v>
      </c>
      <c r="J1388">
        <v>-309.95490000000001</v>
      </c>
      <c r="K1388">
        <v>1.103367</v>
      </c>
      <c r="L1388">
        <v>141.7413</v>
      </c>
      <c r="M1388">
        <v>-0.99986929999999996</v>
      </c>
      <c r="N1388">
        <v>0</v>
      </c>
      <c r="O1388">
        <v>-1.23408999999999E-2</v>
      </c>
      <c r="P1388">
        <v>-0.98441380000000001</v>
      </c>
      <c r="Q1388">
        <v>0.172466799999999</v>
      </c>
      <c r="R1388">
        <v>-3.4421350000000003E-2</v>
      </c>
      <c r="S1388">
        <v>-3.0706180000000001</v>
      </c>
      <c r="T1388">
        <v>-0.17028399999999999</v>
      </c>
      <c r="U1388">
        <v>-0.180557299999999</v>
      </c>
      <c r="V1388">
        <v>-2.240696E-2</v>
      </c>
      <c r="W1388">
        <v>0.1827261</v>
      </c>
      <c r="X1388">
        <v>0.98290849999999996</v>
      </c>
      <c r="Y1388">
        <v>-4.6323429999999999E-2</v>
      </c>
      <c r="Z1388">
        <v>-5.9913909999999998E-4</v>
      </c>
      <c r="AA1388">
        <v>0.99892630000000004</v>
      </c>
      <c r="AB1388">
        <v>42</v>
      </c>
      <c r="AC1388">
        <v>-19.449399999999901</v>
      </c>
      <c r="AD1388">
        <v>-1.1033674934433</v>
      </c>
      <c r="AE1388">
        <v>-1.1644000000000001</v>
      </c>
      <c r="AF1388">
        <v>-0.92132061979259305</v>
      </c>
      <c r="AG1388">
        <v>-1.1033674934433</v>
      </c>
      <c r="AH1388">
        <v>19.4000767687372</v>
      </c>
      <c r="AI1388">
        <v>93.251498905266601</v>
      </c>
      <c r="AJ1388">
        <v>92.718966130615399</v>
      </c>
      <c r="AK1388">
        <v>19.4532575714953</v>
      </c>
    </row>
    <row r="1389" spans="1:37" x14ac:dyDescent="0.2">
      <c r="A1389" t="str">
        <f>"20200111150615849"</f>
        <v>20200111150615849</v>
      </c>
      <c r="B1389" t="str">
        <f>"1578726375837472"</f>
        <v>1578726375837472</v>
      </c>
      <c r="C1389" t="s">
        <v>37</v>
      </c>
      <c r="D1389">
        <v>4.351515</v>
      </c>
      <c r="E1389">
        <v>0.51439889999999999</v>
      </c>
      <c r="F1389" t="s">
        <v>39</v>
      </c>
      <c r="G1389">
        <v>-330.05829999999997</v>
      </c>
      <c r="H1389" s="1">
        <v>-4.8556510000000001E-6</v>
      </c>
      <c r="I1389">
        <v>140.55629999999999</v>
      </c>
      <c r="J1389">
        <v>-310.3603</v>
      </c>
      <c r="K1389">
        <v>1.103369</v>
      </c>
      <c r="L1389">
        <v>141.73599999999999</v>
      </c>
      <c r="M1389">
        <v>-0.99986580000000003</v>
      </c>
      <c r="N1389">
        <v>0</v>
      </c>
      <c r="O1389">
        <v>-1.261643E-2</v>
      </c>
      <c r="P1389">
        <v>-0.98434849999999996</v>
      </c>
      <c r="Q1389">
        <v>0.1728739</v>
      </c>
      <c r="R1389">
        <v>-3.4246579999999999E-2</v>
      </c>
      <c r="S1389">
        <v>-3.0707089999999999</v>
      </c>
      <c r="T1389">
        <v>-0.16853589999999999</v>
      </c>
      <c r="U1389">
        <v>-0.18099979999999999</v>
      </c>
      <c r="V1389">
        <v>-2.1961399999999999E-2</v>
      </c>
      <c r="W1389">
        <v>0.18313869999999999</v>
      </c>
      <c r="X1389">
        <v>0.98284179999999999</v>
      </c>
      <c r="Y1389">
        <v>-4.6191540000000003E-2</v>
      </c>
      <c r="Z1389">
        <v>-5.7426929999999997E-4</v>
      </c>
      <c r="AA1389">
        <v>0.99893240000000005</v>
      </c>
      <c r="AB1389">
        <v>42</v>
      </c>
      <c r="AC1389">
        <v>-19.697999999999901</v>
      </c>
      <c r="AD1389">
        <v>-1.103373855651</v>
      </c>
      <c r="AE1389">
        <v>-1.17969999999999</v>
      </c>
      <c r="AF1389">
        <v>-0.92817223895678602</v>
      </c>
      <c r="AG1389">
        <v>-1.103373855651</v>
      </c>
      <c r="AH1389">
        <v>19.649882845447699</v>
      </c>
      <c r="AI1389">
        <v>93.210307172989204</v>
      </c>
      <c r="AJ1389">
        <v>92.704385229788599</v>
      </c>
      <c r="AK1389">
        <v>19.702711321296</v>
      </c>
    </row>
    <row r="1390" spans="1:37" x14ac:dyDescent="0.2">
      <c r="A1390" t="str">
        <f>"20200111150615870"</f>
        <v>20200111150615870</v>
      </c>
      <c r="B1390" t="str">
        <f>"1578726375867728"</f>
        <v>1578726375867728</v>
      </c>
      <c r="C1390" t="s">
        <v>37</v>
      </c>
      <c r="D1390">
        <v>4.3622730000000001</v>
      </c>
      <c r="E1390">
        <v>0.52027089999999998</v>
      </c>
      <c r="F1390" t="s">
        <v>39</v>
      </c>
      <c r="G1390">
        <v>-363.56990000000002</v>
      </c>
      <c r="H1390" s="1">
        <v>-3.331218E-6</v>
      </c>
      <c r="I1390">
        <v>141.83519999999999</v>
      </c>
      <c r="J1390">
        <v>-310.76819999999998</v>
      </c>
      <c r="K1390">
        <v>1.1033660000000001</v>
      </c>
      <c r="L1390">
        <v>141.73070000000001</v>
      </c>
      <c r="M1390">
        <v>-0.99986229999999998</v>
      </c>
      <c r="N1390">
        <v>0</v>
      </c>
      <c r="O1390">
        <v>-1.289386E-2</v>
      </c>
      <c r="P1390">
        <v>-0.98428649999999995</v>
      </c>
      <c r="Q1390">
        <v>0.17316479999999901</v>
      </c>
      <c r="R1390">
        <v>-3.455946E-2</v>
      </c>
      <c r="S1390">
        <v>-3.0590519999999999</v>
      </c>
      <c r="T1390">
        <v>-6.3433530000000002E-2</v>
      </c>
      <c r="U1390">
        <v>5.7067869999999996E-3</v>
      </c>
      <c r="V1390">
        <v>-2.2002339999999999E-2</v>
      </c>
      <c r="W1390">
        <v>0.18343489999999901</v>
      </c>
      <c r="X1390">
        <v>0.98278559999999904</v>
      </c>
      <c r="Y1390">
        <v>1.475398E-2</v>
      </c>
      <c r="Z1390">
        <v>4.203074E-4</v>
      </c>
      <c r="AA1390">
        <v>0.99989099999999997</v>
      </c>
      <c r="AB1390">
        <v>42</v>
      </c>
      <c r="AC1390">
        <v>-52.801699999999997</v>
      </c>
      <c r="AD1390">
        <v>-1.103369331218</v>
      </c>
      <c r="AE1390">
        <v>0.104499999999973</v>
      </c>
      <c r="AF1390">
        <v>0.78500341097005</v>
      </c>
      <c r="AG1390">
        <v>-1.103369331218</v>
      </c>
      <c r="AH1390">
        <v>52.772918802154798</v>
      </c>
      <c r="AI1390">
        <v>91.197625753947307</v>
      </c>
      <c r="AJ1390">
        <v>89.1477813536913</v>
      </c>
      <c r="AK1390">
        <v>52.790289004088002</v>
      </c>
    </row>
    <row r="1391" spans="1:37" x14ac:dyDescent="0.2">
      <c r="A1391" t="str">
        <f>"20200111150615894"</f>
        <v>20200111150615894</v>
      </c>
      <c r="B1391" t="str">
        <f>"1578726375888225"</f>
        <v>1578726375888225</v>
      </c>
      <c r="C1391" t="s">
        <v>37</v>
      </c>
      <c r="D1391">
        <v>4.3746499999999999</v>
      </c>
      <c r="E1391">
        <v>0.52086829999999995</v>
      </c>
      <c r="F1391" t="s">
        <v>39</v>
      </c>
      <c r="G1391">
        <v>-329.75049999999999</v>
      </c>
      <c r="H1391" s="1">
        <v>-7.3484069999999903E-7</v>
      </c>
      <c r="I1391">
        <v>142.04230000000001</v>
      </c>
      <c r="J1391">
        <v>-311.19709999999998</v>
      </c>
      <c r="K1391">
        <v>1.1033649999999999</v>
      </c>
      <c r="L1391">
        <v>141.72489999999999</v>
      </c>
      <c r="M1391">
        <v>-0.99985829999999998</v>
      </c>
      <c r="N1391">
        <v>0</v>
      </c>
      <c r="O1391">
        <v>-1.3185240000000001E-2</v>
      </c>
      <c r="P1391">
        <v>-0.98422449999999995</v>
      </c>
      <c r="Q1391">
        <v>0.17335519999999999</v>
      </c>
      <c r="R1391">
        <v>-3.535816E-2</v>
      </c>
      <c r="S1391">
        <v>-3.0811769999999998</v>
      </c>
      <c r="T1391">
        <v>-0.1790969</v>
      </c>
      <c r="U1391">
        <v>5.059814E-2</v>
      </c>
      <c r="V1391">
        <v>-2.2515589999999999E-2</v>
      </c>
      <c r="W1391">
        <v>0.1836304</v>
      </c>
      <c r="X1391">
        <v>0.98273750000000004</v>
      </c>
      <c r="Y1391">
        <v>2.9530150000000002E-2</v>
      </c>
      <c r="Z1391">
        <v>1.6232110000000001E-3</v>
      </c>
      <c r="AA1391">
        <v>0.99956259999999997</v>
      </c>
      <c r="AB1391">
        <v>42</v>
      </c>
      <c r="AC1391">
        <v>-18.5534</v>
      </c>
      <c r="AD1391">
        <v>-1.10336573484069</v>
      </c>
      <c r="AE1391">
        <v>0.31740000000002</v>
      </c>
      <c r="AF1391">
        <v>0.56003676174636097</v>
      </c>
      <c r="AG1391">
        <v>-1.10336573484069</v>
      </c>
      <c r="AH1391">
        <v>18.482255641290099</v>
      </c>
      <c r="AI1391">
        <v>93.414862338395096</v>
      </c>
      <c r="AJ1391">
        <v>88.264393254736603</v>
      </c>
      <c r="AK1391">
        <v>18.523628983256199</v>
      </c>
    </row>
    <row r="1392" spans="1:37" x14ac:dyDescent="0.2">
      <c r="A1392" t="str">
        <f>"20200111150615916"</f>
        <v>20200111150615916</v>
      </c>
      <c r="B1392" t="str">
        <f>"1578726375907760"</f>
        <v>1578726375907760</v>
      </c>
      <c r="C1392" t="s">
        <v>37</v>
      </c>
      <c r="D1392">
        <v>4.3438080000000001</v>
      </c>
      <c r="E1392">
        <v>0.52081239999999995</v>
      </c>
      <c r="F1392" t="s">
        <v>38</v>
      </c>
      <c r="G1392">
        <v>-312.27710000000002</v>
      </c>
      <c r="H1392">
        <v>1.0422279999999999</v>
      </c>
      <c r="I1392">
        <v>141.74369999999999</v>
      </c>
      <c r="J1392">
        <v>-311.63010000000003</v>
      </c>
      <c r="K1392">
        <v>1.103362</v>
      </c>
      <c r="L1392">
        <v>141.71889999999999</v>
      </c>
      <c r="M1392">
        <v>-0.99985429999999997</v>
      </c>
      <c r="N1392">
        <v>0</v>
      </c>
      <c r="O1392">
        <v>-1.3479359999999999E-2</v>
      </c>
      <c r="P1392">
        <v>-0.98413050000000002</v>
      </c>
      <c r="Q1392">
        <v>0.17373089999999999</v>
      </c>
      <c r="R1392">
        <v>-3.6121729999999998E-2</v>
      </c>
      <c r="S1392">
        <v>-3.08071899999999</v>
      </c>
      <c r="T1392">
        <v>-0.1744117</v>
      </c>
      <c r="U1392">
        <v>5.3573610000000001E-2</v>
      </c>
      <c r="V1392">
        <v>-2.2990960000000001E-2</v>
      </c>
      <c r="W1392">
        <v>0.18401099999999901</v>
      </c>
      <c r="X1392">
        <v>0.98265530000000001</v>
      </c>
      <c r="Y1392">
        <v>3.0792949999999999E-2</v>
      </c>
      <c r="Z1392">
        <v>1.6333910000000001E-3</v>
      </c>
      <c r="AA1392">
        <v>0.99952450000000004</v>
      </c>
      <c r="AB1392">
        <v>42</v>
      </c>
      <c r="AC1392">
        <v>-0.64699999999999103</v>
      </c>
      <c r="AD1392">
        <v>-6.1134000000000001E-2</v>
      </c>
      <c r="AE1392">
        <v>2.4799999999999E-2</v>
      </c>
      <c r="AF1392">
        <v>3.3223187487109999E-2</v>
      </c>
      <c r="AG1392">
        <v>-6.1134000000000001E-2</v>
      </c>
      <c r="AH1392">
        <v>0.64089336732768298</v>
      </c>
      <c r="AI1392">
        <v>95.441621980667307</v>
      </c>
      <c r="AJ1392">
        <v>87.032507823021703</v>
      </c>
      <c r="AK1392">
        <v>0.644659176951216</v>
      </c>
    </row>
    <row r="1393" spans="1:37" x14ac:dyDescent="0.2">
      <c r="A1393" t="str">
        <f>"20200111150615938"</f>
        <v>20200111150615938</v>
      </c>
      <c r="B1393" t="str">
        <f>"1578726375928243"</f>
        <v>1578726375928243</v>
      </c>
      <c r="C1393" t="s">
        <v>37</v>
      </c>
      <c r="D1393">
        <v>4.2935989999999897</v>
      </c>
      <c r="E1393">
        <v>0.5197621</v>
      </c>
      <c r="F1393" t="s">
        <v>38</v>
      </c>
      <c r="G1393">
        <v>-312.66039999999998</v>
      </c>
      <c r="H1393">
        <v>1.047933</v>
      </c>
      <c r="I1393">
        <v>141.7362</v>
      </c>
      <c r="J1393">
        <v>-312.04840000000002</v>
      </c>
      <c r="K1393">
        <v>1.103353</v>
      </c>
      <c r="L1393">
        <v>141.7131</v>
      </c>
      <c r="M1393">
        <v>-0.99985049999999998</v>
      </c>
      <c r="N1393">
        <v>0</v>
      </c>
      <c r="O1393">
        <v>-1.3763589999999999E-2</v>
      </c>
      <c r="P1393">
        <v>-0.98416239999999999</v>
      </c>
      <c r="Q1393">
        <v>0.17363429999999999</v>
      </c>
      <c r="R1393">
        <v>-3.5718439999999997E-2</v>
      </c>
      <c r="S1393">
        <v>-3.079529</v>
      </c>
      <c r="T1393">
        <v>-0.165738</v>
      </c>
      <c r="U1393">
        <v>5.1086430000000002E-2</v>
      </c>
      <c r="V1393">
        <v>-2.23077E-2</v>
      </c>
      <c r="W1393">
        <v>0.183921</v>
      </c>
      <c r="X1393">
        <v>0.9826878</v>
      </c>
      <c r="Y1393">
        <v>3.0283899999999999E-2</v>
      </c>
      <c r="Z1393">
        <v>1.5544879999999999E-3</v>
      </c>
      <c r="AA1393">
        <v>0.99954019999999999</v>
      </c>
      <c r="AB1393">
        <v>42</v>
      </c>
      <c r="AC1393">
        <v>-0.61199999999996602</v>
      </c>
      <c r="AD1393">
        <v>-5.5419999999999997E-2</v>
      </c>
      <c r="AE1393">
        <v>2.3099999999999399E-2</v>
      </c>
      <c r="AF1393">
        <v>3.1265567583653397E-2</v>
      </c>
      <c r="AG1393">
        <v>-5.5419999999999997E-2</v>
      </c>
      <c r="AH1393">
        <v>0.60665637493695102</v>
      </c>
      <c r="AI1393">
        <v>95.212784692754596</v>
      </c>
      <c r="AJ1393">
        <v>87.049727620126902</v>
      </c>
      <c r="AK1393">
        <v>0.60998431895252003</v>
      </c>
    </row>
    <row r="1394" spans="1:37" x14ac:dyDescent="0.2">
      <c r="A1394" t="str">
        <f>"20200111150615959"</f>
        <v>20200111150615959</v>
      </c>
      <c r="B1394" t="str">
        <f>"1578726375947760"</f>
        <v>1578726375947760</v>
      </c>
      <c r="C1394" t="s">
        <v>37</v>
      </c>
      <c r="D1394">
        <v>4.4288699999999999</v>
      </c>
      <c r="E1394">
        <v>0.5107313</v>
      </c>
      <c r="F1394" t="s">
        <v>38</v>
      </c>
      <c r="G1394">
        <v>-313.04790000000003</v>
      </c>
      <c r="H1394">
        <v>1.0514219999999901</v>
      </c>
      <c r="I1394">
        <v>141.72730000000001</v>
      </c>
      <c r="J1394">
        <v>-312.45080000000002</v>
      </c>
      <c r="K1394">
        <v>1.1033580000000001</v>
      </c>
      <c r="L1394">
        <v>141.7073</v>
      </c>
      <c r="M1394">
        <v>-0.99984660000000003</v>
      </c>
      <c r="N1394">
        <v>0</v>
      </c>
      <c r="O1394">
        <v>-1.4036730000000001E-2</v>
      </c>
      <c r="P1394">
        <v>-0.98415200000000003</v>
      </c>
      <c r="Q1394">
        <v>0.17372839999999901</v>
      </c>
      <c r="R1394">
        <v>-3.5544930000000002E-2</v>
      </c>
      <c r="S1394">
        <v>-3.0780939999999899</v>
      </c>
      <c r="T1394">
        <v>-0.15996740000000001</v>
      </c>
      <c r="U1394">
        <v>4.3502810000000003E-2</v>
      </c>
      <c r="V1394">
        <v>-2.1865869999999999E-2</v>
      </c>
      <c r="W1394">
        <v>0.1840213</v>
      </c>
      <c r="X1394">
        <v>0.98267899999999997</v>
      </c>
      <c r="Y1394">
        <v>2.8109459999999999E-2</v>
      </c>
      <c r="Z1394">
        <v>1.458885E-3</v>
      </c>
      <c r="AA1394">
        <v>0.99960380000000004</v>
      </c>
      <c r="AB1394">
        <v>42</v>
      </c>
      <c r="AC1394">
        <v>-0.59710000000001096</v>
      </c>
      <c r="AD1394">
        <v>-5.1936000000000197E-2</v>
      </c>
      <c r="AE1394">
        <v>2.0000000000010201E-2</v>
      </c>
      <c r="AF1394">
        <v>2.81669599404029E-2</v>
      </c>
      <c r="AG1394">
        <v>-5.1936000000000197E-2</v>
      </c>
      <c r="AH1394">
        <v>0.59228445720811496</v>
      </c>
      <c r="AI1394">
        <v>95.005682712846905</v>
      </c>
      <c r="AJ1394">
        <v>87.277266153059301</v>
      </c>
      <c r="AK1394">
        <v>0.59522399479405697</v>
      </c>
    </row>
    <row r="1395" spans="1:37" x14ac:dyDescent="0.2">
      <c r="A1395" t="str">
        <f>"20200111150615982"</f>
        <v>20200111150615982</v>
      </c>
      <c r="B1395" t="str">
        <f>"1578726375978016"</f>
        <v>1578726375978016</v>
      </c>
      <c r="C1395" t="s">
        <v>37</v>
      </c>
      <c r="D1395">
        <v>4.5358929999999997</v>
      </c>
      <c r="E1395">
        <v>0.51377079999999997</v>
      </c>
      <c r="F1395" t="s">
        <v>39</v>
      </c>
      <c r="G1395">
        <v>-350.03620000000001</v>
      </c>
      <c r="H1395" s="1">
        <v>-4.5751889999999997E-6</v>
      </c>
      <c r="I1395">
        <v>141.3723</v>
      </c>
      <c r="J1395">
        <v>-312.87509999999997</v>
      </c>
      <c r="K1395">
        <v>1.103359</v>
      </c>
      <c r="L1395">
        <v>141.7011</v>
      </c>
      <c r="M1395">
        <v>-0.99984249999999997</v>
      </c>
      <c r="N1395">
        <v>0</v>
      </c>
      <c r="O1395">
        <v>-1.432453E-2</v>
      </c>
      <c r="P1395">
        <v>-0.98419619999999997</v>
      </c>
      <c r="Q1395">
        <v>0.173596</v>
      </c>
      <c r="R1395">
        <v>-3.49673E-2</v>
      </c>
      <c r="S1395">
        <v>-3.0632320000000002</v>
      </c>
      <c r="T1395">
        <v>-8.9924690000000002E-2</v>
      </c>
      <c r="U1395">
        <v>-2.7297970000000001E-2</v>
      </c>
      <c r="V1395">
        <v>-2.1004180000000001E-2</v>
      </c>
      <c r="W1395">
        <v>0.18389610000000001</v>
      </c>
      <c r="X1395">
        <v>0.98272119999999996</v>
      </c>
      <c r="Y1395">
        <v>5.4060239999999997E-3</v>
      </c>
      <c r="Z1395">
        <v>4.9975110000000003E-4</v>
      </c>
      <c r="AA1395">
        <v>0.99998529999999997</v>
      </c>
      <c r="AB1395">
        <v>42</v>
      </c>
      <c r="AC1395">
        <v>-37.161099999999998</v>
      </c>
      <c r="AD1395">
        <v>-1.1033635751890001</v>
      </c>
      <c r="AE1395">
        <v>-0.32880000000000098</v>
      </c>
      <c r="AF1395">
        <v>0.203398955041032</v>
      </c>
      <c r="AG1395">
        <v>-1.1033635751890001</v>
      </c>
      <c r="AH1395">
        <v>37.129267227479097</v>
      </c>
      <c r="AI1395">
        <v>91.702121639043298</v>
      </c>
      <c r="AJ1395">
        <v>89.686129407445193</v>
      </c>
      <c r="AK1395">
        <v>37.146214708412998</v>
      </c>
    </row>
    <row r="1396" spans="1:37" x14ac:dyDescent="0.2">
      <c r="A1396" t="str">
        <f>"20200111150616005"</f>
        <v>20200111150616005</v>
      </c>
      <c r="B1396" t="str">
        <f>"1578726375998512"</f>
        <v>1578726375998512</v>
      </c>
      <c r="C1396" t="s">
        <v>37</v>
      </c>
      <c r="D1396">
        <v>4.4956059999999898</v>
      </c>
      <c r="E1396">
        <v>0.51213960000000003</v>
      </c>
      <c r="F1396" t="s">
        <v>39</v>
      </c>
      <c r="G1396">
        <v>-361.04930000000002</v>
      </c>
      <c r="H1396" s="1">
        <v>-4.2851589999999903E-6</v>
      </c>
      <c r="I1396">
        <v>141.68090000000001</v>
      </c>
      <c r="J1396">
        <v>-313.31630000000001</v>
      </c>
      <c r="K1396">
        <v>1.103364</v>
      </c>
      <c r="L1396">
        <v>141.69460000000001</v>
      </c>
      <c r="M1396">
        <v>-0.99983809999999995</v>
      </c>
      <c r="N1396">
        <v>0</v>
      </c>
      <c r="O1396">
        <v>-1.46239E-2</v>
      </c>
      <c r="P1396">
        <v>-0.98422389999999904</v>
      </c>
      <c r="Q1396">
        <v>0.17351539999999999</v>
      </c>
      <c r="R1396">
        <v>-3.4581420000000002E-2</v>
      </c>
      <c r="S1396">
        <v>-3.0605159999999998</v>
      </c>
      <c r="T1396">
        <v>-7.0096969999999995E-2</v>
      </c>
      <c r="U1396">
        <v>-1.2817379999999999E-3</v>
      </c>
      <c r="V1396">
        <v>-2.032312E-2</v>
      </c>
      <c r="W1396">
        <v>0.1838226</v>
      </c>
      <c r="X1396">
        <v>0.98274930000000005</v>
      </c>
      <c r="Y1396">
        <v>1.419839E-2</v>
      </c>
      <c r="Z1396">
        <v>4.9748190000000001E-4</v>
      </c>
      <c r="AA1396">
        <v>0.99989910000000004</v>
      </c>
      <c r="AB1396">
        <v>42</v>
      </c>
      <c r="AC1396">
        <v>-47.732999999999997</v>
      </c>
      <c r="AD1396">
        <v>-1.1033682851590001</v>
      </c>
      <c r="AE1396">
        <v>-1.37E-2</v>
      </c>
      <c r="AF1396">
        <v>0.68401696414449098</v>
      </c>
      <c r="AG1396">
        <v>-1.1033682851590001</v>
      </c>
      <c r="AH1396">
        <v>47.702606893495499</v>
      </c>
      <c r="AI1396">
        <v>91.324887358176099</v>
      </c>
      <c r="AJ1396">
        <v>89.178480968410895</v>
      </c>
      <c r="AK1396">
        <v>47.720268285240202</v>
      </c>
    </row>
    <row r="1397" spans="1:37" x14ac:dyDescent="0.2">
      <c r="A1397" t="str">
        <f>"20200111150616027"</f>
        <v>20200111150616027</v>
      </c>
      <c r="B1397" t="str">
        <f>"1578726376018035"</f>
        <v>1578726376018035</v>
      </c>
      <c r="C1397" t="s">
        <v>37</v>
      </c>
      <c r="D1397">
        <v>4.5365269999999898</v>
      </c>
      <c r="E1397">
        <v>0.51223799999999997</v>
      </c>
      <c r="F1397" t="s">
        <v>39</v>
      </c>
      <c r="G1397">
        <v>-357.17930000000001</v>
      </c>
      <c r="H1397" s="1">
        <v>-1.696072E-6</v>
      </c>
      <c r="I1397">
        <v>141.5093</v>
      </c>
      <c r="J1397">
        <v>-313.74239999999998</v>
      </c>
      <c r="K1397">
        <v>1.103364</v>
      </c>
      <c r="L1397">
        <v>141.68809999999999</v>
      </c>
      <c r="M1397">
        <v>-0.99983359999999899</v>
      </c>
      <c r="N1397">
        <v>0</v>
      </c>
      <c r="O1397">
        <v>-1.4913010000000001E-2</v>
      </c>
      <c r="P1397">
        <v>-0.98427799999999999</v>
      </c>
      <c r="Q1397">
        <v>0.17327200000000001</v>
      </c>
      <c r="R1397">
        <v>-3.4255500000000001E-2</v>
      </c>
      <c r="S1397">
        <v>-3.0612490000000001</v>
      </c>
      <c r="T1397">
        <v>-7.7005149999999994E-2</v>
      </c>
      <c r="U1397">
        <v>-1.292419E-2</v>
      </c>
      <c r="V1397">
        <v>-1.9712E-2</v>
      </c>
      <c r="W1397">
        <v>0.1835859</v>
      </c>
      <c r="X1397">
        <v>0.98280599999999996</v>
      </c>
      <c r="Y1397">
        <v>1.0684239999999999E-2</v>
      </c>
      <c r="Z1397">
        <v>5.0943869999999999E-4</v>
      </c>
      <c r="AA1397">
        <v>0.99994280000000002</v>
      </c>
      <c r="AB1397">
        <v>42</v>
      </c>
      <c r="AC1397">
        <v>-43.436900000000001</v>
      </c>
      <c r="AD1397">
        <v>-1.103365696072</v>
      </c>
      <c r="AE1397">
        <v>-0.17879999999999499</v>
      </c>
      <c r="AF1397">
        <v>0.46872812456794699</v>
      </c>
      <c r="AG1397">
        <v>-1.103365696072</v>
      </c>
      <c r="AH1397">
        <v>43.406728370005403</v>
      </c>
      <c r="AI1397">
        <v>91.456016296232804</v>
      </c>
      <c r="AJ1397">
        <v>89.381314821942297</v>
      </c>
      <c r="AK1397">
        <v>43.423279352226103</v>
      </c>
    </row>
    <row r="1398" spans="1:37" x14ac:dyDescent="0.2">
      <c r="A1398" t="str">
        <f>"20200111150616049"</f>
        <v>20200111150616049</v>
      </c>
      <c r="B1398" t="str">
        <f>"1578726376037552"</f>
        <v>1578726376037552</v>
      </c>
      <c r="C1398" t="s">
        <v>37</v>
      </c>
      <c r="D1398">
        <v>4.4674639999999997</v>
      </c>
      <c r="E1398">
        <v>0.5127929</v>
      </c>
      <c r="F1398" t="s">
        <v>39</v>
      </c>
      <c r="G1398">
        <v>-349.43770000000001</v>
      </c>
      <c r="H1398" s="1">
        <v>-7.3947699999999997E-7</v>
      </c>
      <c r="I1398">
        <v>141.55539999999999</v>
      </c>
      <c r="J1398">
        <v>-314.14449999999999</v>
      </c>
      <c r="K1398">
        <v>1.103364</v>
      </c>
      <c r="L1398">
        <v>141.68190000000001</v>
      </c>
      <c r="M1398">
        <v>-0.99982950000000004</v>
      </c>
      <c r="N1398">
        <v>0</v>
      </c>
      <c r="O1398">
        <v>-1.5185789999999999E-2</v>
      </c>
      <c r="P1398">
        <v>-0.98427180000000003</v>
      </c>
      <c r="Q1398">
        <v>0.17332879999999901</v>
      </c>
      <c r="R1398">
        <v>-3.4149779999999998E-2</v>
      </c>
      <c r="S1398">
        <v>-3.064209</v>
      </c>
      <c r="T1398">
        <v>-9.4716670000000003E-2</v>
      </c>
      <c r="U1398">
        <v>-1.138306E-2</v>
      </c>
      <c r="V1398">
        <v>-1.9337790000000001E-2</v>
      </c>
      <c r="W1398">
        <v>0.1836487</v>
      </c>
      <c r="X1398">
        <v>0.9828017</v>
      </c>
      <c r="Y1398">
        <v>1.145941E-2</v>
      </c>
      <c r="Z1398">
        <v>6.463641E-4</v>
      </c>
      <c r="AA1398">
        <v>0.99993410000000005</v>
      </c>
      <c r="AB1398">
        <v>42</v>
      </c>
      <c r="AC1398">
        <v>-35.293199999999999</v>
      </c>
      <c r="AD1398">
        <v>-1.1033647394770001</v>
      </c>
      <c r="AE1398">
        <v>-0.12650000000002101</v>
      </c>
      <c r="AF1398">
        <v>0.40909945547793702</v>
      </c>
      <c r="AG1398">
        <v>-1.1033647394770001</v>
      </c>
      <c r="AH1398">
        <v>35.256592908341503</v>
      </c>
      <c r="AI1398">
        <v>91.792381508437998</v>
      </c>
      <c r="AJ1398">
        <v>89.335198940915802</v>
      </c>
      <c r="AK1398">
        <v>35.2762259831931</v>
      </c>
    </row>
    <row r="1399" spans="1:37" x14ac:dyDescent="0.2">
      <c r="A1399" t="str">
        <f>"20200111150616071"</f>
        <v>20200111150616071</v>
      </c>
      <c r="B1399" t="str">
        <f>"1578726376067809"</f>
        <v>1578726376067809</v>
      </c>
      <c r="C1399" t="s">
        <v>37</v>
      </c>
      <c r="D1399">
        <v>4.4601639999999998</v>
      </c>
      <c r="E1399">
        <v>0.5134782</v>
      </c>
      <c r="F1399" t="s">
        <v>39</v>
      </c>
      <c r="G1399">
        <v>-346.62169999999998</v>
      </c>
      <c r="H1399" s="1">
        <v>-1.9634940000000002E-6</v>
      </c>
      <c r="I1399">
        <v>141.61539999999999</v>
      </c>
      <c r="J1399">
        <v>-314.57190000000003</v>
      </c>
      <c r="K1399">
        <v>1.103364</v>
      </c>
      <c r="L1399">
        <v>141.67519999999999</v>
      </c>
      <c r="M1399">
        <v>-0.99982510000000002</v>
      </c>
      <c r="N1399">
        <v>0</v>
      </c>
      <c r="O1399">
        <v>-1.5475630000000001E-2</v>
      </c>
      <c r="P1399">
        <v>-0.98426569999999902</v>
      </c>
      <c r="Q1399">
        <v>0.17324410000000001</v>
      </c>
      <c r="R1399">
        <v>-3.4754899999999998E-2</v>
      </c>
      <c r="S1399">
        <v>-3.0660400000000001</v>
      </c>
      <c r="T1399">
        <v>-0.10416449999999999</v>
      </c>
      <c r="U1399">
        <v>-6.2713619999999999E-3</v>
      </c>
      <c r="V1399">
        <v>-1.9657689999999998E-2</v>
      </c>
      <c r="W1399">
        <v>0.18357039999999999</v>
      </c>
      <c r="X1399">
        <v>0.98280999999999996</v>
      </c>
      <c r="Y1399">
        <v>1.34146E-2</v>
      </c>
      <c r="Z1399">
        <v>7.5342759999999997E-4</v>
      </c>
      <c r="AA1399">
        <v>0.99990979999999996</v>
      </c>
      <c r="AB1399">
        <v>42</v>
      </c>
      <c r="AC1399">
        <v>-32.049799999999898</v>
      </c>
      <c r="AD1399">
        <v>-1.1033659634940001</v>
      </c>
      <c r="AE1399">
        <v>-5.97999999999956E-2</v>
      </c>
      <c r="AF1399">
        <v>0.43570896152919403</v>
      </c>
      <c r="AG1399">
        <v>-1.1033659634940001</v>
      </c>
      <c r="AH1399">
        <v>32.008950352231302</v>
      </c>
      <c r="AI1399">
        <v>91.974052320614902</v>
      </c>
      <c r="AJ1399">
        <v>89.220132412418096</v>
      </c>
      <c r="AK1399">
        <v>32.030925078744801</v>
      </c>
    </row>
    <row r="1400" spans="1:37" x14ac:dyDescent="0.2">
      <c r="A1400" t="str">
        <f>"20200111150616095"</f>
        <v>20200111150616095</v>
      </c>
      <c r="B1400" t="str">
        <f>"1578726376088305"</f>
        <v>1578726376088305</v>
      </c>
      <c r="C1400" t="s">
        <v>37</v>
      </c>
      <c r="D1400">
        <v>4.4303099999999898</v>
      </c>
      <c r="E1400">
        <v>0.51410089999999997</v>
      </c>
      <c r="F1400" t="s">
        <v>39</v>
      </c>
      <c r="G1400">
        <v>-346.08819999999997</v>
      </c>
      <c r="H1400" s="1">
        <v>-2.2022310000000001E-6</v>
      </c>
      <c r="I1400">
        <v>141.6525</v>
      </c>
      <c r="J1400">
        <v>-315.01659999999998</v>
      </c>
      <c r="K1400">
        <v>1.103361</v>
      </c>
      <c r="L1400">
        <v>141.66800000000001</v>
      </c>
      <c r="M1400">
        <v>-0.99982019999999905</v>
      </c>
      <c r="N1400">
        <v>0</v>
      </c>
      <c r="O1400">
        <v>-1.5777019999999999E-2</v>
      </c>
      <c r="P1400">
        <v>-0.98427260000000005</v>
      </c>
      <c r="Q1400">
        <v>0.17301749999999999</v>
      </c>
      <c r="R1400">
        <v>-3.5674009999999999E-2</v>
      </c>
      <c r="S1400">
        <v>-3.0667419999999899</v>
      </c>
      <c r="T1400">
        <v>-0.107364899999999</v>
      </c>
      <c r="U1400">
        <v>-2.1972659999999998E-3</v>
      </c>
      <c r="V1400">
        <v>-2.027996E-2</v>
      </c>
      <c r="W1400">
        <v>0.1833496</v>
      </c>
      <c r="X1400">
        <v>0.98283860000000001</v>
      </c>
      <c r="Y1400">
        <v>1.504261E-2</v>
      </c>
      <c r="Z1400">
        <v>8.154239E-4</v>
      </c>
      <c r="AA1400">
        <v>0.99988650000000001</v>
      </c>
      <c r="AB1400">
        <v>43</v>
      </c>
      <c r="AC1400">
        <v>-31.071599999999901</v>
      </c>
      <c r="AD1400">
        <v>-1.103363202231</v>
      </c>
      <c r="AE1400">
        <v>-1.55000000000029E-2</v>
      </c>
      <c r="AF1400">
        <v>0.474148414719335</v>
      </c>
      <c r="AG1400">
        <v>-1.103363202231</v>
      </c>
      <c r="AH1400">
        <v>31.0288499150954</v>
      </c>
      <c r="AI1400">
        <v>92.036300386716604</v>
      </c>
      <c r="AJ1400">
        <v>89.124537684404601</v>
      </c>
      <c r="AK1400">
        <v>31.052081317179599</v>
      </c>
    </row>
    <row r="1401" spans="1:37" x14ac:dyDescent="0.2">
      <c r="A1401" t="str">
        <f>"20200111150616117"</f>
        <v>20200111150616117</v>
      </c>
      <c r="B1401" t="str">
        <f>"1578726376107824"</f>
        <v>1578726376107824</v>
      </c>
      <c r="C1401" t="s">
        <v>37</v>
      </c>
      <c r="D1401">
        <v>4.4277620000000004</v>
      </c>
      <c r="E1401">
        <v>0.51437370000000004</v>
      </c>
      <c r="F1401" t="s">
        <v>39</v>
      </c>
      <c r="G1401">
        <v>-344.01429999999999</v>
      </c>
      <c r="H1401" s="1">
        <v>-3.0968419999999899E-6</v>
      </c>
      <c r="I1401">
        <v>141.67099999999999</v>
      </c>
      <c r="J1401">
        <v>-315.44540000000001</v>
      </c>
      <c r="K1401">
        <v>1.1033580000000001</v>
      </c>
      <c r="L1401">
        <v>141.661</v>
      </c>
      <c r="M1401">
        <v>-0.99981559999999903</v>
      </c>
      <c r="N1401">
        <v>0</v>
      </c>
      <c r="O1401">
        <v>-1.60678E-2</v>
      </c>
      <c r="P1401">
        <v>-0.98425399999999996</v>
      </c>
      <c r="Q1401">
        <v>0.17289589999999999</v>
      </c>
      <c r="R1401">
        <v>-3.6760019999999997E-2</v>
      </c>
      <c r="S1401">
        <v>-3.068451</v>
      </c>
      <c r="T1401">
        <v>-0.116755</v>
      </c>
      <c r="U1401">
        <v>3.2043460000000002E-4</v>
      </c>
      <c r="V1401">
        <v>-2.1079469999999999E-2</v>
      </c>
      <c r="W1401">
        <v>0.18323339999999999</v>
      </c>
      <c r="X1401">
        <v>0.98284340000000003</v>
      </c>
      <c r="Y1401">
        <v>1.6149790000000001E-2</v>
      </c>
      <c r="Z1401">
        <v>9.1831520000000002E-4</v>
      </c>
      <c r="AA1401">
        <v>0.99986919999999901</v>
      </c>
      <c r="AB1401">
        <v>43</v>
      </c>
      <c r="AC1401">
        <v>-28.5688999999999</v>
      </c>
      <c r="AD1401">
        <v>-1.103361096842</v>
      </c>
      <c r="AE1401">
        <v>9.9999999999908998E-3</v>
      </c>
      <c r="AF1401">
        <v>0.46836485904541902</v>
      </c>
      <c r="AG1401">
        <v>-1.103361096842</v>
      </c>
      <c r="AH1401">
        <v>28.5225070239293</v>
      </c>
      <c r="AI1401">
        <v>92.215019864890905</v>
      </c>
      <c r="AJ1401">
        <v>89.059237042019106</v>
      </c>
      <c r="AK1401">
        <v>28.547682537840299</v>
      </c>
    </row>
    <row r="1402" spans="1:37" x14ac:dyDescent="0.2">
      <c r="A1402" t="str">
        <f>"20200111150616139"</f>
        <v>20200111150616139</v>
      </c>
      <c r="B1402" t="str">
        <f>"1578726376127344"</f>
        <v>1578726376127344</v>
      </c>
      <c r="C1402" t="s">
        <v>37</v>
      </c>
      <c r="D1402">
        <v>4.4771849999999898</v>
      </c>
      <c r="E1402">
        <v>0.51504179999999999</v>
      </c>
      <c r="F1402" t="s">
        <v>39</v>
      </c>
      <c r="G1402">
        <v>-342.76569999999998</v>
      </c>
      <c r="H1402" s="1">
        <v>-3.6283419999999999E-6</v>
      </c>
      <c r="I1402">
        <v>141.65539999999999</v>
      </c>
      <c r="J1402">
        <v>-315.85750000000002</v>
      </c>
      <c r="K1402">
        <v>1.103356</v>
      </c>
      <c r="L1402">
        <v>141.6542</v>
      </c>
      <c r="M1402">
        <v>-0.99981109999999895</v>
      </c>
      <c r="N1402">
        <v>0</v>
      </c>
      <c r="O1402">
        <v>-1.634642E-2</v>
      </c>
      <c r="P1402">
        <v>-0.98428769999999999</v>
      </c>
      <c r="Q1402">
        <v>0.17258679999999901</v>
      </c>
      <c r="R1402">
        <v>-3.7302040000000002E-2</v>
      </c>
      <c r="S1402">
        <v>-3.0697329999999998</v>
      </c>
      <c r="T1402">
        <v>-0.1239748</v>
      </c>
      <c r="U1402">
        <v>-6.256104E-4</v>
      </c>
      <c r="V1402">
        <v>-2.134689E-2</v>
      </c>
      <c r="W1402">
        <v>0.1829305</v>
      </c>
      <c r="X1402">
        <v>0.98289409999999899</v>
      </c>
      <c r="Y1402">
        <v>1.6117090000000001E-2</v>
      </c>
      <c r="Z1402">
        <v>9.852362999999999E-4</v>
      </c>
      <c r="AA1402">
        <v>0.99986960000000003</v>
      </c>
      <c r="AB1402">
        <v>43</v>
      </c>
      <c r="AC1402">
        <v>-26.908199999999901</v>
      </c>
      <c r="AD1402">
        <v>-1.103359628342</v>
      </c>
      <c r="AE1402">
        <v>1.1999999999829901E-3</v>
      </c>
      <c r="AF1402">
        <v>0.44033652378909699</v>
      </c>
      <c r="AG1402">
        <v>-1.103359628342</v>
      </c>
      <c r="AH1402">
        <v>26.859423941769599</v>
      </c>
      <c r="AI1402">
        <v>92.352017931304701</v>
      </c>
      <c r="AJ1402">
        <v>89.060770457388102</v>
      </c>
      <c r="AK1402">
        <v>26.885683052646201</v>
      </c>
    </row>
    <row r="1403" spans="1:37" x14ac:dyDescent="0.2">
      <c r="A1403" t="str">
        <f>"20200111150616161"</f>
        <v>20200111150616161</v>
      </c>
      <c r="B1403" t="str">
        <f>"1578726376157600"</f>
        <v>1578726376157600</v>
      </c>
      <c r="C1403" t="s">
        <v>37</v>
      </c>
      <c r="D1403">
        <v>4.4077149999999996</v>
      </c>
      <c r="E1403">
        <v>0.51598759999999999</v>
      </c>
      <c r="F1403" t="s">
        <v>39</v>
      </c>
      <c r="G1403">
        <v>-342.56810000000002</v>
      </c>
      <c r="H1403" s="1">
        <v>-3.72083E-6</v>
      </c>
      <c r="I1403">
        <v>141.68450000000001</v>
      </c>
      <c r="J1403">
        <v>-316.27710000000002</v>
      </c>
      <c r="K1403">
        <v>1.1033469999999901</v>
      </c>
      <c r="L1403">
        <v>141.64709999999999</v>
      </c>
      <c r="M1403">
        <v>-0.99980630000000004</v>
      </c>
      <c r="N1403">
        <v>0</v>
      </c>
      <c r="O1403">
        <v>-1.6626809999999999E-2</v>
      </c>
      <c r="P1403">
        <v>-0.98445890000000003</v>
      </c>
      <c r="Q1403">
        <v>0.1714783</v>
      </c>
      <c r="R1403">
        <v>-3.7898460000000002E-2</v>
      </c>
      <c r="S1403">
        <v>-3.0702509999999998</v>
      </c>
      <c r="T1403">
        <v>-0.12682589999999999</v>
      </c>
      <c r="U1403">
        <v>3.4942630000000001E-3</v>
      </c>
      <c r="V1403">
        <v>-2.1662130000000002E-2</v>
      </c>
      <c r="W1403">
        <v>0.1818292</v>
      </c>
      <c r="X1403">
        <v>0.98309150000000001</v>
      </c>
      <c r="Y1403">
        <v>1.773636E-2</v>
      </c>
      <c r="Z1403">
        <v>1.052714E-3</v>
      </c>
      <c r="AA1403">
        <v>0.99984219999999902</v>
      </c>
      <c r="AB1403">
        <v>43</v>
      </c>
      <c r="AC1403">
        <v>-26.291</v>
      </c>
      <c r="AD1403">
        <v>-1.10335072083</v>
      </c>
      <c r="AE1403">
        <v>3.7400000000019397E-2</v>
      </c>
      <c r="AF1403">
        <v>0.47372021230768402</v>
      </c>
      <c r="AG1403">
        <v>-1.10335072083</v>
      </c>
      <c r="AH1403">
        <v>26.2405282042271</v>
      </c>
      <c r="AI1403">
        <v>92.407338816768998</v>
      </c>
      <c r="AJ1403">
        <v>88.965751734912303</v>
      </c>
      <c r="AK1403">
        <v>26.267986487158499</v>
      </c>
    </row>
    <row r="1404" spans="1:37" x14ac:dyDescent="0.2">
      <c r="A1404" t="str">
        <f>"20200111150616184"</f>
        <v>20200111150616184</v>
      </c>
      <c r="B1404" t="str">
        <f>"1578726376178097"</f>
        <v>1578726376178097</v>
      </c>
      <c r="C1404" t="s">
        <v>37</v>
      </c>
      <c r="D1404">
        <v>4.4945539999999999</v>
      </c>
      <c r="E1404">
        <v>0.51606969999999996</v>
      </c>
      <c r="F1404" t="s">
        <v>39</v>
      </c>
      <c r="G1404">
        <v>-342.40519999999998</v>
      </c>
      <c r="H1404" s="1">
        <v>-3.802792E-6</v>
      </c>
      <c r="I1404">
        <v>141.72980000000001</v>
      </c>
      <c r="J1404">
        <v>-316.72859999999997</v>
      </c>
      <c r="K1404">
        <v>1.103334</v>
      </c>
      <c r="L1404">
        <v>141.63929999999999</v>
      </c>
      <c r="M1404">
        <v>-0.99980139999999995</v>
      </c>
      <c r="N1404">
        <v>0</v>
      </c>
      <c r="O1404">
        <v>-1.692039E-2</v>
      </c>
      <c r="P1404">
        <v>-0.98469699999999905</v>
      </c>
      <c r="Q1404">
        <v>0.1699591</v>
      </c>
      <c r="R1404">
        <v>-3.854979E-2</v>
      </c>
      <c r="S1404">
        <v>-3.0703130000000001</v>
      </c>
      <c r="T1404">
        <v>-0.1296551</v>
      </c>
      <c r="U1404">
        <v>9.7351069999999998E-3</v>
      </c>
      <c r="V1404">
        <v>-2.2017120000000001E-2</v>
      </c>
      <c r="W1404">
        <v>0.18031920000000001</v>
      </c>
      <c r="X1404">
        <v>0.98336170000000001</v>
      </c>
      <c r="Y1404">
        <v>2.005854E-2</v>
      </c>
      <c r="Z1404">
        <v>1.1375560000000001E-3</v>
      </c>
      <c r="AA1404">
        <v>0.99979819999999997</v>
      </c>
      <c r="AB1404">
        <v>43</v>
      </c>
      <c r="AC1404">
        <v>-25.676600000000001</v>
      </c>
      <c r="AD1404">
        <v>-1.103337802792</v>
      </c>
      <c r="AE1404">
        <v>9.0500000000019995E-2</v>
      </c>
      <c r="AF1404">
        <v>0.524001671975451</v>
      </c>
      <c r="AG1404">
        <v>-1.103337802792</v>
      </c>
      <c r="AH1404">
        <v>25.6240788754756</v>
      </c>
      <c r="AI1404">
        <v>92.465040200205394</v>
      </c>
      <c r="AJ1404">
        <v>88.828488610800406</v>
      </c>
      <c r="AK1404">
        <v>25.653174272902302</v>
      </c>
    </row>
    <row r="1405" spans="1:37" x14ac:dyDescent="0.2">
      <c r="A1405" t="str">
        <f>"20200111150616207"</f>
        <v>20200111150616207</v>
      </c>
      <c r="B1405" t="str">
        <f>"1578726376197616"</f>
        <v>1578726376197616</v>
      </c>
      <c r="C1405" t="s">
        <v>37</v>
      </c>
      <c r="D1405">
        <v>4.5132129999999897</v>
      </c>
      <c r="E1405">
        <v>0.51625339999999997</v>
      </c>
      <c r="F1405" t="s">
        <v>39</v>
      </c>
      <c r="G1405">
        <v>-342.92349999999999</v>
      </c>
      <c r="H1405" s="1">
        <v>-3.5770269999999999E-6</v>
      </c>
      <c r="I1405">
        <v>141.71700000000001</v>
      </c>
      <c r="J1405">
        <v>-317.15809999999999</v>
      </c>
      <c r="K1405">
        <v>1.1033189999999999</v>
      </c>
      <c r="L1405">
        <v>141.6319</v>
      </c>
      <c r="M1405">
        <v>-0.99979669999999898</v>
      </c>
      <c r="N1405">
        <v>0</v>
      </c>
      <c r="O1405">
        <v>-1.7186380000000001E-2</v>
      </c>
      <c r="P1405">
        <v>-0.98478369999999904</v>
      </c>
      <c r="Q1405">
        <v>0.16921649999999999</v>
      </c>
      <c r="R1405">
        <v>-3.9589480000000003E-2</v>
      </c>
      <c r="S1405">
        <v>-3.0693049999999999</v>
      </c>
      <c r="T1405">
        <v>-0.12928039999999999</v>
      </c>
      <c r="U1405">
        <v>9.1094969999999994E-3</v>
      </c>
      <c r="V1405">
        <v>-2.2789230000000001E-2</v>
      </c>
      <c r="W1405">
        <v>0.17958279999999999</v>
      </c>
      <c r="X1405">
        <v>0.98347879999999999</v>
      </c>
      <c r="Y1405">
        <v>2.012166E-2</v>
      </c>
      <c r="Z1405">
        <v>1.147171E-3</v>
      </c>
      <c r="AA1405">
        <v>0.99979689999999999</v>
      </c>
      <c r="AB1405">
        <v>43</v>
      </c>
      <c r="AC1405">
        <v>-25.7654</v>
      </c>
      <c r="AD1405">
        <v>-1.1033225770270001</v>
      </c>
      <c r="AE1405">
        <v>8.5100000000011194E-2</v>
      </c>
      <c r="AF1405">
        <v>0.52695972243643896</v>
      </c>
      <c r="AG1405">
        <v>-1.1033225770270001</v>
      </c>
      <c r="AH1405">
        <v>25.712981768809801</v>
      </c>
      <c r="AI1405">
        <v>92.456491673936597</v>
      </c>
      <c r="AJ1405">
        <v>88.825949380773594</v>
      </c>
      <c r="AK1405">
        <v>25.742036413251999</v>
      </c>
    </row>
    <row r="1406" spans="1:37" x14ac:dyDescent="0.2">
      <c r="A1406" t="str">
        <f>"20200111150616228"</f>
        <v>20200111150616228</v>
      </c>
      <c r="B1406" t="str">
        <f>"1578726376218112"</f>
        <v>1578726376218112</v>
      </c>
      <c r="C1406" t="s">
        <v>37</v>
      </c>
      <c r="D1406">
        <v>4.4835699999999896</v>
      </c>
      <c r="E1406">
        <v>0.51649250000000002</v>
      </c>
      <c r="F1406" t="s">
        <v>39</v>
      </c>
      <c r="G1406">
        <v>-343.5788</v>
      </c>
      <c r="H1406" s="1">
        <v>-3.2922789999999999E-6</v>
      </c>
      <c r="I1406">
        <v>141.70339999999999</v>
      </c>
      <c r="J1406">
        <v>-317.56920000000002</v>
      </c>
      <c r="K1406">
        <v>1.103307</v>
      </c>
      <c r="L1406">
        <v>141.62459999999999</v>
      </c>
      <c r="M1406">
        <v>-0.99979259999999903</v>
      </c>
      <c r="N1406">
        <v>0</v>
      </c>
      <c r="O1406">
        <v>-1.7423939999999999E-2</v>
      </c>
      <c r="P1406">
        <v>-0.98462689999999997</v>
      </c>
      <c r="Q1406">
        <v>0.17004839999999999</v>
      </c>
      <c r="R1406">
        <v>-3.9921779999999997E-2</v>
      </c>
      <c r="S1406">
        <v>-3.0687259999999998</v>
      </c>
      <c r="T1406">
        <v>-0.1281494</v>
      </c>
      <c r="U1406">
        <v>8.3160400000000002E-3</v>
      </c>
      <c r="V1406">
        <v>-2.288509E-2</v>
      </c>
      <c r="W1406">
        <v>0.1804191</v>
      </c>
      <c r="X1406">
        <v>0.98332359999999897</v>
      </c>
      <c r="Y1406">
        <v>2.0101649999999999E-2</v>
      </c>
      <c r="Z1406">
        <v>1.1468559999999999E-3</v>
      </c>
      <c r="AA1406">
        <v>0.9997973</v>
      </c>
      <c r="AB1406">
        <v>43</v>
      </c>
      <c r="AC1406">
        <v>-26.009599999999899</v>
      </c>
      <c r="AD1406">
        <v>-1.1033102922789999</v>
      </c>
      <c r="AE1406">
        <v>7.8800000000000994E-2</v>
      </c>
      <c r="AF1406">
        <v>0.531047378636473</v>
      </c>
      <c r="AG1406">
        <v>-1.1033102922789999</v>
      </c>
      <c r="AH1406">
        <v>25.957570350242101</v>
      </c>
      <c r="AI1406">
        <v>92.433347728448396</v>
      </c>
      <c r="AJ1406">
        <v>88.827990092392696</v>
      </c>
      <c r="AK1406">
        <v>25.986434218783799</v>
      </c>
    </row>
    <row r="1407" spans="1:37" x14ac:dyDescent="0.2">
      <c r="A1407" t="str">
        <f>"20200111150616250"</f>
        <v>20200111150616250</v>
      </c>
      <c r="B1407" t="str">
        <f>"1578726376247392"</f>
        <v>1578726376247392</v>
      </c>
      <c r="C1407" t="s">
        <v>37</v>
      </c>
      <c r="D1407">
        <v>4.4906779999999999</v>
      </c>
      <c r="E1407">
        <v>0.51646349999999996</v>
      </c>
      <c r="F1407" t="s">
        <v>39</v>
      </c>
      <c r="G1407">
        <v>-343.89940000000001</v>
      </c>
      <c r="H1407" s="1">
        <v>-3.1535139999999999E-6</v>
      </c>
      <c r="I1407">
        <v>141.6986</v>
      </c>
      <c r="J1407">
        <v>-317.98</v>
      </c>
      <c r="K1407">
        <v>1.103299</v>
      </c>
      <c r="L1407">
        <v>141.6173</v>
      </c>
      <c r="M1407">
        <v>-0.99978880000000003</v>
      </c>
      <c r="N1407">
        <v>0</v>
      </c>
      <c r="O1407">
        <v>-1.7639729999999999E-2</v>
      </c>
      <c r="P1407">
        <v>-0.98446800000000001</v>
      </c>
      <c r="Q1407">
        <v>0.17117859999999999</v>
      </c>
      <c r="R1407">
        <v>-3.8998070000000003E-2</v>
      </c>
      <c r="S1407">
        <v>-3.0693969999999999</v>
      </c>
      <c r="T1407">
        <v>-0.12861689999999901</v>
      </c>
      <c r="U1407">
        <v>8.6364749999999994E-3</v>
      </c>
      <c r="V1407">
        <v>-2.1745279999999999E-2</v>
      </c>
      <c r="W1407">
        <v>0.18155489999999999</v>
      </c>
      <c r="X1407">
        <v>0.98314029999999997</v>
      </c>
      <c r="Y1407">
        <v>2.0420540000000001E-2</v>
      </c>
      <c r="Z1407">
        <v>1.166502E-3</v>
      </c>
      <c r="AA1407">
        <v>0.99979079999999998</v>
      </c>
      <c r="AB1407">
        <v>43</v>
      </c>
      <c r="AC1407">
        <v>-25.9194</v>
      </c>
      <c r="AD1407">
        <v>-1.103302153514</v>
      </c>
      <c r="AE1407">
        <v>8.1299999999998804E-2</v>
      </c>
      <c r="AF1407">
        <v>0.53755000063734304</v>
      </c>
      <c r="AG1407">
        <v>-1.103302153514</v>
      </c>
      <c r="AH1407">
        <v>25.867063914703401</v>
      </c>
      <c r="AI1407">
        <v>92.441817270798495</v>
      </c>
      <c r="AJ1407">
        <v>88.8094932656319</v>
      </c>
      <c r="AK1407">
        <v>25.896162480423399</v>
      </c>
    </row>
    <row r="1408" spans="1:37" x14ac:dyDescent="0.2">
      <c r="A1408" t="str">
        <f>"20200111150616273"</f>
        <v>20200111150616273</v>
      </c>
      <c r="B1408" t="str">
        <f>"1578726376267888"</f>
        <v>1578726376267888</v>
      </c>
      <c r="C1408" t="s">
        <v>37</v>
      </c>
      <c r="D1408">
        <v>4.510688</v>
      </c>
      <c r="E1408">
        <v>0.51628529999999995</v>
      </c>
      <c r="F1408" t="s">
        <v>39</v>
      </c>
      <c r="G1408">
        <v>-346.28289999999998</v>
      </c>
      <c r="H1408" s="1">
        <v>-2.1311120000000001E-6</v>
      </c>
      <c r="I1408">
        <v>141.69909999999999</v>
      </c>
      <c r="J1408">
        <v>-318.42110000000002</v>
      </c>
      <c r="K1408">
        <v>1.1032770000000001</v>
      </c>
      <c r="L1408">
        <v>141.60929999999999</v>
      </c>
      <c r="M1408">
        <v>-0.99978509999999998</v>
      </c>
      <c r="N1408">
        <v>0</v>
      </c>
      <c r="O1408">
        <v>-1.784295E-2</v>
      </c>
      <c r="P1408">
        <v>-0.98444739999999997</v>
      </c>
      <c r="Q1408">
        <v>0.17158370000000001</v>
      </c>
      <c r="R1408">
        <v>-3.7719589999999997E-2</v>
      </c>
      <c r="S1408">
        <v>-3.068451</v>
      </c>
      <c r="T1408">
        <v>-0.1196144</v>
      </c>
      <c r="U1408">
        <v>8.8806149999999997E-3</v>
      </c>
      <c r="V1408">
        <v>-2.0257589999999999E-2</v>
      </c>
      <c r="W1408">
        <v>0.18196760000000001</v>
      </c>
      <c r="X1408">
        <v>0.98309579999999996</v>
      </c>
      <c r="Y1408">
        <v>2.0708279999999999E-2</v>
      </c>
      <c r="Z1408">
        <v>1.098775E-3</v>
      </c>
      <c r="AA1408">
        <v>0.99978489999999998</v>
      </c>
      <c r="AB1408">
        <v>43</v>
      </c>
      <c r="AC1408">
        <v>-27.861799999999899</v>
      </c>
      <c r="AD1408">
        <v>-1.103279131112</v>
      </c>
      <c r="AE1408">
        <v>8.9799999999996702E-2</v>
      </c>
      <c r="AF1408">
        <v>0.58603119439282403</v>
      </c>
      <c r="AG1408">
        <v>-1.103279131112</v>
      </c>
      <c r="AH1408">
        <v>27.812151929328898</v>
      </c>
      <c r="AI1408">
        <v>92.271169270817794</v>
      </c>
      <c r="AJ1408">
        <v>88.792896492878199</v>
      </c>
      <c r="AK1408">
        <v>27.840194904885699</v>
      </c>
    </row>
    <row r="1409" spans="1:37" x14ac:dyDescent="0.2">
      <c r="A1409" t="str">
        <f>"20200111150616296"</f>
        <v>20200111150616296</v>
      </c>
      <c r="B1409" t="str">
        <f>"1578726376287408"</f>
        <v>1578726376287408</v>
      </c>
      <c r="C1409" t="s">
        <v>37</v>
      </c>
      <c r="D1409">
        <v>4.5710519999999999</v>
      </c>
      <c r="E1409">
        <v>0.48440870000000003</v>
      </c>
      <c r="F1409" t="s">
        <v>39</v>
      </c>
      <c r="G1409">
        <v>-347.43360000000001</v>
      </c>
      <c r="H1409" s="1">
        <v>-1.6427209999999999E-6</v>
      </c>
      <c r="I1409">
        <v>141.71879999999999</v>
      </c>
      <c r="J1409">
        <v>-318.86619999999999</v>
      </c>
      <c r="K1409">
        <v>1.1032439999999999</v>
      </c>
      <c r="L1409">
        <v>141.60120000000001</v>
      </c>
      <c r="M1409">
        <v>-0.99978199999999995</v>
      </c>
      <c r="N1409">
        <v>0</v>
      </c>
      <c r="O1409">
        <v>-1.801297E-2</v>
      </c>
      <c r="P1409">
        <v>-0.98469379999999995</v>
      </c>
      <c r="Q1409">
        <v>0.17034579999999999</v>
      </c>
      <c r="R1409">
        <v>-3.6888599999999903E-2</v>
      </c>
      <c r="S1409">
        <v>-3.0681759999999998</v>
      </c>
      <c r="T1409">
        <v>-0.11667619999999999</v>
      </c>
      <c r="U1409">
        <v>1.158142E-2</v>
      </c>
      <c r="V1409">
        <v>-1.9242430000000001E-2</v>
      </c>
      <c r="W1409">
        <v>0.18073939999999999</v>
      </c>
      <c r="X1409">
        <v>0.98334279999999996</v>
      </c>
      <c r="Y1409">
        <v>2.1759150000000001E-2</v>
      </c>
      <c r="Z1409">
        <v>1.098337E-3</v>
      </c>
      <c r="AA1409">
        <v>0.9997627</v>
      </c>
      <c r="AB1409">
        <v>43</v>
      </c>
      <c r="AC1409">
        <v>-28.567399999999999</v>
      </c>
      <c r="AD1409">
        <v>-1.103245642721</v>
      </c>
      <c r="AE1409">
        <v>0.117599999999981</v>
      </c>
      <c r="AF1409">
        <v>0.63125187120124604</v>
      </c>
      <c r="AG1409">
        <v>-1.103245642721</v>
      </c>
      <c r="AH1409">
        <v>28.5181140099663</v>
      </c>
      <c r="AI1409">
        <v>92.214885484461703</v>
      </c>
      <c r="AJ1409">
        <v>88.731958125231401</v>
      </c>
      <c r="AK1409">
        <v>28.546426336032201</v>
      </c>
    </row>
    <row r="1410" spans="1:37" x14ac:dyDescent="0.2">
      <c r="A1410" t="str">
        <f>"20200111150616319"</f>
        <v>20200111150616319</v>
      </c>
      <c r="B1410" t="str">
        <f>"1578726376307904"</f>
        <v>1578726376307904</v>
      </c>
      <c r="C1410" t="s">
        <v>37</v>
      </c>
      <c r="D1410">
        <v>4.6007099999999896</v>
      </c>
      <c r="E1410">
        <v>0.48306099999999902</v>
      </c>
      <c r="F1410" t="s">
        <v>39</v>
      </c>
      <c r="G1410">
        <v>-334.74740000000003</v>
      </c>
      <c r="H1410" s="1">
        <v>-2.66290099999999E-6</v>
      </c>
      <c r="I1410">
        <v>140.36600000000001</v>
      </c>
      <c r="J1410">
        <v>-319.30099999999999</v>
      </c>
      <c r="K1410">
        <v>1.1032150000000001</v>
      </c>
      <c r="L1410">
        <v>141.5933</v>
      </c>
      <c r="M1410">
        <v>-0.99977939999999998</v>
      </c>
      <c r="N1410">
        <v>0</v>
      </c>
      <c r="O1410">
        <v>-1.8150570000000001E-2</v>
      </c>
      <c r="P1410">
        <v>-0.98488500000000001</v>
      </c>
      <c r="Q1410">
        <v>0.1693886</v>
      </c>
      <c r="R1410">
        <v>-3.6181249999999998E-2</v>
      </c>
      <c r="S1410">
        <v>-3.0746150000000001</v>
      </c>
      <c r="T1410">
        <v>-0.21359</v>
      </c>
      <c r="U1410">
        <v>-0.23913570000000001</v>
      </c>
      <c r="V1410">
        <v>-1.8383839999999999E-2</v>
      </c>
      <c r="W1410">
        <v>0.17979249999999999</v>
      </c>
      <c r="X1410">
        <v>0.98353279999999998</v>
      </c>
      <c r="Y1410">
        <v>-5.9334930000000001E-2</v>
      </c>
      <c r="Z1410">
        <v>-7.9810479999999995E-4</v>
      </c>
      <c r="AA1410">
        <v>0.99823779999999995</v>
      </c>
      <c r="AB1410">
        <v>43</v>
      </c>
      <c r="AC1410">
        <v>-15.446400000000001</v>
      </c>
      <c r="AD1410">
        <v>-1.103217662901</v>
      </c>
      <c r="AE1410">
        <v>-1.2272999999999801</v>
      </c>
      <c r="AF1410">
        <v>-0.94194631054449096</v>
      </c>
      <c r="AG1410">
        <v>-1.103217662901</v>
      </c>
      <c r="AH1410">
        <v>15.388127939056099</v>
      </c>
      <c r="AI1410">
        <v>94.093042677646196</v>
      </c>
      <c r="AJ1410">
        <v>93.502849207600093</v>
      </c>
      <c r="AK1410">
        <v>15.4563525300261</v>
      </c>
    </row>
    <row r="1411" spans="1:37" x14ac:dyDescent="0.2">
      <c r="A1411" t="str">
        <f>"20200111150616341"</f>
        <v>20200111150616341</v>
      </c>
      <c r="B1411" t="str">
        <f>"1578726376338160"</f>
        <v>1578726376338160</v>
      </c>
      <c r="C1411" t="s">
        <v>37</v>
      </c>
      <c r="D1411">
        <v>4.5588360000000003</v>
      </c>
      <c r="E1411">
        <v>0.48127159999999902</v>
      </c>
      <c r="F1411" t="s">
        <v>39</v>
      </c>
      <c r="G1411">
        <v>-334.00569999999999</v>
      </c>
      <c r="H1411" s="1">
        <v>-3.0253029999999999E-6</v>
      </c>
      <c r="I1411">
        <v>140.41040000000001</v>
      </c>
      <c r="J1411">
        <v>-319.7208</v>
      </c>
      <c r="K1411">
        <v>1.1031869999999999</v>
      </c>
      <c r="L1411">
        <v>141.5856</v>
      </c>
      <c r="M1411">
        <v>-0.99977749999999999</v>
      </c>
      <c r="N1411">
        <v>0</v>
      </c>
      <c r="O1411">
        <v>-1.8254670000000001E-2</v>
      </c>
      <c r="P1411">
        <v>-0.98491689999999998</v>
      </c>
      <c r="Q1411">
        <v>0.16933960000000001</v>
      </c>
      <c r="R1411">
        <v>-3.5542160000000003E-2</v>
      </c>
      <c r="S1411">
        <v>-3.07666</v>
      </c>
      <c r="T1411">
        <v>-0.23082520000000001</v>
      </c>
      <c r="U1411">
        <v>-0.24749760000000001</v>
      </c>
      <c r="V1411">
        <v>-1.763031E-2</v>
      </c>
      <c r="W1411">
        <v>0.17975070000000001</v>
      </c>
      <c r="X1411">
        <v>0.98355419999999905</v>
      </c>
      <c r="Y1411">
        <v>-6.1852579999999997E-2</v>
      </c>
      <c r="Z1411">
        <v>-9.4805490000000002E-4</v>
      </c>
      <c r="AA1411">
        <v>0.99808479999999999</v>
      </c>
      <c r="AB1411">
        <v>43</v>
      </c>
      <c r="AC1411">
        <v>-14.284899999999899</v>
      </c>
      <c r="AD1411">
        <v>-1.103190025303</v>
      </c>
      <c r="AE1411">
        <v>-1.17519999999998</v>
      </c>
      <c r="AF1411">
        <v>-0.90883946487211198</v>
      </c>
      <c r="AG1411">
        <v>-1.103190025303</v>
      </c>
      <c r="AH1411">
        <v>14.2197354736136</v>
      </c>
      <c r="AI1411">
        <v>94.427215559308095</v>
      </c>
      <c r="AJ1411">
        <v>93.657025370139905</v>
      </c>
      <c r="AK1411">
        <v>14.2913923165094</v>
      </c>
    </row>
    <row r="1412" spans="1:37" x14ac:dyDescent="0.2">
      <c r="A1412" t="str">
        <f>"20200111150616362"</f>
        <v>20200111150616362</v>
      </c>
      <c r="B1412" t="str">
        <f>"1578726376357680"</f>
        <v>1578726376357680</v>
      </c>
      <c r="C1412" t="s">
        <v>37</v>
      </c>
      <c r="D1412">
        <v>4.6099290000000002</v>
      </c>
      <c r="E1412">
        <v>0.48051279999999902</v>
      </c>
      <c r="F1412" t="s">
        <v>39</v>
      </c>
      <c r="G1412">
        <v>-334.1497</v>
      </c>
      <c r="H1412" s="1">
        <v>-2.9451200000000001E-6</v>
      </c>
      <c r="I1412">
        <v>140.36490000000001</v>
      </c>
      <c r="J1412">
        <v>-320.12970000000001</v>
      </c>
      <c r="K1412">
        <v>1.1031569999999999</v>
      </c>
      <c r="L1412">
        <v>141.57810000000001</v>
      </c>
      <c r="M1412">
        <v>-0.99977609999999995</v>
      </c>
      <c r="N1412">
        <v>0</v>
      </c>
      <c r="O1412">
        <v>-1.8327900000000001E-2</v>
      </c>
      <c r="P1412">
        <v>-0.98486130000000005</v>
      </c>
      <c r="Q1412">
        <v>0.16947490000000001</v>
      </c>
      <c r="R1412">
        <v>-3.6425140000000002E-2</v>
      </c>
      <c r="S1412">
        <v>-3.0769959999999998</v>
      </c>
      <c r="T1412">
        <v>-0.23525660000000001</v>
      </c>
      <c r="U1412">
        <v>-0.26031490000000002</v>
      </c>
      <c r="V1412">
        <v>-1.843086E-2</v>
      </c>
      <c r="W1412">
        <v>0.17989140000000001</v>
      </c>
      <c r="X1412">
        <v>0.98351379999999999</v>
      </c>
      <c r="Y1412">
        <v>-6.5883609999999995E-2</v>
      </c>
      <c r="Z1412">
        <v>-1.1139710000000001E-3</v>
      </c>
      <c r="AA1412">
        <v>0.99782669999999996</v>
      </c>
      <c r="AB1412">
        <v>43</v>
      </c>
      <c r="AC1412">
        <v>-14.0199999999999</v>
      </c>
      <c r="AD1412">
        <v>-1.10315994512</v>
      </c>
      <c r="AE1412">
        <v>-1.2132000000000001</v>
      </c>
      <c r="AF1412">
        <v>-0.95018552043287496</v>
      </c>
      <c r="AG1412">
        <v>-1.10315994512</v>
      </c>
      <c r="AH1412">
        <v>13.9541295407366</v>
      </c>
      <c r="AI1412">
        <v>94.509783295870093</v>
      </c>
      <c r="AJ1412">
        <v>93.895456870463605</v>
      </c>
      <c r="AK1412">
        <v>14.0298804566331</v>
      </c>
    </row>
    <row r="1413" spans="1:37" x14ac:dyDescent="0.2">
      <c r="A1413" t="str">
        <f>"20200111150616385"</f>
        <v>20200111150616385</v>
      </c>
      <c r="B1413" t="str">
        <f>"1578726376378177"</f>
        <v>1578726376378177</v>
      </c>
      <c r="C1413" t="s">
        <v>37</v>
      </c>
      <c r="D1413">
        <v>4.6433739999999997</v>
      </c>
      <c r="E1413">
        <v>0.479962</v>
      </c>
      <c r="F1413" t="s">
        <v>39</v>
      </c>
      <c r="G1413">
        <v>-334.3048</v>
      </c>
      <c r="H1413" s="1">
        <v>-2.8655229999999999E-6</v>
      </c>
      <c r="I1413">
        <v>140.34119999999999</v>
      </c>
      <c r="J1413">
        <v>-320.58199999999999</v>
      </c>
      <c r="K1413">
        <v>1.1031260000000001</v>
      </c>
      <c r="L1413">
        <v>141.56979999999999</v>
      </c>
      <c r="M1413">
        <v>-0.99977510000000003</v>
      </c>
      <c r="N1413">
        <v>0</v>
      </c>
      <c r="O1413">
        <v>-1.8383110000000001E-2</v>
      </c>
      <c r="P1413">
        <v>-0.98478480000000002</v>
      </c>
      <c r="Q1413">
        <v>0.16957039999999901</v>
      </c>
      <c r="R1413">
        <v>-3.8017049999999997E-2</v>
      </c>
      <c r="S1413">
        <v>-3.077423</v>
      </c>
      <c r="T1413">
        <v>-0.2394965</v>
      </c>
      <c r="U1413">
        <v>-0.26852419999999999</v>
      </c>
      <c r="V1413">
        <v>-1.9956979999999999E-2</v>
      </c>
      <c r="W1413">
        <v>0.17999370000000001</v>
      </c>
      <c r="X1413">
        <v>0.98346529999999999</v>
      </c>
      <c r="Y1413">
        <v>-6.8446469999999995E-2</v>
      </c>
      <c r="Z1413">
        <v>-1.228818E-3</v>
      </c>
      <c r="AA1413">
        <v>0.99765400000000004</v>
      </c>
      <c r="AB1413">
        <v>43</v>
      </c>
      <c r="AC1413">
        <v>-13.722799999999999</v>
      </c>
      <c r="AD1413">
        <v>-1.103128865523</v>
      </c>
      <c r="AE1413">
        <v>-1.2285999999999999</v>
      </c>
      <c r="AF1413">
        <v>-0.96989290603878497</v>
      </c>
      <c r="AG1413">
        <v>-1.103128865523</v>
      </c>
      <c r="AH1413">
        <v>13.6555272188094</v>
      </c>
      <c r="AI1413">
        <v>94.606917106495004</v>
      </c>
      <c r="AJ1413">
        <v>94.062648485934503</v>
      </c>
      <c r="AK1413">
        <v>13.7343004615007</v>
      </c>
    </row>
    <row r="1414" spans="1:37" x14ac:dyDescent="0.2">
      <c r="A1414" t="str">
        <f>"20200111150616408"</f>
        <v>20200111150616408</v>
      </c>
      <c r="B1414" t="str">
        <f>"1578726376397697"</f>
        <v>1578726376397697</v>
      </c>
      <c r="C1414" t="s">
        <v>37</v>
      </c>
      <c r="D1414">
        <v>4.5613619999999999</v>
      </c>
      <c r="E1414">
        <v>0.47944409999999998</v>
      </c>
      <c r="F1414" t="s">
        <v>39</v>
      </c>
      <c r="G1414">
        <v>-334.84350000000001</v>
      </c>
      <c r="H1414" s="1">
        <v>-2.5948959999999998E-6</v>
      </c>
      <c r="I1414">
        <v>140.28120000000001</v>
      </c>
      <c r="J1414">
        <v>-321.01479999999998</v>
      </c>
      <c r="K1414">
        <v>1.103102</v>
      </c>
      <c r="L1414">
        <v>141.56180000000001</v>
      </c>
      <c r="M1414">
        <v>-0.9997743</v>
      </c>
      <c r="N1414">
        <v>0</v>
      </c>
      <c r="O1414">
        <v>-1.8417389999999999E-2</v>
      </c>
      <c r="P1414">
        <v>-0.98473630000000001</v>
      </c>
      <c r="Q1414">
        <v>0.1696346</v>
      </c>
      <c r="R1414">
        <v>-3.8970850000000001E-2</v>
      </c>
      <c r="S1414">
        <v>-3.0765989999999999</v>
      </c>
      <c r="T1414">
        <v>-0.23797509999999999</v>
      </c>
      <c r="U1414">
        <v>-0.27798459999999903</v>
      </c>
      <c r="V1414">
        <v>-2.0866929999999999E-2</v>
      </c>
      <c r="W1414">
        <v>0.18006449999999999</v>
      </c>
      <c r="X1414">
        <v>0.98343340000000001</v>
      </c>
      <c r="Y1414">
        <v>-7.147183E-2</v>
      </c>
      <c r="Z1414">
        <v>-1.335159E-3</v>
      </c>
      <c r="AA1414">
        <v>0.99744169999999999</v>
      </c>
      <c r="AB1414">
        <v>43</v>
      </c>
      <c r="AC1414">
        <v>-13.8287</v>
      </c>
      <c r="AD1414">
        <v>-1.1031045948960001</v>
      </c>
      <c r="AE1414">
        <v>-1.28059999999999</v>
      </c>
      <c r="AF1414">
        <v>-1.0192494535997001</v>
      </c>
      <c r="AG1414">
        <v>-1.1031045948960001</v>
      </c>
      <c r="AH1414">
        <v>13.763109027381001</v>
      </c>
      <c r="AI1414">
        <v>94.569963966085993</v>
      </c>
      <c r="AJ1414">
        <v>94.235400700233996</v>
      </c>
      <c r="AK1414">
        <v>13.844814166160599</v>
      </c>
    </row>
    <row r="1415" spans="1:37" x14ac:dyDescent="0.2">
      <c r="A1415" t="str">
        <f>"20200111150616428"</f>
        <v>20200111150616428</v>
      </c>
      <c r="B1415" t="str">
        <f>"1578726376418192"</f>
        <v>1578726376418192</v>
      </c>
      <c r="C1415" t="s">
        <v>37</v>
      </c>
      <c r="D1415">
        <v>4.5703309999999897</v>
      </c>
      <c r="E1415">
        <v>0.4788983</v>
      </c>
      <c r="F1415" t="s">
        <v>39</v>
      </c>
      <c r="G1415">
        <v>-335.28289999999998</v>
      </c>
      <c r="H1415" s="1">
        <v>-2.3755859999999998E-6</v>
      </c>
      <c r="I1415">
        <v>140.23759999999999</v>
      </c>
      <c r="J1415">
        <v>-321.41879999999998</v>
      </c>
      <c r="K1415">
        <v>1.1030850000000001</v>
      </c>
      <c r="L1415">
        <v>141.55430000000001</v>
      </c>
      <c r="M1415">
        <v>-0.99977399999999905</v>
      </c>
      <c r="N1415">
        <v>0</v>
      </c>
      <c r="O1415">
        <v>-1.8436009999999999E-2</v>
      </c>
      <c r="P1415">
        <v>-0.98483080000000001</v>
      </c>
      <c r="Q1415">
        <v>0.16893259999999999</v>
      </c>
      <c r="R1415">
        <v>-3.9628030000000002E-2</v>
      </c>
      <c r="S1415">
        <v>-3.0761720000000001</v>
      </c>
      <c r="T1415">
        <v>-0.23782710000000001</v>
      </c>
      <c r="U1415">
        <v>-0.28549190000000002</v>
      </c>
      <c r="V1415">
        <v>-2.1495730000000001E-2</v>
      </c>
      <c r="W1415">
        <v>0.17936930000000001</v>
      </c>
      <c r="X1415">
        <v>0.9835469</v>
      </c>
      <c r="Y1415">
        <v>-7.387262E-2</v>
      </c>
      <c r="Z1415">
        <v>-1.425412E-3</v>
      </c>
      <c r="AA1415">
        <v>0.99726669999999995</v>
      </c>
      <c r="AB1415">
        <v>43</v>
      </c>
      <c r="AC1415">
        <v>-13.864100000000001</v>
      </c>
      <c r="AD1415">
        <v>-1.103087375586</v>
      </c>
      <c r="AE1415">
        <v>-1.31670000000002</v>
      </c>
      <c r="AF1415">
        <v>-1.0542489417943499</v>
      </c>
      <c r="AG1415">
        <v>-1.103087375586</v>
      </c>
      <c r="AH1415">
        <v>13.799443303982599</v>
      </c>
      <c r="AI1415">
        <v>94.557116222762701</v>
      </c>
      <c r="AJ1415">
        <v>94.368792604272301</v>
      </c>
      <c r="AK1415">
        <v>13.883547028381599</v>
      </c>
    </row>
    <row r="1416" spans="1:37" x14ac:dyDescent="0.2">
      <c r="A1416" t="str">
        <f>"20200111150616451"</f>
        <v>20200111150616451</v>
      </c>
      <c r="B1416" t="str">
        <f>"1578726376447472"</f>
        <v>1578726376447472</v>
      </c>
      <c r="C1416" t="s">
        <v>37</v>
      </c>
      <c r="D1416">
        <v>4.5464779999999996</v>
      </c>
      <c r="E1416">
        <v>0.47851509999999903</v>
      </c>
      <c r="F1416" t="s">
        <v>39</v>
      </c>
      <c r="G1416">
        <v>-335.45339999999999</v>
      </c>
      <c r="H1416" s="1">
        <v>-2.2912549999999998E-6</v>
      </c>
      <c r="I1416">
        <v>140.2236</v>
      </c>
      <c r="J1416">
        <v>-321.84410000000003</v>
      </c>
      <c r="K1416">
        <v>1.1030679999999999</v>
      </c>
      <c r="L1416">
        <v>141.54650000000001</v>
      </c>
      <c r="M1416">
        <v>-0.99977380000000005</v>
      </c>
      <c r="N1416">
        <v>0</v>
      </c>
      <c r="O1416">
        <v>-1.8438039999999999E-2</v>
      </c>
      <c r="P1416">
        <v>-0.98487639999999999</v>
      </c>
      <c r="Q1416">
        <v>0.1685219</v>
      </c>
      <c r="R1416">
        <v>-4.0236479999999998E-2</v>
      </c>
      <c r="S1416">
        <v>-3.07592799999999</v>
      </c>
      <c r="T1416">
        <v>-0.24176010000000001</v>
      </c>
      <c r="U1416">
        <v>-0.29165649999999999</v>
      </c>
      <c r="V1416">
        <v>-2.2092529999999999E-2</v>
      </c>
      <c r="W1416">
        <v>0.17896589999999901</v>
      </c>
      <c r="X1416">
        <v>0.98360720000000001</v>
      </c>
      <c r="Y1416">
        <v>-7.584747E-2</v>
      </c>
      <c r="Z1416">
        <v>-1.5260569999999999E-3</v>
      </c>
      <c r="AA1416">
        <v>0.99711819999999896</v>
      </c>
      <c r="AB1416">
        <v>43</v>
      </c>
      <c r="AC1416">
        <v>-13.6092999999999</v>
      </c>
      <c r="AD1416">
        <v>-1.1030702912549999</v>
      </c>
      <c r="AE1416">
        <v>-1.3229</v>
      </c>
      <c r="AF1416">
        <v>-1.06480238828547</v>
      </c>
      <c r="AG1416">
        <v>-1.1030702912549999</v>
      </c>
      <c r="AH1416">
        <v>13.5432392883395</v>
      </c>
      <c r="AI1416">
        <v>94.6420881663595</v>
      </c>
      <c r="AJ1416">
        <v>94.4954857282885</v>
      </c>
      <c r="AK1416">
        <v>13.629743160264301</v>
      </c>
    </row>
    <row r="1417" spans="1:37" x14ac:dyDescent="0.2">
      <c r="A1417" t="str">
        <f>"20200111150616475"</f>
        <v>20200111150616475</v>
      </c>
      <c r="B1417" t="str">
        <f>"1578726376467969"</f>
        <v>1578726376467969</v>
      </c>
      <c r="C1417" t="s">
        <v>37</v>
      </c>
      <c r="D1417">
        <v>4.5993490000000001</v>
      </c>
      <c r="E1417">
        <v>0.47825499999999999</v>
      </c>
      <c r="F1417" t="s">
        <v>39</v>
      </c>
      <c r="G1417">
        <v>-335.7534</v>
      </c>
      <c r="H1417" s="1">
        <v>-2.145774E-6</v>
      </c>
      <c r="I1417">
        <v>140.2098</v>
      </c>
      <c r="J1417">
        <v>-322.29660000000001</v>
      </c>
      <c r="K1417">
        <v>1.1030450000000001</v>
      </c>
      <c r="L1417">
        <v>141.53809999999999</v>
      </c>
      <c r="M1417">
        <v>-0.99977419999999995</v>
      </c>
      <c r="N1417">
        <v>0</v>
      </c>
      <c r="O1417">
        <v>-1.8411509999999999E-2</v>
      </c>
      <c r="P1417">
        <v>-0.98472119999999996</v>
      </c>
      <c r="Q1417">
        <v>0.1694572</v>
      </c>
      <c r="R1417">
        <v>-4.0109399999999899E-2</v>
      </c>
      <c r="S1417">
        <v>-3.0757750000000001</v>
      </c>
      <c r="T1417">
        <v>-0.2439228</v>
      </c>
      <c r="U1417">
        <v>-0.29557800000000001</v>
      </c>
      <c r="V1417">
        <v>-2.1982689999999999E-2</v>
      </c>
      <c r="W1417">
        <v>0.1799074</v>
      </c>
      <c r="X1417">
        <v>0.98343789999999998</v>
      </c>
      <c r="Y1417">
        <v>-7.7131089999999999E-2</v>
      </c>
      <c r="Z1417">
        <v>-1.59245E-3</v>
      </c>
      <c r="AA1417">
        <v>0.99701969999999995</v>
      </c>
      <c r="AB1417">
        <v>43</v>
      </c>
      <c r="AC1417">
        <v>-13.4567999999999</v>
      </c>
      <c r="AD1417">
        <v>-1.1030471457740001</v>
      </c>
      <c r="AE1417">
        <v>-1.3282999999999801</v>
      </c>
      <c r="AF1417">
        <v>-1.0731598833481699</v>
      </c>
      <c r="AG1417">
        <v>-1.1030471457740001</v>
      </c>
      <c r="AH1417">
        <v>13.389877665375</v>
      </c>
      <c r="AI1417">
        <v>94.694359988758904</v>
      </c>
      <c r="AJ1417">
        <v>94.5822958548342</v>
      </c>
      <c r="AK1417">
        <v>13.4780268969436</v>
      </c>
    </row>
    <row r="1418" spans="1:37" x14ac:dyDescent="0.2">
      <c r="A1418" t="str">
        <f>"20200111150616497"</f>
        <v>20200111150616497</v>
      </c>
      <c r="B1418" t="str">
        <f>"1578726376487488"</f>
        <v>1578726376487488</v>
      </c>
      <c r="C1418" t="s">
        <v>37</v>
      </c>
      <c r="D1418">
        <v>4.8532269999999897</v>
      </c>
      <c r="E1418">
        <v>0.4783385</v>
      </c>
      <c r="F1418" t="s">
        <v>39</v>
      </c>
      <c r="G1418">
        <v>-336.2552</v>
      </c>
      <c r="H1418" s="1">
        <v>-1.9036949999999999E-6</v>
      </c>
      <c r="I1418">
        <v>140.19149999999999</v>
      </c>
      <c r="J1418">
        <v>-322.74279999999999</v>
      </c>
      <c r="K1418">
        <v>1.103016</v>
      </c>
      <c r="L1418">
        <v>141.53</v>
      </c>
      <c r="M1418">
        <v>-0.99977510000000003</v>
      </c>
      <c r="N1418">
        <v>0</v>
      </c>
      <c r="O1418">
        <v>-1.83525999999999E-2</v>
      </c>
      <c r="P1418">
        <v>-0.98464300000000005</v>
      </c>
      <c r="Q1418">
        <v>0.1700006</v>
      </c>
      <c r="R1418">
        <v>-3.9723719999999997E-2</v>
      </c>
      <c r="S1418">
        <v>-3.0762939999999999</v>
      </c>
      <c r="T1418">
        <v>-0.2430966</v>
      </c>
      <c r="U1418">
        <v>-0.29678339999999998</v>
      </c>
      <c r="V1418">
        <v>-2.1643309999999999E-2</v>
      </c>
      <c r="W1418">
        <v>0.18045710000000001</v>
      </c>
      <c r="X1418">
        <v>0.98334469999999996</v>
      </c>
      <c r="Y1418">
        <v>-7.7560699999999996E-2</v>
      </c>
      <c r="Z1418">
        <v>-1.6083229999999901E-3</v>
      </c>
      <c r="AA1418">
        <v>0.99698629999999999</v>
      </c>
      <c r="AB1418">
        <v>43</v>
      </c>
      <c r="AC1418">
        <v>-13.5124</v>
      </c>
      <c r="AD1418">
        <v>-1.1030179036950001</v>
      </c>
      <c r="AE1418">
        <v>-1.33850000000001</v>
      </c>
      <c r="AF1418">
        <v>-1.08312562495427</v>
      </c>
      <c r="AG1418">
        <v>-1.1030179036950001</v>
      </c>
      <c r="AH1418">
        <v>13.4459641782285</v>
      </c>
      <c r="AI1418">
        <v>94.674591047949406</v>
      </c>
      <c r="AJ1418">
        <v>94.605457445764799</v>
      </c>
      <c r="AK1418">
        <v>13.534539604194499</v>
      </c>
    </row>
    <row r="1419" spans="1:37" x14ac:dyDescent="0.2">
      <c r="A1419" t="str">
        <f>"20200111150616518"</f>
        <v>20200111150616518</v>
      </c>
      <c r="B1419" t="str">
        <f>"1578726376507985"</f>
        <v>1578726376507985</v>
      </c>
      <c r="C1419" t="s">
        <v>37</v>
      </c>
      <c r="D1419">
        <v>4.5806690000000003</v>
      </c>
      <c r="E1419">
        <v>0.47805940000000002</v>
      </c>
      <c r="F1419" t="s">
        <v>39</v>
      </c>
      <c r="G1419">
        <v>-336.84410000000003</v>
      </c>
      <c r="H1419" s="1">
        <v>-1.6204239999999901E-6</v>
      </c>
      <c r="I1419">
        <v>140.173</v>
      </c>
      <c r="J1419">
        <v>-323.14749999999998</v>
      </c>
      <c r="K1419">
        <v>1.1029850000000001</v>
      </c>
      <c r="L1419">
        <v>141.52260000000001</v>
      </c>
      <c r="M1419">
        <v>-0.99977649999999996</v>
      </c>
      <c r="N1419">
        <v>0</v>
      </c>
      <c r="O1419">
        <v>-1.827523E-2</v>
      </c>
      <c r="P1419">
        <v>-0.98458769999999995</v>
      </c>
      <c r="Q1419">
        <v>0.1703846</v>
      </c>
      <c r="R1419">
        <v>-3.9453410000000001E-2</v>
      </c>
      <c r="S1419">
        <v>-3.0763849999999899</v>
      </c>
      <c r="T1419">
        <v>-0.24063779999999901</v>
      </c>
      <c r="U1419">
        <v>-0.29603579999999902</v>
      </c>
      <c r="V1419">
        <v>-2.143637E-2</v>
      </c>
      <c r="W1419">
        <v>0.180847799999999</v>
      </c>
      <c r="X1419">
        <v>0.98327739999999997</v>
      </c>
      <c r="Y1419">
        <v>-7.7398880000000003E-2</v>
      </c>
      <c r="Z1419">
        <v>-1.591797E-3</v>
      </c>
      <c r="AA1419">
        <v>0.99699899999999997</v>
      </c>
      <c r="AB1419">
        <v>43</v>
      </c>
      <c r="AC1419">
        <v>-13.6966</v>
      </c>
      <c r="AD1419">
        <v>-1.102986620424</v>
      </c>
      <c r="AE1419">
        <v>-1.3495999999999999</v>
      </c>
      <c r="AF1419">
        <v>-1.0920380798583</v>
      </c>
      <c r="AG1419">
        <v>-1.102986620424</v>
      </c>
      <c r="AH1419">
        <v>13.631427205843099</v>
      </c>
      <c r="AI1419">
        <v>94.611298662286799</v>
      </c>
      <c r="AJ1419">
        <v>94.580285759300295</v>
      </c>
      <c r="AK1419">
        <v>13.7195092594777</v>
      </c>
    </row>
    <row r="1420" spans="1:37" x14ac:dyDescent="0.2">
      <c r="A1420" t="str">
        <f>"20200111150616541"</f>
        <v>20200111150616541</v>
      </c>
      <c r="B1420" t="str">
        <f>"1578726376538241"</f>
        <v>1578726376538241</v>
      </c>
      <c r="C1420" t="s">
        <v>37</v>
      </c>
      <c r="D1420">
        <v>4.5229039999999996</v>
      </c>
      <c r="E1420">
        <v>0.47767510000000002</v>
      </c>
      <c r="F1420" t="s">
        <v>39</v>
      </c>
      <c r="G1420">
        <v>-337.31189999999998</v>
      </c>
      <c r="H1420" s="1">
        <v>-1.3941379999999999E-6</v>
      </c>
      <c r="I1420">
        <v>140.15369999999999</v>
      </c>
      <c r="J1420">
        <v>-323.56909999999999</v>
      </c>
      <c r="K1420">
        <v>1.1029530000000001</v>
      </c>
      <c r="L1420">
        <v>141.51499999999999</v>
      </c>
      <c r="M1420">
        <v>-0.99977850000000001</v>
      </c>
      <c r="N1420">
        <v>0</v>
      </c>
      <c r="O1420">
        <v>-1.8165400000000002E-2</v>
      </c>
      <c r="P1420">
        <v>-0.984513999999999</v>
      </c>
      <c r="Q1420">
        <v>0.170795</v>
      </c>
      <c r="R1420">
        <v>-3.951752E-2</v>
      </c>
      <c r="S1420">
        <v>-3.0765380000000002</v>
      </c>
      <c r="T1420">
        <v>-0.23957149999999999</v>
      </c>
      <c r="U1420">
        <v>-0.29733280000000001</v>
      </c>
      <c r="V1420">
        <v>-2.15955E-2</v>
      </c>
      <c r="W1420">
        <v>0.1812647</v>
      </c>
      <c r="X1420">
        <v>0.98319719999999999</v>
      </c>
      <c r="Y1420">
        <v>-7.7919849999999999E-2</v>
      </c>
      <c r="Z1420">
        <v>-1.6133789999999901E-3</v>
      </c>
      <c r="AA1420">
        <v>0.99695829999999996</v>
      </c>
      <c r="AB1420">
        <v>43</v>
      </c>
      <c r="AC1420">
        <v>-13.7427999999999</v>
      </c>
      <c r="AD1420">
        <v>-1.102954394138</v>
      </c>
      <c r="AE1420">
        <v>-1.3613</v>
      </c>
      <c r="AF1420">
        <v>-1.1043734561832499</v>
      </c>
      <c r="AG1420">
        <v>-1.102954394138</v>
      </c>
      <c r="AH1420">
        <v>13.678015732881899</v>
      </c>
      <c r="AI1420">
        <v>94.595295888669497</v>
      </c>
      <c r="AJ1420">
        <v>94.616091580565495</v>
      </c>
      <c r="AK1420">
        <v>13.766781160287101</v>
      </c>
    </row>
    <row r="1421" spans="1:37" x14ac:dyDescent="0.2">
      <c r="A1421" t="str">
        <f>"20200111150616563"</f>
        <v>20200111150616563</v>
      </c>
      <c r="B1421" t="str">
        <f>"1578726376557760"</f>
        <v>1578726376557760</v>
      </c>
      <c r="C1421" t="s">
        <v>37</v>
      </c>
      <c r="D1421">
        <v>4.5694720000000002</v>
      </c>
      <c r="E1421">
        <v>0.47742370000000001</v>
      </c>
      <c r="F1421" t="s">
        <v>39</v>
      </c>
      <c r="G1421">
        <v>-337.83620000000002</v>
      </c>
      <c r="H1421" s="1">
        <v>-1.13775E-6</v>
      </c>
      <c r="I1421">
        <v>140.1215</v>
      </c>
      <c r="J1421">
        <v>-324.00830000000002</v>
      </c>
      <c r="K1421">
        <v>1.1029169999999999</v>
      </c>
      <c r="L1421">
        <v>141.50710000000001</v>
      </c>
      <c r="M1421">
        <v>-0.99978109999999998</v>
      </c>
      <c r="N1421">
        <v>0</v>
      </c>
      <c r="O1421">
        <v>-1.801751E-2</v>
      </c>
      <c r="P1421">
        <v>-0.98443740000000002</v>
      </c>
      <c r="Q1421">
        <v>0.1714407</v>
      </c>
      <c r="R1421">
        <v>-3.8616490000000003E-2</v>
      </c>
      <c r="S1421">
        <v>-3.076355</v>
      </c>
      <c r="T1421">
        <v>-0.2378256</v>
      </c>
      <c r="U1421">
        <v>-0.30046079999999997</v>
      </c>
      <c r="V1421">
        <v>-2.0825949999999999E-2</v>
      </c>
      <c r="W1421">
        <v>0.18191650000000001</v>
      </c>
      <c r="X1421">
        <v>0.98309340000000001</v>
      </c>
      <c r="Y1421">
        <v>-7.9075909999999999E-2</v>
      </c>
      <c r="Z1421">
        <v>-1.657572E-3</v>
      </c>
      <c r="AA1421">
        <v>0.99686719999999895</v>
      </c>
      <c r="AB1421">
        <v>43</v>
      </c>
      <c r="AC1421">
        <v>-13.8279</v>
      </c>
      <c r="AD1421">
        <v>-1.1029181377499999</v>
      </c>
      <c r="AE1421">
        <v>-1.3856000000000099</v>
      </c>
      <c r="AF1421">
        <v>-1.12910499601936</v>
      </c>
      <c r="AG1421">
        <v>-1.1029181377499999</v>
      </c>
      <c r="AH1421">
        <v>13.763929825635801</v>
      </c>
      <c r="AI1421">
        <v>94.566109094698106</v>
      </c>
      <c r="AJ1421">
        <v>94.689679289600306</v>
      </c>
      <c r="AK1421">
        <v>13.854135510945399</v>
      </c>
    </row>
    <row r="1422" spans="1:37" x14ac:dyDescent="0.2">
      <c r="A1422" t="str">
        <f>"20200111150616586"</f>
        <v>20200111150616586</v>
      </c>
      <c r="B1422" t="str">
        <f>"1578726376578256"</f>
        <v>1578726376578256</v>
      </c>
      <c r="C1422" t="s">
        <v>37</v>
      </c>
      <c r="D1422">
        <v>4.6793110000000002</v>
      </c>
      <c r="E1422">
        <v>0.47708339999999999</v>
      </c>
      <c r="F1422" t="s">
        <v>39</v>
      </c>
      <c r="G1422">
        <v>-338.4581</v>
      </c>
      <c r="H1422" s="1">
        <v>-8.3744139999999996E-7</v>
      </c>
      <c r="I1422">
        <v>140.09780000000001</v>
      </c>
      <c r="J1422">
        <v>-324.45830000000001</v>
      </c>
      <c r="K1422">
        <v>1.1028789999999999</v>
      </c>
      <c r="L1422">
        <v>141.4991</v>
      </c>
      <c r="M1422">
        <v>-0.99978440000000002</v>
      </c>
      <c r="N1422">
        <v>0</v>
      </c>
      <c r="O1422">
        <v>-1.783208E-2</v>
      </c>
      <c r="P1422">
        <v>-0.98445289999999996</v>
      </c>
      <c r="Q1422">
        <v>0.17151949999999999</v>
      </c>
      <c r="R1422">
        <v>-3.7864420000000003E-2</v>
      </c>
      <c r="S1422">
        <v>-3.076508</v>
      </c>
      <c r="T1422">
        <v>-0.23482129999999901</v>
      </c>
      <c r="U1422">
        <v>-0.3000488</v>
      </c>
      <c r="V1422">
        <v>-2.024012E-2</v>
      </c>
      <c r="W1422">
        <v>0.1820032</v>
      </c>
      <c r="X1422">
        <v>0.98308960000000001</v>
      </c>
      <c r="Y1422">
        <v>-7.9127619999999996E-2</v>
      </c>
      <c r="Z1422">
        <v>-1.652681E-3</v>
      </c>
      <c r="AA1422">
        <v>0.996863099999999</v>
      </c>
      <c r="AB1422">
        <v>43</v>
      </c>
      <c r="AC1422">
        <v>-13.999799999999899</v>
      </c>
      <c r="AD1422">
        <v>-1.1028798374413999</v>
      </c>
      <c r="AE1422">
        <v>-1.40129999999999</v>
      </c>
      <c r="AF1422">
        <v>-1.1443858557827</v>
      </c>
      <c r="AG1422">
        <v>-1.1028798374413999</v>
      </c>
      <c r="AH1422">
        <v>13.9369284237395</v>
      </c>
      <c r="AI1422">
        <v>94.509480829598104</v>
      </c>
      <c r="AJ1422">
        <v>94.694126944143704</v>
      </c>
      <c r="AK1422">
        <v>14.0272569239745</v>
      </c>
    </row>
    <row r="1423" spans="1:37" x14ac:dyDescent="0.2">
      <c r="A1423" t="str">
        <f>"20200111150616608"</f>
        <v>20200111150616608</v>
      </c>
      <c r="B1423" t="str">
        <f>"1578726376597776"</f>
        <v>1578726376597776</v>
      </c>
      <c r="C1423" t="s">
        <v>37</v>
      </c>
      <c r="D1423">
        <v>4.6280469999999996</v>
      </c>
      <c r="E1423">
        <v>0.47687579999999902</v>
      </c>
      <c r="F1423" t="s">
        <v>39</v>
      </c>
      <c r="G1423">
        <v>-338.89580000000001</v>
      </c>
      <c r="H1423" s="1">
        <v>-6.2781430000000004E-7</v>
      </c>
      <c r="I1423">
        <v>140.08750000000001</v>
      </c>
      <c r="J1423">
        <v>-324.89120000000003</v>
      </c>
      <c r="K1423">
        <v>1.102846</v>
      </c>
      <c r="L1423">
        <v>141.49160000000001</v>
      </c>
      <c r="M1423">
        <v>-0.99978799999999901</v>
      </c>
      <c r="N1423">
        <v>0</v>
      </c>
      <c r="O1423">
        <v>-1.7627049999999998E-2</v>
      </c>
      <c r="P1423">
        <v>-0.98465000000000003</v>
      </c>
      <c r="Q1423">
        <v>0.17066509999999999</v>
      </c>
      <c r="R1423">
        <v>-3.658206E-2</v>
      </c>
      <c r="S1423">
        <v>-3.0767519999999999</v>
      </c>
      <c r="T1423">
        <v>-0.23503379999999999</v>
      </c>
      <c r="U1423">
        <v>-0.30084229999999901</v>
      </c>
      <c r="V1423">
        <v>-1.9142929999999999E-2</v>
      </c>
      <c r="W1423">
        <v>0.18115729999999999</v>
      </c>
      <c r="X1423">
        <v>0.98326780000000003</v>
      </c>
      <c r="Y1423">
        <v>-7.9576889999999997E-2</v>
      </c>
      <c r="Z1423">
        <v>-1.6867119999999999E-3</v>
      </c>
      <c r="AA1423">
        <v>0.99682729999999997</v>
      </c>
      <c r="AB1423">
        <v>43</v>
      </c>
      <c r="AC1423">
        <v>-14.0045999999999</v>
      </c>
      <c r="AD1423">
        <v>-1.1028466278143001</v>
      </c>
      <c r="AE1423">
        <v>-1.4040999999999899</v>
      </c>
      <c r="AF1423">
        <v>-1.14994775890524</v>
      </c>
      <c r="AG1423">
        <v>-1.1028466278143001</v>
      </c>
      <c r="AH1423">
        <v>13.941578722004</v>
      </c>
      <c r="AI1423">
        <v>94.507711334621902</v>
      </c>
      <c r="AJ1423">
        <v>94.715272244552594</v>
      </c>
      <c r="AK1423">
        <v>14.0323293787784</v>
      </c>
    </row>
    <row r="1424" spans="1:37" x14ac:dyDescent="0.2">
      <c r="A1424" t="str">
        <f>"20200111150616630"</f>
        <v>20200111150616630</v>
      </c>
      <c r="B1424" t="str">
        <f>"1578726376628033"</f>
        <v>1578726376628033</v>
      </c>
      <c r="C1424" t="s">
        <v>37</v>
      </c>
      <c r="D1424">
        <v>4.6550789999999997</v>
      </c>
      <c r="E1424">
        <v>0.47659309999999899</v>
      </c>
      <c r="F1424" t="s">
        <v>39</v>
      </c>
      <c r="G1424">
        <v>-339.14060000000001</v>
      </c>
      <c r="H1424" s="1">
        <v>-5.1655790000000002E-7</v>
      </c>
      <c r="I1424">
        <v>140.10419999999999</v>
      </c>
      <c r="J1424">
        <v>-325.31169999999997</v>
      </c>
      <c r="K1424">
        <v>1.102811</v>
      </c>
      <c r="L1424">
        <v>141.48439999999999</v>
      </c>
      <c r="M1424">
        <v>-0.99979169999999995</v>
      </c>
      <c r="N1424">
        <v>0</v>
      </c>
      <c r="O1424">
        <v>-1.7408960000000001E-2</v>
      </c>
      <c r="P1424">
        <v>-0.98477459999999895</v>
      </c>
      <c r="Q1424">
        <v>0.17009830000000001</v>
      </c>
      <c r="R1424">
        <v>-3.5856590000000001E-2</v>
      </c>
      <c r="S1424">
        <v>-3.0769039999999999</v>
      </c>
      <c r="T1424">
        <v>-0.2381404</v>
      </c>
      <c r="U1424">
        <v>-0.2995758</v>
      </c>
      <c r="V1424">
        <v>-1.861881E-2</v>
      </c>
      <c r="W1424">
        <v>0.18059829999999999</v>
      </c>
      <c r="X1424">
        <v>0.983380699999999</v>
      </c>
      <c r="Y1424">
        <v>-7.9378309999999994E-2</v>
      </c>
      <c r="Z1424">
        <v>-1.7180400000000001E-3</v>
      </c>
      <c r="AA1424">
        <v>0.99684309999999998</v>
      </c>
      <c r="AB1424">
        <v>43</v>
      </c>
      <c r="AC1424">
        <v>-13.828900000000001</v>
      </c>
      <c r="AD1424">
        <v>-1.10281151655789</v>
      </c>
      <c r="AE1424">
        <v>-1.3802000000000001</v>
      </c>
      <c r="AF1424">
        <v>-1.13210171856854</v>
      </c>
      <c r="AG1424">
        <v>-1.10281151655789</v>
      </c>
      <c r="AH1424">
        <v>13.764162510185299</v>
      </c>
      <c r="AI1424">
        <v>94.565512444661195</v>
      </c>
      <c r="AJ1424">
        <v>94.701991152721803</v>
      </c>
      <c r="AK1424">
        <v>13.8546027423751</v>
      </c>
    </row>
    <row r="1425" spans="1:37" x14ac:dyDescent="0.2">
      <c r="A1425" t="str">
        <f>"20200111150616653"</f>
        <v>20200111150616653</v>
      </c>
      <c r="B1425" t="str">
        <f>"1578726376647552"</f>
        <v>1578726376647552</v>
      </c>
      <c r="C1425" t="s">
        <v>37</v>
      </c>
      <c r="D1425">
        <v>4.6994829999999999</v>
      </c>
      <c r="E1425">
        <v>0.47633229999999999</v>
      </c>
      <c r="F1425" t="s">
        <v>39</v>
      </c>
      <c r="G1425">
        <v>-339.3974</v>
      </c>
      <c r="H1425" s="1">
        <v>-3.9714729999999998E-7</v>
      </c>
      <c r="I1425">
        <v>140.11179999999999</v>
      </c>
      <c r="J1425">
        <v>-325.7475</v>
      </c>
      <c r="K1425">
        <v>1.1027910000000001</v>
      </c>
      <c r="L1425">
        <v>141.4769</v>
      </c>
      <c r="M1425">
        <v>-0.99979569999999995</v>
      </c>
      <c r="N1425">
        <v>0</v>
      </c>
      <c r="O1425">
        <v>-1.716935E-2</v>
      </c>
      <c r="P1425">
        <v>-0.98486849999999904</v>
      </c>
      <c r="Q1425">
        <v>0.16962650000000001</v>
      </c>
      <c r="R1425">
        <v>-3.5512259999999997E-2</v>
      </c>
      <c r="S1425">
        <v>-3.0770869999999899</v>
      </c>
      <c r="T1425">
        <v>-0.24091479999999901</v>
      </c>
      <c r="U1425">
        <v>-0.29985050000000002</v>
      </c>
      <c r="V1425">
        <v>-1.8499439999999999E-2</v>
      </c>
      <c r="W1425">
        <v>0.18013399999999999</v>
      </c>
      <c r="X1425">
        <v>0.98346809999999996</v>
      </c>
      <c r="Y1425">
        <v>-7.9693659999999999E-2</v>
      </c>
      <c r="Z1425">
        <v>-1.768861E-3</v>
      </c>
      <c r="AA1425">
        <v>0.99681779999999998</v>
      </c>
      <c r="AB1425">
        <v>43</v>
      </c>
      <c r="AC1425">
        <v>-13.649900000000001</v>
      </c>
      <c r="AD1425">
        <v>-1.1027913971473</v>
      </c>
      <c r="AE1425">
        <v>-1.36510000000001</v>
      </c>
      <c r="AF1425">
        <v>-1.1232663171275401</v>
      </c>
      <c r="AG1425">
        <v>-1.1027913971473</v>
      </c>
      <c r="AH1425">
        <v>13.583542244054099</v>
      </c>
      <c r="AI1425">
        <v>94.625707023845194</v>
      </c>
      <c r="AJ1425">
        <v>94.727214689586305</v>
      </c>
      <c r="AK1425">
        <v>13.6744468254045</v>
      </c>
    </row>
    <row r="1426" spans="1:37" x14ac:dyDescent="0.2">
      <c r="A1426" t="str">
        <f>"20200111150616677"</f>
        <v>20200111150616677</v>
      </c>
      <c r="B1426" t="str">
        <f>"1578726376668048"</f>
        <v>1578726376668048</v>
      </c>
      <c r="C1426" t="s">
        <v>37</v>
      </c>
      <c r="D1426">
        <v>4.6271050000000002</v>
      </c>
      <c r="E1426">
        <v>0.47613220000000001</v>
      </c>
      <c r="F1426" t="s">
        <v>39</v>
      </c>
      <c r="G1426">
        <v>-339.7011</v>
      </c>
      <c r="H1426" s="1">
        <v>-2.5372150000000001E-7</v>
      </c>
      <c r="I1426">
        <v>140.1123</v>
      </c>
      <c r="J1426">
        <v>-326.23590000000002</v>
      </c>
      <c r="K1426">
        <v>1.1027690000000001</v>
      </c>
      <c r="L1426">
        <v>141.46879999999999</v>
      </c>
      <c r="M1426">
        <v>-0.99980049999999898</v>
      </c>
      <c r="N1426">
        <v>0</v>
      </c>
      <c r="O1426">
        <v>-1.6888529999999999E-2</v>
      </c>
      <c r="P1426">
        <v>-0.98484359999999904</v>
      </c>
      <c r="Q1426">
        <v>0.1698983</v>
      </c>
      <c r="R1426">
        <v>-3.4899149999999997E-2</v>
      </c>
      <c r="S1426">
        <v>-3.07714799999999</v>
      </c>
      <c r="T1426">
        <v>-0.24319489999999999</v>
      </c>
      <c r="U1426">
        <v>-0.30094910000000002</v>
      </c>
      <c r="V1426">
        <v>-1.815522E-2</v>
      </c>
      <c r="W1426">
        <v>0.1804125</v>
      </c>
      <c r="X1426">
        <v>0.98342350000000001</v>
      </c>
      <c r="Y1426">
        <v>-8.0317849999999996E-2</v>
      </c>
      <c r="Z1426">
        <v>-1.832151E-3</v>
      </c>
      <c r="AA1426">
        <v>0.99676759999999998</v>
      </c>
      <c r="AB1426">
        <v>43</v>
      </c>
      <c r="AC1426">
        <v>-13.4651999999999</v>
      </c>
      <c r="AD1426">
        <v>-1.1027692537214999</v>
      </c>
      <c r="AE1426">
        <v>-1.3564999999999801</v>
      </c>
      <c r="AF1426">
        <v>-1.1214399501911201</v>
      </c>
      <c r="AG1426">
        <v>-1.1027692537214999</v>
      </c>
      <c r="AH1426">
        <v>13.397234309712999</v>
      </c>
      <c r="AI1426">
        <v>94.689264436373193</v>
      </c>
      <c r="AJ1426">
        <v>94.784892956288303</v>
      </c>
      <c r="AK1426">
        <v>13.489240702804199</v>
      </c>
    </row>
    <row r="1427" spans="1:37" x14ac:dyDescent="0.2">
      <c r="A1427" t="str">
        <f>"20200111150616699"</f>
        <v>20200111150616699</v>
      </c>
      <c r="B1427" t="str">
        <f>"1578726376687568"</f>
        <v>1578726376687568</v>
      </c>
      <c r="C1427" t="s">
        <v>37</v>
      </c>
      <c r="D1427">
        <v>2.8350040000000001</v>
      </c>
      <c r="E1427">
        <v>0.47613220000000001</v>
      </c>
      <c r="F1427" t="s">
        <v>39</v>
      </c>
      <c r="G1427">
        <v>-340.2561</v>
      </c>
      <c r="H1427" s="1">
        <v>-4.2750380000000004E-6</v>
      </c>
      <c r="I1427">
        <v>140.10220000000001</v>
      </c>
      <c r="J1427">
        <v>-326.63850000000002</v>
      </c>
      <c r="K1427">
        <v>1.102759</v>
      </c>
      <c r="L1427">
        <v>141.4622</v>
      </c>
      <c r="M1427">
        <v>-0.99980449999999998</v>
      </c>
      <c r="N1427">
        <v>0</v>
      </c>
      <c r="O1427">
        <v>-1.665285E-2</v>
      </c>
      <c r="P1427">
        <v>-0.98483169999999898</v>
      </c>
      <c r="Q1427">
        <v>0.1700236</v>
      </c>
      <c r="R1427">
        <v>-3.4624380000000003E-2</v>
      </c>
      <c r="S1427">
        <v>-3.0773009999999998</v>
      </c>
      <c r="T1427">
        <v>-0.24204909999999999</v>
      </c>
      <c r="U1427">
        <v>-0.29994199999999999</v>
      </c>
      <c r="V1427">
        <v>-1.810695E-2</v>
      </c>
      <c r="W1427">
        <v>0.18054389999999901</v>
      </c>
      <c r="X1427">
        <v>0.98340019999999995</v>
      </c>
      <c r="Y1427">
        <v>-8.0226339999999993E-2</v>
      </c>
      <c r="Z1427">
        <v>-1.838356E-3</v>
      </c>
      <c r="AA1427">
        <v>0.99677499999999997</v>
      </c>
      <c r="AB1427">
        <v>43</v>
      </c>
      <c r="AC1427">
        <v>-13.6175999999999</v>
      </c>
      <c r="AD1427">
        <v>-1.1027632750380001</v>
      </c>
      <c r="AE1427">
        <v>-1.3599999999999799</v>
      </c>
      <c r="AF1427">
        <v>-1.12571723984188</v>
      </c>
      <c r="AG1427">
        <v>-1.1027632750380001</v>
      </c>
      <c r="AH1427">
        <v>13.550376449458399</v>
      </c>
      <c r="AI1427">
        <v>94.6367161676243</v>
      </c>
      <c r="AJ1427">
        <v>94.749024841833204</v>
      </c>
      <c r="AK1427">
        <v>13.641701802447001</v>
      </c>
    </row>
    <row r="1428" spans="1:37" x14ac:dyDescent="0.2">
      <c r="A1428" t="str">
        <f>"20200111150616719"</f>
        <v>20200111150616719</v>
      </c>
      <c r="B1428" t="str">
        <f>"1578726376708064"</f>
        <v>1578726376708064</v>
      </c>
      <c r="C1428" t="s">
        <v>37</v>
      </c>
      <c r="D1428">
        <v>4.4350680000000002</v>
      </c>
      <c r="E1428">
        <v>0.39804400000000001</v>
      </c>
      <c r="F1428" t="s">
        <v>39</v>
      </c>
      <c r="G1428">
        <v>-340.685</v>
      </c>
      <c r="H1428" s="1">
        <v>-4.1063E-6</v>
      </c>
      <c r="I1428">
        <v>140.09700000000001</v>
      </c>
      <c r="J1428">
        <v>-327.04349999999999</v>
      </c>
      <c r="K1428">
        <v>1.1027480000000001</v>
      </c>
      <c r="L1428">
        <v>141.4556</v>
      </c>
      <c r="M1428">
        <v>-0.99980829999999998</v>
      </c>
      <c r="N1428">
        <v>0</v>
      </c>
      <c r="O1428">
        <v>-1.6413250000000001E-2</v>
      </c>
      <c r="P1428">
        <v>-0.98479240000000001</v>
      </c>
      <c r="Q1428">
        <v>0.170286299999999</v>
      </c>
      <c r="R1428">
        <v>-3.4449760000000003E-2</v>
      </c>
      <c r="S1428">
        <v>-3.0773929999999998</v>
      </c>
      <c r="T1428">
        <v>-0.24160119999999999</v>
      </c>
      <c r="U1428">
        <v>-0.29908750000000001</v>
      </c>
      <c r="V1428">
        <v>-1.816371E-2</v>
      </c>
      <c r="W1428">
        <v>0.1808121</v>
      </c>
      <c r="X1428">
        <v>0.9833499</v>
      </c>
      <c r="Y1428">
        <v>-8.0188270000000006E-2</v>
      </c>
      <c r="Z1428">
        <v>-1.852175E-3</v>
      </c>
      <c r="AA1428">
        <v>0.99677800000000005</v>
      </c>
      <c r="AB1428">
        <v>43</v>
      </c>
      <c r="AC1428">
        <v>-13.641500000000001</v>
      </c>
      <c r="AD1428">
        <v>-1.1027521063000001</v>
      </c>
      <c r="AE1428">
        <v>-1.35859999999999</v>
      </c>
      <c r="AF1428">
        <v>-1.1272091288599799</v>
      </c>
      <c r="AG1428">
        <v>-1.1027521063000001</v>
      </c>
      <c r="AH1428">
        <v>13.5741296344732</v>
      </c>
      <c r="AI1428">
        <v>94.6286045350341</v>
      </c>
      <c r="AJ1428">
        <v>94.747006622970403</v>
      </c>
      <c r="AK1428">
        <v>13.6654183236964</v>
      </c>
    </row>
    <row r="1429" spans="1:37" x14ac:dyDescent="0.2">
      <c r="A1429" t="str">
        <f>"20200111150616742"</f>
        <v>20200111150616742</v>
      </c>
      <c r="B1429" t="str">
        <f>"1578726376738321"</f>
        <v>1578726376738321</v>
      </c>
      <c r="C1429" t="s">
        <v>37</v>
      </c>
      <c r="D1429">
        <v>4.7512819999999998</v>
      </c>
      <c r="E1429">
        <v>0.3940323</v>
      </c>
      <c r="F1429" t="s">
        <v>82</v>
      </c>
      <c r="G1429">
        <v>-397.4212</v>
      </c>
      <c r="H1429">
        <v>1.782586</v>
      </c>
      <c r="I1429">
        <v>119.95189999999999</v>
      </c>
      <c r="J1429">
        <v>-327.47410000000002</v>
      </c>
      <c r="K1429">
        <v>1.102735</v>
      </c>
      <c r="L1429">
        <v>141.4487</v>
      </c>
      <c r="M1429">
        <v>-0.99981249999999999</v>
      </c>
      <c r="N1429">
        <v>0</v>
      </c>
      <c r="O1429">
        <v>-1.6157930000000001E-2</v>
      </c>
      <c r="P1429">
        <v>-0.98480900000000005</v>
      </c>
      <c r="Q1429">
        <v>0.17030809999999999</v>
      </c>
      <c r="R1429">
        <v>-3.3864659999999998E-2</v>
      </c>
      <c r="S1429">
        <v>-3.0090939999999899</v>
      </c>
      <c r="T1429">
        <v>2.9067519999999999E-2</v>
      </c>
      <c r="U1429">
        <v>-0.91941830000000002</v>
      </c>
      <c r="V1429">
        <v>-1.7825540000000001E-2</v>
      </c>
      <c r="W1429">
        <v>0.18083979999999999</v>
      </c>
      <c r="X1429">
        <v>0.98335099999999998</v>
      </c>
      <c r="Y1429">
        <v>-0.27670790000000001</v>
      </c>
      <c r="Z1429">
        <v>1.1541279999999999E-3</v>
      </c>
      <c r="AA1429">
        <v>0.96095339999999996</v>
      </c>
      <c r="AB1429">
        <v>44</v>
      </c>
      <c r="AC1429">
        <v>-69.947099999999907</v>
      </c>
      <c r="AD1429">
        <v>0.67985099999999998</v>
      </c>
      <c r="AE1429">
        <v>-21.4968</v>
      </c>
      <c r="AF1429">
        <v>-20.3619710457147</v>
      </c>
      <c r="AG1429">
        <v>0.67985099999999998</v>
      </c>
      <c r="AH1429">
        <v>70.279264855933604</v>
      </c>
      <c r="AI1429">
        <v>89.467654710798399</v>
      </c>
      <c r="AJ1429">
        <v>106.157857856332</v>
      </c>
      <c r="AK1429">
        <v>73.172721221362195</v>
      </c>
    </row>
    <row r="1430" spans="1:37" x14ac:dyDescent="0.2">
      <c r="A1430" t="str">
        <f>"20200111150616764"</f>
        <v>20200111150616764</v>
      </c>
      <c r="B1430" t="str">
        <f>"1578726376757841"</f>
        <v>1578726376757841</v>
      </c>
      <c r="C1430" t="s">
        <v>37</v>
      </c>
      <c r="D1430">
        <v>4.7713739999999998</v>
      </c>
      <c r="E1430">
        <v>0.39352779999999998</v>
      </c>
      <c r="F1430" t="s">
        <v>82</v>
      </c>
      <c r="G1430">
        <v>-396.71140000000003</v>
      </c>
      <c r="H1430">
        <v>1.2183079999999999</v>
      </c>
      <c r="I1430">
        <v>119.61960000000001</v>
      </c>
      <c r="J1430">
        <v>-327.91849999999999</v>
      </c>
      <c r="K1430">
        <v>1.1027209999999901</v>
      </c>
      <c r="L1430">
        <v>141.4417</v>
      </c>
      <c r="M1430">
        <v>-0.9998165</v>
      </c>
      <c r="N1430">
        <v>0</v>
      </c>
      <c r="O1430">
        <v>-1.5894040000000002E-2</v>
      </c>
      <c r="P1430">
        <v>-0.98483120000000002</v>
      </c>
      <c r="Q1430">
        <v>0.17024439999999999</v>
      </c>
      <c r="R1430">
        <v>-3.3536610000000001E-2</v>
      </c>
      <c r="S1430">
        <v>-3.012756</v>
      </c>
      <c r="T1430">
        <v>5.0290819999999998E-3</v>
      </c>
      <c r="U1430">
        <v>-0.94985959999999903</v>
      </c>
      <c r="V1430">
        <v>-1.7753060000000001E-2</v>
      </c>
      <c r="W1430">
        <v>0.1807821</v>
      </c>
      <c r="X1430">
        <v>0.98336290000000004</v>
      </c>
      <c r="Y1430">
        <v>-0.2854912</v>
      </c>
      <c r="Z1430">
        <v>2.06747999999999E-4</v>
      </c>
      <c r="AA1430">
        <v>0.95838129999999999</v>
      </c>
      <c r="AB1430">
        <v>44</v>
      </c>
      <c r="AC1430">
        <v>-68.792900000000003</v>
      </c>
      <c r="AD1430">
        <v>0.115587</v>
      </c>
      <c r="AE1430">
        <v>-21.822099999999899</v>
      </c>
      <c r="AF1430">
        <v>-20.7258303710402</v>
      </c>
      <c r="AG1430">
        <v>0.115587</v>
      </c>
      <c r="AH1430">
        <v>69.130893048220699</v>
      </c>
      <c r="AI1430">
        <v>89.908236691246501</v>
      </c>
      <c r="AJ1430">
        <v>106.689026206234</v>
      </c>
      <c r="AK1430">
        <v>72.171003724267507</v>
      </c>
    </row>
    <row r="1431" spans="1:37" x14ac:dyDescent="0.2">
      <c r="A1431" t="str">
        <f>"20200111150616788"</f>
        <v>20200111150616788</v>
      </c>
      <c r="B1431" t="str">
        <f>"1578726376778339"</f>
        <v>1578726376778339</v>
      </c>
      <c r="C1431" t="s">
        <v>37</v>
      </c>
      <c r="D1431">
        <v>4.7741049999999996</v>
      </c>
      <c r="E1431">
        <v>0.39406279999999999</v>
      </c>
      <c r="F1431" t="s">
        <v>82</v>
      </c>
      <c r="G1431">
        <v>-396.96300000000002</v>
      </c>
      <c r="H1431">
        <v>0.84062479999999995</v>
      </c>
      <c r="I1431">
        <v>119.6198</v>
      </c>
      <c r="J1431">
        <v>-328.37799999999999</v>
      </c>
      <c r="K1431">
        <v>1.1027169999999999</v>
      </c>
      <c r="L1431">
        <v>141.43459999999999</v>
      </c>
      <c r="M1431">
        <v>-0.99982070000000001</v>
      </c>
      <c r="N1431">
        <v>0</v>
      </c>
      <c r="O1431">
        <v>-1.5621579999999999E-2</v>
      </c>
      <c r="P1431">
        <v>-0.98481629999999998</v>
      </c>
      <c r="Q1431">
        <v>0.17038449999999999</v>
      </c>
      <c r="R1431">
        <v>-3.325989E-2</v>
      </c>
      <c r="S1431">
        <v>-3.0156860000000001</v>
      </c>
      <c r="T1431">
        <v>-1.1447550000000001E-2</v>
      </c>
      <c r="U1431">
        <v>-0.953125</v>
      </c>
      <c r="V1431">
        <v>-1.7741320000000001E-2</v>
      </c>
      <c r="W1431">
        <v>0.18092839999999999</v>
      </c>
      <c r="X1431">
        <v>0.98333619999999899</v>
      </c>
      <c r="Y1431">
        <v>-0.2864275</v>
      </c>
      <c r="Z1431">
        <v>-4.728453E-4</v>
      </c>
      <c r="AA1431">
        <v>0.9581018</v>
      </c>
      <c r="AB1431">
        <v>44</v>
      </c>
      <c r="AC1431">
        <v>-68.584999999999894</v>
      </c>
      <c r="AD1431">
        <v>-0.2620922</v>
      </c>
      <c r="AE1431">
        <v>-21.814799999999899</v>
      </c>
      <c r="AF1431">
        <v>-20.740395281950999</v>
      </c>
      <c r="AG1431">
        <v>-0.2620922</v>
      </c>
      <c r="AH1431">
        <v>68.916517219594596</v>
      </c>
      <c r="AI1431">
        <v>90.208652977853106</v>
      </c>
      <c r="AJ1431">
        <v>106.749144547909</v>
      </c>
      <c r="AK1431">
        <v>71.970264932481399</v>
      </c>
    </row>
    <row r="1432" spans="1:37" x14ac:dyDescent="0.2">
      <c r="A1432" t="str">
        <f>"20200111150616808"</f>
        <v>20200111150616808</v>
      </c>
      <c r="B1432" t="str">
        <f>"1578726376797856"</f>
        <v>1578726376797856</v>
      </c>
      <c r="C1432" t="s">
        <v>37</v>
      </c>
      <c r="D1432">
        <v>4.7789299999999999</v>
      </c>
      <c r="E1432">
        <v>0.39469029999999999</v>
      </c>
      <c r="F1432" t="s">
        <v>82</v>
      </c>
      <c r="G1432">
        <v>-397.4212</v>
      </c>
      <c r="H1432">
        <v>0.53671550000000001</v>
      </c>
      <c r="I1432">
        <v>119.7499</v>
      </c>
      <c r="J1432">
        <v>-328.78649999999999</v>
      </c>
      <c r="K1432">
        <v>1.1027100000000001</v>
      </c>
      <c r="L1432">
        <v>141.42840000000001</v>
      </c>
      <c r="M1432">
        <v>-0.9998245</v>
      </c>
      <c r="N1432">
        <v>0</v>
      </c>
      <c r="O1432">
        <v>-1.5379179999999999E-2</v>
      </c>
      <c r="P1432">
        <v>-0.98490460000000002</v>
      </c>
      <c r="Q1432">
        <v>0.16995940000000001</v>
      </c>
      <c r="R1432">
        <v>-3.2815110000000002E-2</v>
      </c>
      <c r="S1432">
        <v>-3.0185240000000002</v>
      </c>
      <c r="T1432">
        <v>-2.4745110000000001E-2</v>
      </c>
      <c r="U1432">
        <v>-0.94804379999999999</v>
      </c>
      <c r="V1432">
        <v>-1.753122E-2</v>
      </c>
      <c r="W1432">
        <v>0.18050959999999999</v>
      </c>
      <c r="X1432">
        <v>0.98341699999999999</v>
      </c>
      <c r="Y1432">
        <v>-0.28492689999999998</v>
      </c>
      <c r="Z1432">
        <v>-1.0173599999999999E-3</v>
      </c>
      <c r="AA1432">
        <v>0.95854869999999903</v>
      </c>
      <c r="AB1432">
        <v>44</v>
      </c>
      <c r="AC1432">
        <v>-68.634699999999995</v>
      </c>
      <c r="AD1432">
        <v>-0.56599449999999996</v>
      </c>
      <c r="AE1432">
        <v>-21.6785</v>
      </c>
      <c r="AF1432">
        <v>-20.619055061013199</v>
      </c>
      <c r="AG1432">
        <v>-0.56599449999999996</v>
      </c>
      <c r="AH1432">
        <v>68.955734602749899</v>
      </c>
      <c r="AI1432">
        <v>90.450567005814307</v>
      </c>
      <c r="AJ1432">
        <v>106.647649060639</v>
      </c>
      <c r="AK1432">
        <v>71.974711642270606</v>
      </c>
    </row>
    <row r="1433" spans="1:37" x14ac:dyDescent="0.2">
      <c r="A1433" t="str">
        <f>"20200111150616831"</f>
        <v>20200111150616831</v>
      </c>
      <c r="B1433" t="str">
        <f>"1578726376828112"</f>
        <v>1578726376828112</v>
      </c>
      <c r="C1433" t="s">
        <v>37</v>
      </c>
      <c r="D1433">
        <v>4.7770260000000002</v>
      </c>
      <c r="E1433">
        <v>0.39423200000000003</v>
      </c>
      <c r="F1433" t="s">
        <v>82</v>
      </c>
      <c r="G1433">
        <v>-397.4212</v>
      </c>
      <c r="H1433">
        <v>0.23411270000000001</v>
      </c>
      <c r="I1433">
        <v>120.02979999999999</v>
      </c>
      <c r="J1433">
        <v>-329.21269999999998</v>
      </c>
      <c r="K1433">
        <v>1.102698</v>
      </c>
      <c r="L1433">
        <v>141.4221</v>
      </c>
      <c r="M1433">
        <v>-0.9998283</v>
      </c>
      <c r="N1433">
        <v>0</v>
      </c>
      <c r="O1433">
        <v>-1.512607E-2</v>
      </c>
      <c r="P1433">
        <v>-0.98499969999999903</v>
      </c>
      <c r="Q1433">
        <v>0.16950029999999999</v>
      </c>
      <c r="R1433">
        <v>-3.2337230000000002E-2</v>
      </c>
      <c r="S1433">
        <v>-3.02121</v>
      </c>
      <c r="T1433">
        <v>-3.823435E-2</v>
      </c>
      <c r="U1433">
        <v>-0.94194029999999995</v>
      </c>
      <c r="V1433">
        <v>-1.7299620000000002E-2</v>
      </c>
      <c r="W1433">
        <v>0.18005699999999999</v>
      </c>
      <c r="X1433">
        <v>0.98350409999999899</v>
      </c>
      <c r="Y1433">
        <v>-0.28315029999999902</v>
      </c>
      <c r="Z1433">
        <v>-1.563191E-3</v>
      </c>
      <c r="AA1433">
        <v>0.95907430000000005</v>
      </c>
      <c r="AB1433">
        <v>44</v>
      </c>
      <c r="AC1433">
        <v>-68.208500000000001</v>
      </c>
      <c r="AD1433">
        <v>-0.86858529999999901</v>
      </c>
      <c r="AE1433">
        <v>-21.392299999999999</v>
      </c>
      <c r="AF1433">
        <v>-20.355061463716101</v>
      </c>
      <c r="AG1433">
        <v>-0.86858529999999901</v>
      </c>
      <c r="AH1433">
        <v>68.514180266501199</v>
      </c>
      <c r="AI1433">
        <v>90.696251461818406</v>
      </c>
      <c r="AJ1433">
        <v>106.546299148914</v>
      </c>
      <c r="AK1433">
        <v>71.479198828789706</v>
      </c>
    </row>
    <row r="1434" spans="1:37" x14ac:dyDescent="0.2">
      <c r="A1434" t="str">
        <f>"20200111150616854"</f>
        <v>20200111150616854</v>
      </c>
      <c r="B1434" t="str">
        <f>"1578726376847632"</f>
        <v>1578726376847632</v>
      </c>
      <c r="C1434" t="s">
        <v>37</v>
      </c>
      <c r="D1434">
        <v>4.7749829999999998</v>
      </c>
      <c r="E1434">
        <v>0.39467970000000002</v>
      </c>
      <c r="F1434" t="s">
        <v>46</v>
      </c>
      <c r="G1434">
        <v>-410.19560000000001</v>
      </c>
      <c r="H1434">
        <v>-0.05</v>
      </c>
      <c r="I1434">
        <v>116.11320000000001</v>
      </c>
      <c r="J1434">
        <v>-329.66550000000001</v>
      </c>
      <c r="K1434">
        <v>1.102695</v>
      </c>
      <c r="L1434">
        <v>141.41550000000001</v>
      </c>
      <c r="M1434">
        <v>-0.99983230000000001</v>
      </c>
      <c r="N1434">
        <v>0</v>
      </c>
      <c r="O1434">
        <v>-1.485652E-2</v>
      </c>
      <c r="P1434">
        <v>-0.98491299999999904</v>
      </c>
      <c r="Q1434">
        <v>0.16999739999999999</v>
      </c>
      <c r="R1434">
        <v>-3.236671E-2</v>
      </c>
      <c r="S1434">
        <v>-3.0220639999999999</v>
      </c>
      <c r="T1434">
        <v>-4.3015600000000001E-2</v>
      </c>
      <c r="U1434">
        <v>-0.94445800000000002</v>
      </c>
      <c r="V1434">
        <v>-1.7593890000000001E-2</v>
      </c>
      <c r="W1434">
        <v>0.18055889999999999</v>
      </c>
      <c r="X1434">
        <v>0.98340680000000003</v>
      </c>
      <c r="Y1434">
        <v>-0.28405439999999998</v>
      </c>
      <c r="Z1434">
        <v>-1.7679919999999999E-3</v>
      </c>
      <c r="AA1434">
        <v>0.95880650000000001</v>
      </c>
      <c r="AB1434">
        <v>44</v>
      </c>
      <c r="AC1434">
        <v>-80.530100000000004</v>
      </c>
      <c r="AD1434">
        <v>-1.152695</v>
      </c>
      <c r="AE1434">
        <v>-25.302299999999999</v>
      </c>
      <c r="AF1434">
        <v>-24.0985477512898</v>
      </c>
      <c r="AG1434">
        <v>-1.152695</v>
      </c>
      <c r="AH1434">
        <v>80.882054370468794</v>
      </c>
      <c r="AI1434">
        <v>90.782508991257302</v>
      </c>
      <c r="AJ1434">
        <v>106.591256020141</v>
      </c>
      <c r="AK1434">
        <v>84.403645825708793</v>
      </c>
    </row>
    <row r="1435" spans="1:37" x14ac:dyDescent="0.2">
      <c r="A1435" t="str">
        <f>"20200111150616876"</f>
        <v>20200111150616876</v>
      </c>
      <c r="B1435" t="str">
        <f>"1578726376868128"</f>
        <v>1578726376868128</v>
      </c>
      <c r="C1435" t="s">
        <v>37</v>
      </c>
      <c r="D1435">
        <v>4.7667999999999999</v>
      </c>
      <c r="E1435">
        <v>0.39515119999999998</v>
      </c>
      <c r="F1435" t="s">
        <v>46</v>
      </c>
      <c r="G1435">
        <v>-404.08749999999998</v>
      </c>
      <c r="H1435">
        <v>-0.05</v>
      </c>
      <c r="I1435">
        <v>118.247999999999</v>
      </c>
      <c r="J1435">
        <v>-330.11380000000003</v>
      </c>
      <c r="K1435">
        <v>1.1026929999999999</v>
      </c>
      <c r="L1435">
        <v>141.40899999999999</v>
      </c>
      <c r="M1435">
        <v>-0.99983609999999901</v>
      </c>
      <c r="N1435">
        <v>0</v>
      </c>
      <c r="O1435">
        <v>-1.4589019999999999E-2</v>
      </c>
      <c r="P1435">
        <v>-0.98476799999999998</v>
      </c>
      <c r="Q1435">
        <v>0.17076849999999999</v>
      </c>
      <c r="R1435">
        <v>-3.2712119999999997E-2</v>
      </c>
      <c r="S1435">
        <v>-3.0231020000000002</v>
      </c>
      <c r="T1435">
        <v>-4.6823740000000003E-2</v>
      </c>
      <c r="U1435">
        <v>-0.94108579999999997</v>
      </c>
      <c r="V1435">
        <v>-1.8203199999999999E-2</v>
      </c>
      <c r="W1435">
        <v>0.18133550000000001</v>
      </c>
      <c r="X1435">
        <v>0.98325280000000004</v>
      </c>
      <c r="Y1435">
        <v>-0.28323789999999999</v>
      </c>
      <c r="Z1435">
        <v>-1.922041E-3</v>
      </c>
      <c r="AA1435">
        <v>0.95904769999999995</v>
      </c>
      <c r="AB1435">
        <v>44</v>
      </c>
      <c r="AC1435">
        <v>-73.973699999999894</v>
      </c>
      <c r="AD1435">
        <v>-1.152693</v>
      </c>
      <c r="AE1435">
        <v>-23.161000000000001</v>
      </c>
      <c r="AF1435">
        <v>-22.074387555787101</v>
      </c>
      <c r="AG1435">
        <v>-1.152693</v>
      </c>
      <c r="AH1435">
        <v>74.287314567369407</v>
      </c>
      <c r="AI1435">
        <v>90.8521495240051</v>
      </c>
      <c r="AJ1435">
        <v>106.549254564138</v>
      </c>
      <c r="AK1435">
        <v>77.506208736762702</v>
      </c>
    </row>
    <row r="1436" spans="1:37" x14ac:dyDescent="0.2">
      <c r="A1436" t="str">
        <f>"20200111150616899"</f>
        <v>20200111150616899</v>
      </c>
      <c r="B1436" t="str">
        <f>"1578726376887649"</f>
        <v>1578726376887649</v>
      </c>
      <c r="C1436" t="s">
        <v>37</v>
      </c>
      <c r="D1436">
        <v>4.8985079999999996</v>
      </c>
      <c r="E1436">
        <v>0.39526640000000002</v>
      </c>
      <c r="F1436" t="s">
        <v>46</v>
      </c>
      <c r="G1436">
        <v>-399.25790000000001</v>
      </c>
      <c r="H1436">
        <v>-0.05</v>
      </c>
      <c r="I1436">
        <v>119.9646</v>
      </c>
      <c r="J1436">
        <v>-330.54950000000002</v>
      </c>
      <c r="K1436">
        <v>1.102689</v>
      </c>
      <c r="L1436">
        <v>141.40280000000001</v>
      </c>
      <c r="M1436">
        <v>-0.999839899999999</v>
      </c>
      <c r="N1436">
        <v>0</v>
      </c>
      <c r="O1436">
        <v>-1.432867E-2</v>
      </c>
      <c r="P1436">
        <v>-0.98484640000000001</v>
      </c>
      <c r="Q1436">
        <v>0.1704619</v>
      </c>
      <c r="R1436">
        <v>-3.1947839999999998E-2</v>
      </c>
      <c r="S1436">
        <v>-3.0240480000000001</v>
      </c>
      <c r="T1436">
        <v>-5.0413489999999998E-2</v>
      </c>
      <c r="U1436">
        <v>-0.93788150000000003</v>
      </c>
      <c r="V1436">
        <v>-1.769314E-2</v>
      </c>
      <c r="W1436">
        <v>0.18103440000000001</v>
      </c>
      <c r="X1436">
        <v>0.98331759999999901</v>
      </c>
      <c r="Y1436">
        <v>-0.28247100000000003</v>
      </c>
      <c r="Z1436">
        <v>-2.0670660000000002E-3</v>
      </c>
      <c r="AA1436">
        <v>0.95927359999999995</v>
      </c>
      <c r="AB1436">
        <v>44</v>
      </c>
      <c r="AC1436">
        <v>-68.708399999999898</v>
      </c>
      <c r="AD1436">
        <v>-1.1526890000000001</v>
      </c>
      <c r="AE1436">
        <v>-21.438199999999998</v>
      </c>
      <c r="AF1436">
        <v>-20.446198260750201</v>
      </c>
      <c r="AG1436">
        <v>-1.1526890000000001</v>
      </c>
      <c r="AH1436">
        <v>68.990849136892706</v>
      </c>
      <c r="AI1436">
        <v>90.917752676961896</v>
      </c>
      <c r="AJ1436">
        <v>106.50777030406699</v>
      </c>
      <c r="AK1436">
        <v>71.966054358135494</v>
      </c>
    </row>
    <row r="1437" spans="1:37" x14ac:dyDescent="0.2">
      <c r="A1437" t="str">
        <f>"20200111150616919"</f>
        <v>20200111150616919</v>
      </c>
      <c r="B1437" t="str">
        <f>"1578726376908144"</f>
        <v>1578726376908144</v>
      </c>
      <c r="C1437" t="s">
        <v>37</v>
      </c>
      <c r="D1437">
        <v>4.7330839999999998</v>
      </c>
      <c r="E1437">
        <v>0.39557120000000001</v>
      </c>
      <c r="F1437" t="s">
        <v>46</v>
      </c>
      <c r="G1437">
        <v>-397.3723</v>
      </c>
      <c r="H1437">
        <v>-0.05</v>
      </c>
      <c r="I1437">
        <v>120.73090000000001</v>
      </c>
      <c r="J1437">
        <v>-330.95690000000002</v>
      </c>
      <c r="K1437">
        <v>1.1026959999999999</v>
      </c>
      <c r="L1437">
        <v>141.3972</v>
      </c>
      <c r="M1437">
        <v>-0.99984319999999904</v>
      </c>
      <c r="N1437">
        <v>0</v>
      </c>
      <c r="O1437">
        <v>-1.408537E-2</v>
      </c>
      <c r="P1437">
        <v>-0.98491399999999996</v>
      </c>
      <c r="Q1437">
        <v>0.17039879999999999</v>
      </c>
      <c r="R1437">
        <v>-3.014696E-2</v>
      </c>
      <c r="S1437">
        <v>-3.0248409999999999</v>
      </c>
      <c r="T1437">
        <v>-5.2178259999999997E-2</v>
      </c>
      <c r="U1437">
        <v>-0.93574519999999906</v>
      </c>
      <c r="V1437">
        <v>-1.6130510000000001E-2</v>
      </c>
      <c r="W1437">
        <v>0.18097629999999901</v>
      </c>
      <c r="X1437">
        <v>0.98335519999999998</v>
      </c>
      <c r="Y1437">
        <v>-0.28201270000000001</v>
      </c>
      <c r="Z1437">
        <v>-2.1393319999999999E-3</v>
      </c>
      <c r="AA1437">
        <v>0.95940829999999999</v>
      </c>
      <c r="AB1437">
        <v>44</v>
      </c>
      <c r="AC1437">
        <v>-66.415399999999906</v>
      </c>
      <c r="AD1437">
        <v>-1.1526959999999999</v>
      </c>
      <c r="AE1437">
        <v>-20.6663</v>
      </c>
      <c r="AF1437">
        <v>-19.723293537680799</v>
      </c>
      <c r="AG1437">
        <v>-1.1526959999999999</v>
      </c>
      <c r="AH1437">
        <v>66.681606782267394</v>
      </c>
      <c r="AI1437">
        <v>90.949684654537407</v>
      </c>
      <c r="AJ1437">
        <v>106.477327630817</v>
      </c>
      <c r="AK1437">
        <v>69.546917250923997</v>
      </c>
    </row>
    <row r="1438" spans="1:37" x14ac:dyDescent="0.2">
      <c r="A1438" t="str">
        <f>"20200111150616944"</f>
        <v>20200111150616944</v>
      </c>
      <c r="B1438" t="str">
        <f>"1578726376938400"</f>
        <v>1578726376938400</v>
      </c>
      <c r="C1438" t="s">
        <v>37</v>
      </c>
      <c r="D1438">
        <v>4.7342040000000001</v>
      </c>
      <c r="E1438">
        <v>0.39569799999999999</v>
      </c>
      <c r="F1438" t="s">
        <v>46</v>
      </c>
      <c r="G1438">
        <v>-395.75020000000001</v>
      </c>
      <c r="H1438">
        <v>-0.05</v>
      </c>
      <c r="I1438">
        <v>121.5129</v>
      </c>
      <c r="J1438">
        <v>-331.42250000000001</v>
      </c>
      <c r="K1438">
        <v>1.1026929999999999</v>
      </c>
      <c r="L1438">
        <v>141.39089999999999</v>
      </c>
      <c r="M1438">
        <v>-0.99984709999999999</v>
      </c>
      <c r="N1438">
        <v>0</v>
      </c>
      <c r="O1438">
        <v>-1.380691E-2</v>
      </c>
      <c r="P1438">
        <v>-0.98489110000000002</v>
      </c>
      <c r="Q1438">
        <v>0.17073650000000001</v>
      </c>
      <c r="R1438">
        <v>-2.8960650000000001E-2</v>
      </c>
      <c r="S1438">
        <v>-3.0268250000000001</v>
      </c>
      <c r="T1438">
        <v>-5.3848269999999997E-2</v>
      </c>
      <c r="U1438">
        <v>-0.928894</v>
      </c>
      <c r="V1438">
        <v>-1.5217980000000001E-2</v>
      </c>
      <c r="W1438">
        <v>0.18131910000000001</v>
      </c>
      <c r="X1438">
        <v>0.98330659999999903</v>
      </c>
      <c r="Y1438">
        <v>-0.28011619999999998</v>
      </c>
      <c r="Z1438">
        <v>-2.1954750000000001E-3</v>
      </c>
      <c r="AA1438">
        <v>0.95996360000000003</v>
      </c>
      <c r="AB1438">
        <v>44</v>
      </c>
      <c r="AC1438">
        <v>-64.327699999999993</v>
      </c>
      <c r="AD1438">
        <v>-1.152693</v>
      </c>
      <c r="AE1438">
        <v>-19.877999999999901</v>
      </c>
      <c r="AF1438">
        <v>-18.982323290575501</v>
      </c>
      <c r="AG1438">
        <v>-1.152693</v>
      </c>
      <c r="AH1438">
        <v>64.577109252187597</v>
      </c>
      <c r="AI1438">
        <v>90.981113504727304</v>
      </c>
      <c r="AJ1438">
        <v>106.380602883515</v>
      </c>
      <c r="AK1438">
        <v>67.319093413601095</v>
      </c>
    </row>
    <row r="1439" spans="1:37" x14ac:dyDescent="0.2">
      <c r="A1439" t="str">
        <f>"20200111150616965"</f>
        <v>20200111150616965</v>
      </c>
      <c r="B1439" t="str">
        <f>"1578726376957920"</f>
        <v>1578726376957920</v>
      </c>
      <c r="C1439" t="s">
        <v>37</v>
      </c>
      <c r="D1439">
        <v>4.6963759999999999</v>
      </c>
      <c r="E1439">
        <v>0.3956886</v>
      </c>
      <c r="F1439" t="s">
        <v>39</v>
      </c>
      <c r="G1439">
        <v>-386.14350000000002</v>
      </c>
      <c r="H1439">
        <v>7.9986719999999997E-2</v>
      </c>
      <c r="I1439">
        <v>124.706</v>
      </c>
      <c r="J1439">
        <v>-331.86610000000002</v>
      </c>
      <c r="K1439">
        <v>1.102692</v>
      </c>
      <c r="L1439">
        <v>141.38489999999999</v>
      </c>
      <c r="M1439">
        <v>-0.99985059999999903</v>
      </c>
      <c r="N1439">
        <v>0</v>
      </c>
      <c r="O1439">
        <v>-1.3541569999999999E-2</v>
      </c>
      <c r="P1439">
        <v>-0.9849388</v>
      </c>
      <c r="Q1439">
        <v>0.17058299999999901</v>
      </c>
      <c r="R1439">
        <v>-2.8228980000000001E-2</v>
      </c>
      <c r="S1439">
        <v>-3.0287169999999999</v>
      </c>
      <c r="T1439">
        <v>-5.6605099999999901E-2</v>
      </c>
      <c r="U1439">
        <v>-0.923477199999999</v>
      </c>
      <c r="V1439">
        <v>-1.47467E-2</v>
      </c>
      <c r="W1439">
        <v>0.18117130000000001</v>
      </c>
      <c r="X1439">
        <v>0.98334100000000002</v>
      </c>
      <c r="Y1439">
        <v>-0.2786285</v>
      </c>
      <c r="Z1439">
        <v>-2.2983190000000001E-3</v>
      </c>
      <c r="AA1439">
        <v>0.96039619999999903</v>
      </c>
      <c r="AB1439">
        <v>44</v>
      </c>
      <c r="AC1439">
        <v>-54.2774</v>
      </c>
      <c r="AD1439">
        <v>-1.02270528</v>
      </c>
      <c r="AE1439">
        <v>-16.678899999999899</v>
      </c>
      <c r="AF1439">
        <v>-15.937156931053</v>
      </c>
      <c r="AG1439">
        <v>-1.02270528</v>
      </c>
      <c r="AH1439">
        <v>54.480620868245602</v>
      </c>
      <c r="AI1439">
        <v>91.032177879256295</v>
      </c>
      <c r="AJ1439">
        <v>106.305724148171</v>
      </c>
      <c r="AK1439">
        <v>56.7730301051852</v>
      </c>
    </row>
    <row r="1440" spans="1:37" x14ac:dyDescent="0.2">
      <c r="A1440" t="str">
        <f>"20200111150616988"</f>
        <v>20200111150616988</v>
      </c>
      <c r="B1440" t="str">
        <f>"1578726376978416"</f>
        <v>1578726376978416</v>
      </c>
      <c r="C1440" t="s">
        <v>37</v>
      </c>
      <c r="D1440">
        <v>4.7030070000000004</v>
      </c>
      <c r="E1440">
        <v>0.39542040000000001</v>
      </c>
      <c r="F1440" t="s">
        <v>39</v>
      </c>
      <c r="G1440">
        <v>-384.22210000000001</v>
      </c>
      <c r="H1440">
        <v>7.9985769999999998E-2</v>
      </c>
      <c r="I1440">
        <v>125.4755</v>
      </c>
      <c r="J1440">
        <v>-332.29410000000001</v>
      </c>
      <c r="K1440">
        <v>1.1026879999999999</v>
      </c>
      <c r="L1440">
        <v>141.3793</v>
      </c>
      <c r="M1440">
        <v>-0.99985400000000002</v>
      </c>
      <c r="N1440">
        <v>0</v>
      </c>
      <c r="O1440">
        <v>-1.328565E-2</v>
      </c>
      <c r="P1440">
        <v>-0.98498289999999999</v>
      </c>
      <c r="Q1440">
        <v>0.1704502</v>
      </c>
      <c r="R1440">
        <v>-2.7486389999999999E-2</v>
      </c>
      <c r="S1440">
        <v>-3.0297239999999999</v>
      </c>
      <c r="T1440">
        <v>-5.9181690000000002E-2</v>
      </c>
      <c r="U1440">
        <v>-0.92063899999999999</v>
      </c>
      <c r="V1440">
        <v>-1.4255169999999999E-2</v>
      </c>
      <c r="W1440">
        <v>0.18104379999999901</v>
      </c>
      <c r="X1440">
        <v>0.98337169999999896</v>
      </c>
      <c r="Y1440">
        <v>-0.27795789999999998</v>
      </c>
      <c r="Z1440">
        <v>-2.4009539999999998E-3</v>
      </c>
      <c r="AA1440">
        <v>0.96059019999999995</v>
      </c>
      <c r="AB1440">
        <v>44</v>
      </c>
      <c r="AC1440">
        <v>-51.927999999999997</v>
      </c>
      <c r="AD1440">
        <v>-1.0227022299999999</v>
      </c>
      <c r="AE1440">
        <v>-15.9038</v>
      </c>
      <c r="AF1440">
        <v>-15.2070664693544</v>
      </c>
      <c r="AG1440">
        <v>-1.0227022299999999</v>
      </c>
      <c r="AH1440">
        <v>52.116239698450002</v>
      </c>
      <c r="AI1440">
        <v>91.079205317371205</v>
      </c>
      <c r="AJ1440">
        <v>106.266786751773</v>
      </c>
      <c r="AK1440">
        <v>54.299201014019502</v>
      </c>
    </row>
    <row r="1441" spans="1:37" x14ac:dyDescent="0.2">
      <c r="A1441" t="str">
        <f>"20200111150617009"</f>
        <v>20200111150617009</v>
      </c>
      <c r="B1441" t="str">
        <f>"1578726376997937"</f>
        <v>1578726376997937</v>
      </c>
      <c r="C1441" t="s">
        <v>37</v>
      </c>
      <c r="D1441">
        <v>4.7068389999999898</v>
      </c>
      <c r="E1441">
        <v>0.39627020000000002</v>
      </c>
      <c r="F1441" t="s">
        <v>39</v>
      </c>
      <c r="G1441">
        <v>-386.57350000000002</v>
      </c>
      <c r="H1441">
        <v>7.9986580000000002E-2</v>
      </c>
      <c r="I1441">
        <v>124.8776</v>
      </c>
      <c r="J1441">
        <v>-332.71230000000003</v>
      </c>
      <c r="K1441">
        <v>1.1026830000000001</v>
      </c>
      <c r="L1441">
        <v>141.37389999999999</v>
      </c>
      <c r="M1441">
        <v>-0.9998572</v>
      </c>
      <c r="N1441">
        <v>0</v>
      </c>
      <c r="O1441">
        <v>-1.3035690000000001E-2</v>
      </c>
      <c r="P1441">
        <v>-0.98501740000000004</v>
      </c>
      <c r="Q1441">
        <v>0.17024549999999999</v>
      </c>
      <c r="R1441">
        <v>-2.752135E-2</v>
      </c>
      <c r="S1441">
        <v>-3.0299070000000001</v>
      </c>
      <c r="T1441">
        <v>-5.7087779999999998E-2</v>
      </c>
      <c r="U1441">
        <v>-0.92112729999999998</v>
      </c>
      <c r="V1441">
        <v>-1.453517E-2</v>
      </c>
      <c r="W1441">
        <v>0.18084539999999999</v>
      </c>
      <c r="X1441">
        <v>0.983404099999999</v>
      </c>
      <c r="Y1441">
        <v>-0.27832669999999998</v>
      </c>
      <c r="Z1441">
        <v>-2.3238310000000002E-3</v>
      </c>
      <c r="AA1441">
        <v>0.96048369999999905</v>
      </c>
      <c r="AB1441">
        <v>44</v>
      </c>
      <c r="AC1441">
        <v>-53.861199999999997</v>
      </c>
      <c r="AD1441">
        <v>-1.0226964199999999</v>
      </c>
      <c r="AE1441">
        <v>-16.496299999999898</v>
      </c>
      <c r="AF1441">
        <v>-15.787535918393599</v>
      </c>
      <c r="AG1441">
        <v>-1.0226964199999999</v>
      </c>
      <c r="AH1441">
        <v>54.053859312680203</v>
      </c>
      <c r="AI1441">
        <v>91.040444663368405</v>
      </c>
      <c r="AJ1441">
        <v>106.281524567519</v>
      </c>
      <c r="AK1441">
        <v>56.321504817761003</v>
      </c>
    </row>
    <row r="1442" spans="1:37" x14ac:dyDescent="0.2">
      <c r="A1442" t="str">
        <f>"20200111150617032"</f>
        <v>20200111150617032</v>
      </c>
      <c r="B1442" t="str">
        <f>"1578726377028193"</f>
        <v>1578726377028193</v>
      </c>
      <c r="C1442" t="s">
        <v>37</v>
      </c>
      <c r="D1442">
        <v>4.5656869999999996</v>
      </c>
      <c r="E1442">
        <v>0.47571229999999998</v>
      </c>
      <c r="F1442" t="s">
        <v>46</v>
      </c>
      <c r="G1442">
        <v>-403.80079999999998</v>
      </c>
      <c r="H1442">
        <v>-0.05</v>
      </c>
      <c r="I1442">
        <v>119.9101</v>
      </c>
      <c r="J1442">
        <v>-333.15460000000002</v>
      </c>
      <c r="K1442">
        <v>1.1026739999999999</v>
      </c>
      <c r="L1442">
        <v>141.36840000000001</v>
      </c>
      <c r="M1442">
        <v>-0.99986049999999904</v>
      </c>
      <c r="N1442">
        <v>0</v>
      </c>
      <c r="O1442">
        <v>-1.2771309999999999E-2</v>
      </c>
      <c r="P1442">
        <v>-0.98504319999999901</v>
      </c>
      <c r="Q1442">
        <v>0.1699889</v>
      </c>
      <c r="R1442">
        <v>-2.8169550000000002E-2</v>
      </c>
      <c r="S1442">
        <v>-3.0285950000000001</v>
      </c>
      <c r="T1442">
        <v>-4.9107909999999998E-2</v>
      </c>
      <c r="U1442">
        <v>-0.91442869999999998</v>
      </c>
      <c r="V1442">
        <v>-1.5443729999999999E-2</v>
      </c>
      <c r="W1442">
        <v>0.18059539999999999</v>
      </c>
      <c r="X1442">
        <v>0.98343619999999898</v>
      </c>
      <c r="Y1442">
        <v>-0.2767617</v>
      </c>
      <c r="Z1442">
        <v>-1.9922759999999999E-3</v>
      </c>
      <c r="AA1442">
        <v>0.96093649999999997</v>
      </c>
      <c r="AB1442">
        <v>44</v>
      </c>
      <c r="AC1442">
        <v>-70.646199999999894</v>
      </c>
      <c r="AD1442">
        <v>-1.152674</v>
      </c>
      <c r="AE1442">
        <v>-21.458300000000001</v>
      </c>
      <c r="AF1442">
        <v>-20.549244462764701</v>
      </c>
      <c r="AG1442">
        <v>-1.152674</v>
      </c>
      <c r="AH1442">
        <v>70.897224359104598</v>
      </c>
      <c r="AI1442">
        <v>90.894639084861694</v>
      </c>
      <c r="AJ1442">
        <v>106.163995448682</v>
      </c>
      <c r="AK1442">
        <v>73.824227237174398</v>
      </c>
    </row>
    <row r="1443" spans="1:37" x14ac:dyDescent="0.2">
      <c r="A1443" t="str">
        <f>"20200111150617054"</f>
        <v>20200111150617054</v>
      </c>
      <c r="B1443" t="str">
        <f>"1578726377047712"</f>
        <v>1578726377047712</v>
      </c>
      <c r="C1443" t="s">
        <v>37</v>
      </c>
      <c r="D1443">
        <v>4.4760479999999996</v>
      </c>
      <c r="E1443">
        <v>0.47848190000000002</v>
      </c>
      <c r="F1443" t="s">
        <v>39</v>
      </c>
      <c r="G1443">
        <v>-348.61160000000001</v>
      </c>
      <c r="H1443" s="1">
        <v>-6.641077E-7</v>
      </c>
      <c r="I1443">
        <v>139.9401</v>
      </c>
      <c r="J1443">
        <v>-333.6028</v>
      </c>
      <c r="K1443">
        <v>1.1026689999999999</v>
      </c>
      <c r="L1443">
        <v>141.3629</v>
      </c>
      <c r="M1443">
        <v>-0.99986390000000003</v>
      </c>
      <c r="N1443">
        <v>0</v>
      </c>
      <c r="O1443">
        <v>-1.250335E-2</v>
      </c>
      <c r="P1443">
        <v>-0.98516049999999999</v>
      </c>
      <c r="Q1443">
        <v>0.16929340000000001</v>
      </c>
      <c r="R1443">
        <v>-2.826472E-2</v>
      </c>
      <c r="S1443">
        <v>-3.0752869999999999</v>
      </c>
      <c r="T1443">
        <v>-0.2193869</v>
      </c>
      <c r="U1443">
        <v>-0.28414919999999999</v>
      </c>
      <c r="V1443">
        <v>-1.580167E-2</v>
      </c>
      <c r="W1443">
        <v>0.1799074</v>
      </c>
      <c r="X1443">
        <v>0.983556599999999</v>
      </c>
      <c r="Y1443">
        <v>-7.937901E-2</v>
      </c>
      <c r="Z1443">
        <v>-1.932956E-3</v>
      </c>
      <c r="AA1443">
        <v>0.99684259999999902</v>
      </c>
      <c r="AB1443">
        <v>44</v>
      </c>
      <c r="AC1443">
        <v>-15.008800000000001</v>
      </c>
      <c r="AD1443">
        <v>-1.1026696641077001</v>
      </c>
      <c r="AE1443">
        <v>-1.4227999999999901</v>
      </c>
      <c r="AF1443">
        <v>-1.2284460395819801</v>
      </c>
      <c r="AG1443">
        <v>-1.1026696641077001</v>
      </c>
      <c r="AH1443">
        <v>14.945466591802999</v>
      </c>
      <c r="AI1443">
        <v>94.205479845005598</v>
      </c>
      <c r="AJ1443">
        <v>94.698876721637106</v>
      </c>
      <c r="AK1443">
        <v>15.036353670588101</v>
      </c>
    </row>
    <row r="1444" spans="1:37" x14ac:dyDescent="0.2">
      <c r="A1444" t="str">
        <f>"20200111150617076"</f>
        <v>20200111150617076</v>
      </c>
      <c r="B1444" t="str">
        <f>"1578726377068211"</f>
        <v>1578726377068211</v>
      </c>
      <c r="C1444" t="s">
        <v>37</v>
      </c>
      <c r="D1444">
        <v>4.5730919999999999</v>
      </c>
      <c r="E1444">
        <v>0.47924840000000002</v>
      </c>
      <c r="F1444" t="s">
        <v>39</v>
      </c>
      <c r="G1444">
        <v>-349.23129999999998</v>
      </c>
      <c r="H1444" s="1">
        <v>-4.2181739999999999E-7</v>
      </c>
      <c r="I1444">
        <v>140.02860000000001</v>
      </c>
      <c r="J1444">
        <v>-334.05110000000002</v>
      </c>
      <c r="K1444">
        <v>1.1026659999999999</v>
      </c>
      <c r="L1444">
        <v>141.35749999999999</v>
      </c>
      <c r="M1444">
        <v>-0.99986719999999896</v>
      </c>
      <c r="N1444">
        <v>0</v>
      </c>
      <c r="O1444">
        <v>-1.223492E-2</v>
      </c>
      <c r="P1444">
        <v>-0.98528859999999996</v>
      </c>
      <c r="Q1444">
        <v>0.16862339999999901</v>
      </c>
      <c r="R1444">
        <v>-2.7800539999999999E-2</v>
      </c>
      <c r="S1444">
        <v>-3.074951</v>
      </c>
      <c r="T1444">
        <v>-0.21695410000000001</v>
      </c>
      <c r="U1444">
        <v>-0.26249689999999998</v>
      </c>
      <c r="V1444">
        <v>-1.560052E-2</v>
      </c>
      <c r="W1444">
        <v>0.1792446</v>
      </c>
      <c r="X1444">
        <v>0.98368080000000002</v>
      </c>
      <c r="Y1444">
        <v>-7.2709999999999997E-2</v>
      </c>
      <c r="Z1444">
        <v>-1.696691E-3</v>
      </c>
      <c r="AA1444">
        <v>0.99735169999999995</v>
      </c>
      <c r="AB1444">
        <v>44</v>
      </c>
      <c r="AC1444">
        <v>-15.1801999999999</v>
      </c>
      <c r="AD1444">
        <v>-1.1026664218173901</v>
      </c>
      <c r="AE1444">
        <v>-1.32889999999997</v>
      </c>
      <c r="AF1444">
        <v>-1.1371070843548601</v>
      </c>
      <c r="AG1444">
        <v>-1.1026664218173901</v>
      </c>
      <c r="AH1444">
        <v>15.116171985900801</v>
      </c>
      <c r="AI1444">
        <v>94.160403130967097</v>
      </c>
      <c r="AJ1444">
        <v>94.301946347352896</v>
      </c>
      <c r="AK1444">
        <v>15.1989322409972</v>
      </c>
    </row>
    <row r="1445" spans="1:37" x14ac:dyDescent="0.2">
      <c r="A1445" t="str">
        <f>"20200111150617099"</f>
        <v>20200111150617099</v>
      </c>
      <c r="B1445" t="str">
        <f>"1578726377087728"</f>
        <v>1578726377087728</v>
      </c>
      <c r="C1445" t="s">
        <v>37</v>
      </c>
      <c r="D1445">
        <v>4.4565429999999999</v>
      </c>
      <c r="E1445">
        <v>0.47931549999999901</v>
      </c>
      <c r="F1445" t="s">
        <v>39</v>
      </c>
      <c r="G1445">
        <v>-351.72840000000002</v>
      </c>
      <c r="H1445" s="1">
        <v>-3.603895E-6</v>
      </c>
      <c r="I1445">
        <v>139.89109999999999</v>
      </c>
      <c r="J1445">
        <v>-334.48500000000001</v>
      </c>
      <c r="K1445">
        <v>1.1026639999999901</v>
      </c>
      <c r="L1445">
        <v>141.35239999999999</v>
      </c>
      <c r="M1445">
        <v>-0.99987039999999905</v>
      </c>
      <c r="N1445">
        <v>0</v>
      </c>
      <c r="O1445">
        <v>-1.1975309999999999E-2</v>
      </c>
      <c r="P1445">
        <v>-0.98538879999999995</v>
      </c>
      <c r="Q1445">
        <v>0.1680944</v>
      </c>
      <c r="R1445">
        <v>-2.745032E-2</v>
      </c>
      <c r="S1445">
        <v>-3.0703429999999998</v>
      </c>
      <c r="T1445">
        <v>-0.1915212</v>
      </c>
      <c r="U1445">
        <v>-0.25468439999999998</v>
      </c>
      <c r="V1445">
        <v>-1.550586E-2</v>
      </c>
      <c r="W1445">
        <v>0.17872189999999999</v>
      </c>
      <c r="X1445">
        <v>0.98377739999999902</v>
      </c>
      <c r="Y1445">
        <v>-7.0611800000000002E-2</v>
      </c>
      <c r="Z1445">
        <v>-1.451475E-3</v>
      </c>
      <c r="AA1445">
        <v>0.99750280000000002</v>
      </c>
      <c r="AB1445">
        <v>44</v>
      </c>
      <c r="AC1445">
        <v>-17.243400000000001</v>
      </c>
      <c r="AD1445">
        <v>-1.1026676038949901</v>
      </c>
      <c r="AE1445">
        <v>-1.4612999999999901</v>
      </c>
      <c r="AF1445">
        <v>-1.2496146413165801</v>
      </c>
      <c r="AG1445">
        <v>-1.1026676038949901</v>
      </c>
      <c r="AH1445">
        <v>17.1898715159471</v>
      </c>
      <c r="AI1445">
        <v>93.660653509848302</v>
      </c>
      <c r="AJ1445">
        <v>94.157792753202003</v>
      </c>
      <c r="AK1445">
        <v>17.270468879889801</v>
      </c>
    </row>
    <row r="1446" spans="1:37" x14ac:dyDescent="0.2">
      <c r="A1446" t="str">
        <f>"20200111150617121"</f>
        <v>20200111150617121</v>
      </c>
      <c r="B1446" t="str">
        <f>"1578726377117985"</f>
        <v>1578726377117985</v>
      </c>
      <c r="C1446" t="s">
        <v>37</v>
      </c>
      <c r="D1446">
        <v>4.4542289999999998</v>
      </c>
      <c r="E1446">
        <v>0.47998289999999999</v>
      </c>
      <c r="F1446" t="s">
        <v>39</v>
      </c>
      <c r="G1446">
        <v>-351.3852</v>
      </c>
      <c r="H1446" s="1">
        <v>-3.7699859999999999E-6</v>
      </c>
      <c r="I1446">
        <v>139.96190000000001</v>
      </c>
      <c r="J1446">
        <v>-334.93150000000003</v>
      </c>
      <c r="K1446">
        <v>1.1026659999999999</v>
      </c>
      <c r="L1446">
        <v>141.34719999999999</v>
      </c>
      <c r="M1446">
        <v>-0.99987329999999996</v>
      </c>
      <c r="N1446">
        <v>0</v>
      </c>
      <c r="O1446">
        <v>-1.1708069999999999E-2</v>
      </c>
      <c r="P1446">
        <v>-0.98530289999999998</v>
      </c>
      <c r="Q1446">
        <v>0.16852229999999899</v>
      </c>
      <c r="R1446">
        <v>-2.7901059999999998E-2</v>
      </c>
      <c r="S1446">
        <v>-3.0715939999999899</v>
      </c>
      <c r="T1446">
        <v>-0.2004089</v>
      </c>
      <c r="U1446">
        <v>-0.2527008</v>
      </c>
      <c r="V1446">
        <v>-1.6220410000000001E-2</v>
      </c>
      <c r="W1446">
        <v>0.17915500000000001</v>
      </c>
      <c r="X1446">
        <v>0.98368719999999998</v>
      </c>
      <c r="Y1446">
        <v>-7.0194790000000007E-2</v>
      </c>
      <c r="Z1446">
        <v>-1.521934E-3</v>
      </c>
      <c r="AA1446">
        <v>0.99753210000000003</v>
      </c>
      <c r="AB1446">
        <v>44</v>
      </c>
      <c r="AC1446">
        <v>-16.453699999999898</v>
      </c>
      <c r="AD1446">
        <v>-1.102669769986</v>
      </c>
      <c r="AE1446">
        <v>-1.38529999999997</v>
      </c>
      <c r="AF1446">
        <v>-1.1872580645864299</v>
      </c>
      <c r="AG1446">
        <v>-1.102669769986</v>
      </c>
      <c r="AH1446">
        <v>16.39567405343</v>
      </c>
      <c r="AI1446">
        <v>93.837541303851197</v>
      </c>
      <c r="AJ1446">
        <v>94.141723588293502</v>
      </c>
      <c r="AK1446">
        <v>16.4755452110054</v>
      </c>
    </row>
    <row r="1447" spans="1:37" x14ac:dyDescent="0.2">
      <c r="A1447" t="str">
        <f>"20200111150617145"</f>
        <v>20200111150617145</v>
      </c>
      <c r="B1447" t="str">
        <f>"1578726377138481"</f>
        <v>1578726377138481</v>
      </c>
      <c r="C1447" t="s">
        <v>37</v>
      </c>
      <c r="D1447">
        <v>4.3746029999999996</v>
      </c>
      <c r="E1447">
        <v>0.48052010000000001</v>
      </c>
      <c r="F1447" t="s">
        <v>39</v>
      </c>
      <c r="G1447">
        <v>-351.65949999999998</v>
      </c>
      <c r="H1447" s="1">
        <v>-3.6616120000000001E-6</v>
      </c>
      <c r="I1447">
        <v>139.99690000000001</v>
      </c>
      <c r="J1447">
        <v>-335.38459999999998</v>
      </c>
      <c r="K1447">
        <v>1.10267</v>
      </c>
      <c r="L1447">
        <v>141.34209999999999</v>
      </c>
      <c r="M1447">
        <v>-0.9998766</v>
      </c>
      <c r="N1447">
        <v>0</v>
      </c>
      <c r="O1447">
        <v>-1.1437259999999999E-2</v>
      </c>
      <c r="P1447">
        <v>-0.98511179999999998</v>
      </c>
      <c r="Q1447">
        <v>0.1695943</v>
      </c>
      <c r="R1447">
        <v>-2.8153319999999999E-2</v>
      </c>
      <c r="S1447">
        <v>-3.0723569999999998</v>
      </c>
      <c r="T1447">
        <v>-0.2025217</v>
      </c>
      <c r="U1447">
        <v>-0.24798579999999901</v>
      </c>
      <c r="V1447">
        <v>-1.6740060000000001E-2</v>
      </c>
      <c r="W1447">
        <v>0.180231</v>
      </c>
      <c r="X1447">
        <v>0.98348179999999996</v>
      </c>
      <c r="Y1447">
        <v>-6.8923499999999999E-2</v>
      </c>
      <c r="Z1447">
        <v>-1.5136710000000001E-3</v>
      </c>
      <c r="AA1447">
        <v>0.99762079999999997</v>
      </c>
      <c r="AB1447">
        <v>44</v>
      </c>
      <c r="AC1447">
        <v>-16.274899999999999</v>
      </c>
      <c r="AD1447">
        <v>-1.1026736616120001</v>
      </c>
      <c r="AE1447">
        <v>-1.34519999999997</v>
      </c>
      <c r="AF1447">
        <v>-1.1537008506807001</v>
      </c>
      <c r="AG1447">
        <v>-1.1026736616120001</v>
      </c>
      <c r="AH1447">
        <v>16.2152909119132</v>
      </c>
      <c r="AI1447">
        <v>93.880464255998803</v>
      </c>
      <c r="AJ1447">
        <v>94.069676409550198</v>
      </c>
      <c r="AK1447">
        <v>16.2936360035091</v>
      </c>
    </row>
    <row r="1448" spans="1:37" x14ac:dyDescent="0.2">
      <c r="A1448" t="str">
        <f>"20200111150617166"</f>
        <v>20200111150617166</v>
      </c>
      <c r="B1448" t="str">
        <f>"1578726377158003"</f>
        <v>1578726377158003</v>
      </c>
      <c r="C1448" t="s">
        <v>37</v>
      </c>
      <c r="D1448">
        <v>4.4398780000000002</v>
      </c>
      <c r="E1448">
        <v>0.48075839999999997</v>
      </c>
      <c r="F1448" t="s">
        <v>39</v>
      </c>
      <c r="G1448">
        <v>-353.06729999999999</v>
      </c>
      <c r="H1448" s="1">
        <v>-3.0398600000000001E-6</v>
      </c>
      <c r="I1448">
        <v>139.9298</v>
      </c>
      <c r="J1448">
        <v>-335.82130000000001</v>
      </c>
      <c r="K1448">
        <v>1.102673</v>
      </c>
      <c r="L1448">
        <v>141.3373</v>
      </c>
      <c r="M1448">
        <v>-0.99987929999999903</v>
      </c>
      <c r="N1448">
        <v>0</v>
      </c>
      <c r="O1448">
        <v>-1.1176220000000001E-2</v>
      </c>
      <c r="P1448">
        <v>-0.98496489999999903</v>
      </c>
      <c r="Q1448">
        <v>0.1705382</v>
      </c>
      <c r="R1448">
        <v>-2.758327E-2</v>
      </c>
      <c r="S1448">
        <v>-3.0712890000000002</v>
      </c>
      <c r="T1448">
        <v>-0.19152249999999901</v>
      </c>
      <c r="U1448">
        <v>-0.245285</v>
      </c>
      <c r="V1448">
        <v>-1.6428109999999999E-2</v>
      </c>
      <c r="W1448">
        <v>0.1811779</v>
      </c>
      <c r="X1448">
        <v>0.98331309999999905</v>
      </c>
      <c r="Y1448">
        <v>-6.8353689999999995E-2</v>
      </c>
      <c r="Z1448">
        <v>-1.4306810000000001E-3</v>
      </c>
      <c r="AA1448">
        <v>0.99766010000000005</v>
      </c>
      <c r="AB1448">
        <v>44</v>
      </c>
      <c r="AC1448">
        <v>-17.245999999999899</v>
      </c>
      <c r="AD1448">
        <v>-1.10267603986</v>
      </c>
      <c r="AE1448">
        <v>-1.40749999999999</v>
      </c>
      <c r="AF1448">
        <v>-1.20974296653878</v>
      </c>
      <c r="AG1448">
        <v>-1.10267603986</v>
      </c>
      <c r="AH1448">
        <v>17.190841714328901</v>
      </c>
      <c r="AI1448">
        <v>93.661079095616302</v>
      </c>
      <c r="AJ1448">
        <v>94.025346186276295</v>
      </c>
      <c r="AK1448">
        <v>17.2685961022048</v>
      </c>
    </row>
    <row r="1449" spans="1:37" x14ac:dyDescent="0.2">
      <c r="A1449" t="str">
        <f>"20200111150617188"</f>
        <v>20200111150617188</v>
      </c>
      <c r="B1449" t="str">
        <f>"1578726377177520"</f>
        <v>1578726377177520</v>
      </c>
      <c r="C1449" t="s">
        <v>37</v>
      </c>
      <c r="D1449">
        <v>4.4168969999999996</v>
      </c>
      <c r="E1449">
        <v>0.48091099999999998</v>
      </c>
      <c r="F1449" t="s">
        <v>39</v>
      </c>
      <c r="G1449">
        <v>-354.00199999999899</v>
      </c>
      <c r="H1449" s="1">
        <v>-2.631434E-6</v>
      </c>
      <c r="I1449">
        <v>139.90199999999999</v>
      </c>
      <c r="J1449">
        <v>-336.24059999999997</v>
      </c>
      <c r="K1449">
        <v>1.102671</v>
      </c>
      <c r="L1449">
        <v>141.33279999999999</v>
      </c>
      <c r="M1449">
        <v>-0.99988199999999905</v>
      </c>
      <c r="N1449">
        <v>0</v>
      </c>
      <c r="O1449">
        <v>-1.092602E-2</v>
      </c>
      <c r="P1449">
        <v>-0.984985</v>
      </c>
      <c r="Q1449">
        <v>0.17046700000000001</v>
      </c>
      <c r="R1449">
        <v>-2.7310000000000001E-2</v>
      </c>
      <c r="S1449">
        <v>-3.071259</v>
      </c>
      <c r="T1449">
        <v>-0.18627449999999901</v>
      </c>
      <c r="U1449">
        <v>-0.24244689999999999</v>
      </c>
      <c r="V1449">
        <v>-1.6400640000000001E-2</v>
      </c>
      <c r="W1449">
        <v>0.18111269999999999</v>
      </c>
      <c r="X1449">
        <v>0.98332559999999902</v>
      </c>
      <c r="Y1449">
        <v>-6.7694630000000006E-2</v>
      </c>
      <c r="Z1449">
        <v>-1.3868109999999999E-3</v>
      </c>
      <c r="AA1449">
        <v>0.99770509999999901</v>
      </c>
      <c r="AB1449">
        <v>44</v>
      </c>
      <c r="AC1449">
        <v>-17.761399999999899</v>
      </c>
      <c r="AD1449">
        <v>-1.102673631434</v>
      </c>
      <c r="AE1449">
        <v>-1.4307999999999701</v>
      </c>
      <c r="AF1449">
        <v>-1.2319243300371201</v>
      </c>
      <c r="AG1449">
        <v>-1.102673631434</v>
      </c>
      <c r="AH1449">
        <v>17.708161964359</v>
      </c>
      <c r="AI1449">
        <v>93.554594407029498</v>
      </c>
      <c r="AJ1449">
        <v>93.979550514052306</v>
      </c>
      <c r="AK1449">
        <v>17.7851771666286</v>
      </c>
    </row>
    <row r="1450" spans="1:37" x14ac:dyDescent="0.2">
      <c r="A1450" t="str">
        <f>"20200111150617209"</f>
        <v>20200111150617209</v>
      </c>
      <c r="B1450" t="str">
        <f>"1578726377198016"</f>
        <v>1578726377198016</v>
      </c>
      <c r="C1450" t="s">
        <v>37</v>
      </c>
      <c r="D1450">
        <v>4.4328440000000002</v>
      </c>
      <c r="E1450">
        <v>0.48085429999999901</v>
      </c>
      <c r="F1450" t="s">
        <v>39</v>
      </c>
      <c r="G1450">
        <v>-354.28629999999998</v>
      </c>
      <c r="H1450" s="1">
        <v>-2.515603E-6</v>
      </c>
      <c r="I1450">
        <v>139.92500000000001</v>
      </c>
      <c r="J1450">
        <v>-336.67410000000001</v>
      </c>
      <c r="K1450">
        <v>1.102668</v>
      </c>
      <c r="L1450">
        <v>141.32830000000001</v>
      </c>
      <c r="M1450">
        <v>-0.99988480000000002</v>
      </c>
      <c r="N1450">
        <v>0</v>
      </c>
      <c r="O1450">
        <v>-1.066725E-2</v>
      </c>
      <c r="P1450">
        <v>-0.98503200000000002</v>
      </c>
      <c r="Q1450">
        <v>0.17028070000000001</v>
      </c>
      <c r="R1450">
        <v>-2.677009E-2</v>
      </c>
      <c r="S1450">
        <v>-3.071564</v>
      </c>
      <c r="T1450">
        <v>-0.187686299999999</v>
      </c>
      <c r="U1450">
        <v>-0.23960879999999901</v>
      </c>
      <c r="V1450">
        <v>-1.6115170000000002E-2</v>
      </c>
      <c r="W1450">
        <v>0.1809317</v>
      </c>
      <c r="X1450">
        <v>0.9833636</v>
      </c>
      <c r="Y1450">
        <v>-6.7027999999999893E-2</v>
      </c>
      <c r="Z1450">
        <v>-1.392667E-3</v>
      </c>
      <c r="AA1450">
        <v>0.99775009999999997</v>
      </c>
      <c r="AB1450">
        <v>44</v>
      </c>
      <c r="AC1450">
        <v>-17.612199999999898</v>
      </c>
      <c r="AD1450">
        <v>-1.1026705156029999</v>
      </c>
      <c r="AE1450">
        <v>-1.4033</v>
      </c>
      <c r="AF1450">
        <v>-1.21061999703226</v>
      </c>
      <c r="AG1450">
        <v>-1.1026705156029999</v>
      </c>
      <c r="AH1450">
        <v>17.557779154856199</v>
      </c>
      <c r="AI1450">
        <v>93.585102630301293</v>
      </c>
      <c r="AJ1450">
        <v>93.944337494128803</v>
      </c>
      <c r="AK1450">
        <v>17.633975498845899</v>
      </c>
    </row>
    <row r="1451" spans="1:37" x14ac:dyDescent="0.2">
      <c r="A1451" t="str">
        <f>"20200111150617234"</f>
        <v>20200111150617234</v>
      </c>
      <c r="B1451" t="str">
        <f>"1578726377228273"</f>
        <v>1578726377228273</v>
      </c>
      <c r="C1451" t="s">
        <v>37</v>
      </c>
      <c r="D1451">
        <v>4.4071230000000003</v>
      </c>
      <c r="E1451">
        <v>0.48048559999999901</v>
      </c>
      <c r="F1451" t="s">
        <v>39</v>
      </c>
      <c r="G1451">
        <v>-354.55090000000001</v>
      </c>
      <c r="H1451" s="1">
        <v>-2.4066899999999999E-6</v>
      </c>
      <c r="I1451">
        <v>139.94220000000001</v>
      </c>
      <c r="J1451">
        <v>-337.13529999999997</v>
      </c>
      <c r="K1451">
        <v>1.102665</v>
      </c>
      <c r="L1451">
        <v>141.3235</v>
      </c>
      <c r="M1451">
        <v>-0.99988770000000005</v>
      </c>
      <c r="N1451">
        <v>0</v>
      </c>
      <c r="O1451">
        <v>-1.0391549999999999E-2</v>
      </c>
      <c r="P1451">
        <v>-0.98510869999999995</v>
      </c>
      <c r="Q1451">
        <v>0.1699148</v>
      </c>
      <c r="R1451">
        <v>-2.6266100000000001E-2</v>
      </c>
      <c r="S1451">
        <v>-3.071869</v>
      </c>
      <c r="T1451">
        <v>-0.18947829999999999</v>
      </c>
      <c r="U1451">
        <v>-0.23815919999999999</v>
      </c>
      <c r="V1451">
        <v>-1.5882719999999999E-2</v>
      </c>
      <c r="W1451">
        <v>0.1805725</v>
      </c>
      <c r="X1451">
        <v>0.98343340000000001</v>
      </c>
      <c r="Y1451">
        <v>-6.6825309999999999E-2</v>
      </c>
      <c r="Z1451">
        <v>-1.4165499999999999E-3</v>
      </c>
      <c r="AA1451">
        <v>0.99776369999999903</v>
      </c>
      <c r="AB1451">
        <v>44</v>
      </c>
      <c r="AC1451">
        <v>-17.415600000000001</v>
      </c>
      <c r="AD1451">
        <v>-1.10266740669</v>
      </c>
      <c r="AE1451">
        <v>-1.38129999999998</v>
      </c>
      <c r="AF1451">
        <v>-1.1954773335376301</v>
      </c>
      <c r="AG1451">
        <v>-1.10266740669</v>
      </c>
      <c r="AH1451">
        <v>17.3598574444954</v>
      </c>
      <c r="AI1451">
        <v>93.625879538805506</v>
      </c>
      <c r="AJ1451">
        <v>93.939423855106597</v>
      </c>
      <c r="AK1451">
        <v>17.435873707904101</v>
      </c>
    </row>
    <row r="1452" spans="1:37" x14ac:dyDescent="0.2">
      <c r="A1452" t="str">
        <f>"20200111150617255"</f>
        <v>20200111150617255</v>
      </c>
      <c r="B1452" t="str">
        <f>"1578726377247792"</f>
        <v>1578726377247792</v>
      </c>
      <c r="C1452" t="s">
        <v>37</v>
      </c>
      <c r="D1452">
        <v>4.4237869999999999</v>
      </c>
      <c r="E1452">
        <v>0.48034549999999998</v>
      </c>
      <c r="F1452" t="s">
        <v>39</v>
      </c>
      <c r="G1452">
        <v>-354.90190000000001</v>
      </c>
      <c r="H1452" s="1">
        <v>-2.254814E-6</v>
      </c>
      <c r="I1452">
        <v>139.9374</v>
      </c>
      <c r="J1452">
        <v>-337.58479999999997</v>
      </c>
      <c r="K1452">
        <v>1.1026590000000001</v>
      </c>
      <c r="L1452">
        <v>141.31909999999999</v>
      </c>
      <c r="M1452">
        <v>-0.99989030000000001</v>
      </c>
      <c r="N1452">
        <v>0</v>
      </c>
      <c r="O1452">
        <v>-1.0122890000000001E-2</v>
      </c>
      <c r="P1452">
        <v>-0.98530239999999902</v>
      </c>
      <c r="Q1452">
        <v>0.16888979999999901</v>
      </c>
      <c r="R1452">
        <v>-2.5605309999999999E-2</v>
      </c>
      <c r="S1452">
        <v>-3.0718079999999999</v>
      </c>
      <c r="T1452">
        <v>-0.1906487</v>
      </c>
      <c r="U1452">
        <v>-0.23965449999999999</v>
      </c>
      <c r="V1452">
        <v>-1.548565E-2</v>
      </c>
      <c r="W1452">
        <v>0.17955460000000001</v>
      </c>
      <c r="X1452">
        <v>0.98362609999999995</v>
      </c>
      <c r="Y1452">
        <v>-6.7574430000000005E-2</v>
      </c>
      <c r="Z1452">
        <v>-1.465105E-3</v>
      </c>
      <c r="AA1452">
        <v>0.99771309999999902</v>
      </c>
      <c r="AB1452">
        <v>44</v>
      </c>
      <c r="AC1452">
        <v>-17.3171</v>
      </c>
      <c r="AD1452">
        <v>-1.102661254814</v>
      </c>
      <c r="AE1452">
        <v>-1.3816999999999899</v>
      </c>
      <c r="AF1452">
        <v>-1.2014793056352699</v>
      </c>
      <c r="AG1452">
        <v>-1.102661254814</v>
      </c>
      <c r="AH1452">
        <v>17.260660126816401</v>
      </c>
      <c r="AI1452">
        <v>93.646454861570405</v>
      </c>
      <c r="AJ1452">
        <v>93.981819509803401</v>
      </c>
      <c r="AK1452">
        <v>17.337525843620501</v>
      </c>
    </row>
    <row r="1453" spans="1:37" x14ac:dyDescent="0.2">
      <c r="A1453" t="str">
        <f>"20200111150617278"</f>
        <v>20200111150617278</v>
      </c>
      <c r="B1453" t="str">
        <f>"1578726377268302"</f>
        <v>1578726377268302</v>
      </c>
      <c r="C1453" t="s">
        <v>37</v>
      </c>
      <c r="D1453">
        <v>4.460432</v>
      </c>
      <c r="E1453">
        <v>0.4801879</v>
      </c>
      <c r="F1453" t="s">
        <v>39</v>
      </c>
      <c r="G1453">
        <v>-354.91609999999997</v>
      </c>
      <c r="H1453" s="1">
        <v>-2.257624E-6</v>
      </c>
      <c r="I1453">
        <v>139.9708</v>
      </c>
      <c r="J1453">
        <v>-338.01400000000001</v>
      </c>
      <c r="K1453">
        <v>1.102652</v>
      </c>
      <c r="L1453">
        <v>141.31489999999999</v>
      </c>
      <c r="M1453">
        <v>-0.99989280000000003</v>
      </c>
      <c r="N1453">
        <v>0</v>
      </c>
      <c r="O1453">
        <v>-9.8662609999999994E-3</v>
      </c>
      <c r="P1453">
        <v>-0.98562719999999904</v>
      </c>
      <c r="Q1453">
        <v>0.16699749999999999</v>
      </c>
      <c r="R1453">
        <v>-2.55166E-2</v>
      </c>
      <c r="S1453">
        <v>-3.0720830000000001</v>
      </c>
      <c r="T1453">
        <v>-0.19545419999999999</v>
      </c>
      <c r="U1453">
        <v>-0.23898320000000001</v>
      </c>
      <c r="V1453">
        <v>-1.564774E-2</v>
      </c>
      <c r="W1453">
        <v>0.17767140000000001</v>
      </c>
      <c r="X1453">
        <v>0.98396550000000005</v>
      </c>
      <c r="Y1453">
        <v>-6.76007E-2</v>
      </c>
      <c r="Z1453">
        <v>-1.518957E-3</v>
      </c>
      <c r="AA1453">
        <v>0.99771129999999997</v>
      </c>
      <c r="AB1453">
        <v>44</v>
      </c>
      <c r="AC1453">
        <v>-16.902099999999901</v>
      </c>
      <c r="AD1453">
        <v>-1.1026542576239999</v>
      </c>
      <c r="AE1453">
        <v>-1.3440999999999901</v>
      </c>
      <c r="AF1453">
        <v>-1.17230634722852</v>
      </c>
      <c r="AG1453">
        <v>-1.1026542576239999</v>
      </c>
      <c r="AH1453">
        <v>16.843305314479199</v>
      </c>
      <c r="AI1453">
        <v>93.736534520840195</v>
      </c>
      <c r="AJ1453">
        <v>93.981407376895206</v>
      </c>
      <c r="AK1453">
        <v>16.9200201684387</v>
      </c>
    </row>
    <row r="1454" spans="1:37" x14ac:dyDescent="0.2">
      <c r="A1454" t="str">
        <f>"20200111150617300"</f>
        <v>20200111150617300</v>
      </c>
      <c r="B1454" t="str">
        <f>"1578726377287808"</f>
        <v>1578726377287808</v>
      </c>
      <c r="C1454" t="s">
        <v>37</v>
      </c>
      <c r="D1454">
        <v>4.3579460000000001</v>
      </c>
      <c r="E1454">
        <v>0.48011029999999999</v>
      </c>
      <c r="F1454" t="s">
        <v>39</v>
      </c>
      <c r="G1454">
        <v>-354.71600000000001</v>
      </c>
      <c r="H1454" s="1">
        <v>-2.3534819999999999E-6</v>
      </c>
      <c r="I1454">
        <v>140.00839999999999</v>
      </c>
      <c r="J1454">
        <v>-338.4522</v>
      </c>
      <c r="K1454">
        <v>1.102646</v>
      </c>
      <c r="L1454">
        <v>141.3108</v>
      </c>
      <c r="M1454">
        <v>-0.99989530000000004</v>
      </c>
      <c r="N1454">
        <v>0</v>
      </c>
      <c r="O1454">
        <v>-9.6045079999999994E-3</v>
      </c>
      <c r="P1454">
        <v>-0.98572909999999903</v>
      </c>
      <c r="Q1454">
        <v>0.1664342</v>
      </c>
      <c r="R1454">
        <v>-2.5262570000000002E-2</v>
      </c>
      <c r="S1454">
        <v>-3.0718990000000002</v>
      </c>
      <c r="T1454">
        <v>-0.20280529999999999</v>
      </c>
      <c r="U1454">
        <v>-0.2402802</v>
      </c>
      <c r="V1454">
        <v>-1.565074E-2</v>
      </c>
      <c r="W1454">
        <v>0.17711440000000001</v>
      </c>
      <c r="X1454">
        <v>0.98406579999999999</v>
      </c>
      <c r="Y1454">
        <v>-6.827424E-2</v>
      </c>
      <c r="Z1454">
        <v>-1.615441E-3</v>
      </c>
      <c r="AA1454">
        <v>0.99766529999999998</v>
      </c>
      <c r="AB1454">
        <v>44</v>
      </c>
      <c r="AC1454">
        <v>-16.2638</v>
      </c>
      <c r="AD1454">
        <v>-1.102648353482</v>
      </c>
      <c r="AE1454">
        <v>-1.3024</v>
      </c>
      <c r="AF1454">
        <v>-1.14091414410956</v>
      </c>
      <c r="AG1454">
        <v>-1.102648353482</v>
      </c>
      <c r="AH1454">
        <v>16.201562963859999</v>
      </c>
      <c r="AI1454">
        <v>93.883852120428301</v>
      </c>
      <c r="AJ1454">
        <v>94.028119408579499</v>
      </c>
      <c r="AK1454">
        <v>16.2790712556824</v>
      </c>
    </row>
    <row r="1455" spans="1:37" x14ac:dyDescent="0.2">
      <c r="A1455" t="str">
        <f>"20200111150617323"</f>
        <v>20200111150617323</v>
      </c>
      <c r="B1455" t="str">
        <f>"1578726377318065"</f>
        <v>1578726377318065</v>
      </c>
      <c r="C1455" t="s">
        <v>37</v>
      </c>
      <c r="D1455">
        <v>4.3802339999999997</v>
      </c>
      <c r="E1455">
        <v>0.47980319999999999</v>
      </c>
      <c r="F1455" t="s">
        <v>39</v>
      </c>
      <c r="G1455">
        <v>-354.9631</v>
      </c>
      <c r="H1455" s="1">
        <v>-2.2512199999999999E-6</v>
      </c>
      <c r="I1455">
        <v>140.02250000000001</v>
      </c>
      <c r="J1455">
        <v>-338.91539999999998</v>
      </c>
      <c r="K1455">
        <v>1.102641</v>
      </c>
      <c r="L1455">
        <v>141.3066</v>
      </c>
      <c r="M1455">
        <v>-0.99989789999999901</v>
      </c>
      <c r="N1455">
        <v>0</v>
      </c>
      <c r="O1455">
        <v>-9.3277359999999997E-3</v>
      </c>
      <c r="P1455">
        <v>-0.98569300000000004</v>
      </c>
      <c r="Q1455">
        <v>0.166737</v>
      </c>
      <c r="R1455">
        <v>-2.4662960000000001E-2</v>
      </c>
      <c r="S1455">
        <v>-3.07193</v>
      </c>
      <c r="T1455">
        <v>-0.20515410000000001</v>
      </c>
      <c r="U1455">
        <v>-0.23968510000000001</v>
      </c>
      <c r="V1455">
        <v>-1.5324229999999999E-2</v>
      </c>
      <c r="W1455">
        <v>0.1774222</v>
      </c>
      <c r="X1455">
        <v>0.98401550000000004</v>
      </c>
      <c r="Y1455">
        <v>-6.8353780000000003E-2</v>
      </c>
      <c r="Z1455">
        <v>-1.6551859999999999E-3</v>
      </c>
      <c r="AA1455">
        <v>0.99765969999999904</v>
      </c>
      <c r="AB1455">
        <v>44</v>
      </c>
      <c r="AC1455">
        <v>-16.047699999999999</v>
      </c>
      <c r="AD1455">
        <v>-1.10264325122</v>
      </c>
      <c r="AE1455">
        <v>-1.28409999999999</v>
      </c>
      <c r="AF1455">
        <v>-1.1290501874784</v>
      </c>
      <c r="AG1455">
        <v>-1.10264325122</v>
      </c>
      <c r="AH1455">
        <v>15.983998049430999</v>
      </c>
      <c r="AI1455">
        <v>93.936474047325305</v>
      </c>
      <c r="AJ1455">
        <v>94.040449814249001</v>
      </c>
      <c r="AK1455">
        <v>16.061717532988801</v>
      </c>
    </row>
    <row r="1456" spans="1:37" x14ac:dyDescent="0.2">
      <c r="A1456" t="str">
        <f>"20200111150617346"</f>
        <v>20200111150617346</v>
      </c>
      <c r="B1456" t="str">
        <f>"1578726377337584"</f>
        <v>1578726377337584</v>
      </c>
      <c r="C1456" t="s">
        <v>37</v>
      </c>
      <c r="D1456">
        <v>4.3646469999999997</v>
      </c>
      <c r="E1456">
        <v>0.47967719999999903</v>
      </c>
      <c r="F1456" t="s">
        <v>39</v>
      </c>
      <c r="G1456">
        <v>-355.50119999999998</v>
      </c>
      <c r="H1456" s="1">
        <v>-2.0172820000000001E-6</v>
      </c>
      <c r="I1456">
        <v>140.01089999999999</v>
      </c>
      <c r="J1456">
        <v>-339.37670000000003</v>
      </c>
      <c r="K1456">
        <v>1.102638</v>
      </c>
      <c r="L1456">
        <v>141.30250000000001</v>
      </c>
      <c r="M1456">
        <v>-0.99990029999999996</v>
      </c>
      <c r="N1456">
        <v>0</v>
      </c>
      <c r="O1456">
        <v>-9.0521549999999992E-3</v>
      </c>
      <c r="P1456">
        <v>-0.98569850000000003</v>
      </c>
      <c r="Q1456">
        <v>0.1667968</v>
      </c>
      <c r="R1456">
        <v>-2.4032319999999999E-2</v>
      </c>
      <c r="S1456">
        <v>-3.0721129999999999</v>
      </c>
      <c r="T1456">
        <v>-0.204238</v>
      </c>
      <c r="U1456">
        <v>-0.23997499999999999</v>
      </c>
      <c r="V1456">
        <v>-1.49651E-2</v>
      </c>
      <c r="W1456">
        <v>0.17748699999999901</v>
      </c>
      <c r="X1456">
        <v>0.98400940000000003</v>
      </c>
      <c r="Y1456">
        <v>-6.8717470000000003E-2</v>
      </c>
      <c r="Z1456">
        <v>-1.678035E-3</v>
      </c>
      <c r="AA1456">
        <v>0.99763480000000004</v>
      </c>
      <c r="AB1456">
        <v>44</v>
      </c>
      <c r="AC1456">
        <v>-16.124499999999902</v>
      </c>
      <c r="AD1456">
        <v>-1.1026400172819999</v>
      </c>
      <c r="AE1456">
        <v>-1.2916000000000101</v>
      </c>
      <c r="AF1456">
        <v>-1.1402788287969501</v>
      </c>
      <c r="AG1456">
        <v>-1.1026400172819999</v>
      </c>
      <c r="AH1456">
        <v>16.060906204740501</v>
      </c>
      <c r="AI1456">
        <v>93.917572190240804</v>
      </c>
      <c r="AJ1456">
        <v>94.061023805082499</v>
      </c>
      <c r="AK1456">
        <v>16.139044548317798</v>
      </c>
    </row>
    <row r="1457" spans="1:37" x14ac:dyDescent="0.2">
      <c r="A1457" t="str">
        <f>"20200111150617368"</f>
        <v>20200111150617368</v>
      </c>
      <c r="B1457" t="str">
        <f>"1578726377358080"</f>
        <v>1578726377358080</v>
      </c>
      <c r="C1457" t="s">
        <v>37</v>
      </c>
      <c r="D1457">
        <v>4.4886650000000001</v>
      </c>
      <c r="E1457">
        <v>0.47965869999999999</v>
      </c>
      <c r="F1457" t="s">
        <v>39</v>
      </c>
      <c r="G1457">
        <v>-355.93860000000001</v>
      </c>
      <c r="H1457" s="1">
        <v>-1.8305459999999899E-6</v>
      </c>
      <c r="I1457">
        <v>140.01429999999999</v>
      </c>
      <c r="J1457">
        <v>-339.81540000000001</v>
      </c>
      <c r="K1457">
        <v>1.1026389999999999</v>
      </c>
      <c r="L1457">
        <v>141.2987</v>
      </c>
      <c r="M1457">
        <v>-0.99990249999999903</v>
      </c>
      <c r="N1457">
        <v>0</v>
      </c>
      <c r="O1457">
        <v>-8.7901619999999903E-3</v>
      </c>
      <c r="P1457">
        <v>-0.98570999999999998</v>
      </c>
      <c r="Q1457">
        <v>0.16677449999999999</v>
      </c>
      <c r="R1457">
        <v>-2.370862E-2</v>
      </c>
      <c r="S1457">
        <v>-3.072327</v>
      </c>
      <c r="T1457">
        <v>-0.20454700000000001</v>
      </c>
      <c r="U1457">
        <v>-0.23895259999999999</v>
      </c>
      <c r="V1457">
        <v>-1.4899920000000001E-2</v>
      </c>
      <c r="W1457">
        <v>0.17747009999999999</v>
      </c>
      <c r="X1457">
        <v>0.98401340000000004</v>
      </c>
      <c r="Y1457">
        <v>-6.8642720000000004E-2</v>
      </c>
      <c r="Z1457">
        <v>-1.695387E-3</v>
      </c>
      <c r="AA1457">
        <v>0.99763989999999902</v>
      </c>
      <c r="AB1457">
        <v>44</v>
      </c>
      <c r="AC1457">
        <v>-16.123199999999901</v>
      </c>
      <c r="AD1457">
        <v>-1.10264083054599</v>
      </c>
      <c r="AE1457">
        <v>-1.2844</v>
      </c>
      <c r="AF1457">
        <v>-1.13733075757005</v>
      </c>
      <c r="AG1457">
        <v>-1.10264083054599</v>
      </c>
      <c r="AH1457">
        <v>16.0592326651858</v>
      </c>
      <c r="AI1457">
        <v>93.918030600572095</v>
      </c>
      <c r="AJ1457">
        <v>94.050980152592601</v>
      </c>
      <c r="AK1457">
        <v>16.1371711228416</v>
      </c>
    </row>
    <row r="1458" spans="1:37" x14ac:dyDescent="0.2">
      <c r="A1458" t="str">
        <f>"20200111150617390"</f>
        <v>20200111150617390</v>
      </c>
      <c r="B1458" t="str">
        <f>"1578726377377601"</f>
        <v>1578726377377601</v>
      </c>
      <c r="C1458" t="s">
        <v>37</v>
      </c>
      <c r="D1458">
        <v>4.3924469999999998</v>
      </c>
      <c r="E1458">
        <v>0.47927730000000002</v>
      </c>
      <c r="F1458" t="s">
        <v>39</v>
      </c>
      <c r="G1458">
        <v>-356.56330000000003</v>
      </c>
      <c r="H1458" s="1">
        <v>-1.5589199999999999E-6</v>
      </c>
      <c r="I1458">
        <v>140.00059999999999</v>
      </c>
      <c r="J1458">
        <v>-340.23779999999999</v>
      </c>
      <c r="K1458">
        <v>1.102638</v>
      </c>
      <c r="L1458">
        <v>141.29519999999999</v>
      </c>
      <c r="M1458">
        <v>-0.99990460000000003</v>
      </c>
      <c r="N1458">
        <v>0</v>
      </c>
      <c r="O1458">
        <v>-8.5380639999999997E-3</v>
      </c>
      <c r="P1458">
        <v>-0.98565879999999995</v>
      </c>
      <c r="Q1458">
        <v>0.16705429999999999</v>
      </c>
      <c r="R1458">
        <v>-2.3870430000000002E-2</v>
      </c>
      <c r="S1458">
        <v>-3.0719599999999998</v>
      </c>
      <c r="T1458">
        <v>-0.20225099999999999</v>
      </c>
      <c r="U1458">
        <v>-0.23808289999999999</v>
      </c>
      <c r="V1458">
        <v>-1.5309690000000001E-2</v>
      </c>
      <c r="W1458">
        <v>0.17775489999999999</v>
      </c>
      <c r="X1458">
        <v>0.98395569999999899</v>
      </c>
      <c r="Y1458">
        <v>-6.862509E-2</v>
      </c>
      <c r="Z1458">
        <v>-1.6925879999999901E-3</v>
      </c>
      <c r="AA1458">
        <v>0.99764109999999995</v>
      </c>
      <c r="AB1458">
        <v>44</v>
      </c>
      <c r="AC1458">
        <v>-16.325500000000002</v>
      </c>
      <c r="AD1458">
        <v>-1.10263955892</v>
      </c>
      <c r="AE1458">
        <v>-1.2946</v>
      </c>
      <c r="AF1458">
        <v>-1.1499434199974901</v>
      </c>
      <c r="AG1458">
        <v>-1.10263955892</v>
      </c>
      <c r="AH1458">
        <v>16.2622377614973</v>
      </c>
      <c r="AI1458">
        <v>93.869295483070402</v>
      </c>
      <c r="AJ1458">
        <v>94.044794864770793</v>
      </c>
      <c r="AK1458">
        <v>16.3400906018773</v>
      </c>
    </row>
    <row r="1459" spans="1:37" x14ac:dyDescent="0.2">
      <c r="A1459" t="str">
        <f>"20200111150617412"</f>
        <v>20200111150617412</v>
      </c>
      <c r="B1459" t="str">
        <f>"1578726377407590"</f>
        <v>1578726377407590</v>
      </c>
      <c r="C1459" t="s">
        <v>37</v>
      </c>
      <c r="D1459">
        <v>4.4621409999999999</v>
      </c>
      <c r="E1459">
        <v>0.47972589999999998</v>
      </c>
      <c r="F1459" t="s">
        <v>39</v>
      </c>
      <c r="G1459">
        <v>-356.9957</v>
      </c>
      <c r="H1459" s="1">
        <v>-1.36717E-6</v>
      </c>
      <c r="I1459">
        <v>139.97720000000001</v>
      </c>
      <c r="J1459">
        <v>-340.6859</v>
      </c>
      <c r="K1459">
        <v>1.1026419999999999</v>
      </c>
      <c r="L1459">
        <v>141.29150000000001</v>
      </c>
      <c r="M1459">
        <v>-0.99990699999999999</v>
      </c>
      <c r="N1459">
        <v>0</v>
      </c>
      <c r="O1459">
        <v>-8.2704719999999992E-3</v>
      </c>
      <c r="P1459">
        <v>-0.98552079999999997</v>
      </c>
      <c r="Q1459">
        <v>0.16783319999999999</v>
      </c>
      <c r="R1459">
        <v>-2.4103949999999999E-2</v>
      </c>
      <c r="S1459">
        <v>-3.0720519999999998</v>
      </c>
      <c r="T1459">
        <v>-0.2021357</v>
      </c>
      <c r="U1459">
        <v>-0.24159239999999901</v>
      </c>
      <c r="V1459">
        <v>-1.5807559999999998E-2</v>
      </c>
      <c r="W1459">
        <v>0.17853849999999999</v>
      </c>
      <c r="X1459">
        <v>0.98380599999999996</v>
      </c>
      <c r="Y1459">
        <v>-7.0019120000000004E-2</v>
      </c>
      <c r="Z1459">
        <v>-1.754802E-3</v>
      </c>
      <c r="AA1459">
        <v>0.99754409999999905</v>
      </c>
      <c r="AB1459">
        <v>44</v>
      </c>
      <c r="AC1459">
        <v>-16.3097999999999</v>
      </c>
      <c r="AD1459">
        <v>-1.10264336717</v>
      </c>
      <c r="AE1459">
        <v>-1.3143</v>
      </c>
      <c r="AF1459">
        <v>-1.17402599004872</v>
      </c>
      <c r="AG1459">
        <v>-1.10264336717</v>
      </c>
      <c r="AH1459">
        <v>16.2463362803148</v>
      </c>
      <c r="AI1459">
        <v>93.872658376973106</v>
      </c>
      <c r="AJ1459">
        <v>94.133240109695194</v>
      </c>
      <c r="AK1459">
        <v>16.325979356643401</v>
      </c>
    </row>
    <row r="1460" spans="1:37" x14ac:dyDescent="0.2">
      <c r="A1460" t="str">
        <f>"20200111150617434"</f>
        <v>20200111150617434</v>
      </c>
      <c r="B1460" t="str">
        <f>"1578726377428086"</f>
        <v>1578726377428086</v>
      </c>
      <c r="C1460" t="s">
        <v>37</v>
      </c>
      <c r="D1460">
        <v>4.4400000000000004</v>
      </c>
      <c r="E1460">
        <v>0.48033350000000002</v>
      </c>
      <c r="F1460" t="s">
        <v>39</v>
      </c>
      <c r="G1460">
        <v>-357.76170000000002</v>
      </c>
      <c r="H1460" s="1">
        <v>-1.034891E-6</v>
      </c>
      <c r="I1460">
        <v>139.96340000000001</v>
      </c>
      <c r="J1460">
        <v>-341.12459999999999</v>
      </c>
      <c r="K1460">
        <v>1.102646</v>
      </c>
      <c r="L1460">
        <v>141.28809999999999</v>
      </c>
      <c r="M1460">
        <v>-0.99990900000000005</v>
      </c>
      <c r="N1460">
        <v>0</v>
      </c>
      <c r="O1460">
        <v>-8.0088380000000008E-3</v>
      </c>
      <c r="P1460">
        <v>-0.98547819999999997</v>
      </c>
      <c r="Q1460">
        <v>0.16808190000000001</v>
      </c>
      <c r="R1460">
        <v>-2.4112680000000001E-2</v>
      </c>
      <c r="S1460">
        <v>-3.0720209999999999</v>
      </c>
      <c r="T1460">
        <v>-0.19837149999999901</v>
      </c>
      <c r="U1460">
        <v>-0.2389221</v>
      </c>
      <c r="V1460">
        <v>-1.60742E-2</v>
      </c>
      <c r="W1460">
        <v>0.17879229999999999</v>
      </c>
      <c r="X1460">
        <v>0.9837555</v>
      </c>
      <c r="Y1460">
        <v>-6.9424630000000001E-2</v>
      </c>
      <c r="Z1460">
        <v>-1.719971E-3</v>
      </c>
      <c r="AA1460">
        <v>0.99758570000000002</v>
      </c>
      <c r="AB1460">
        <v>44</v>
      </c>
      <c r="AC1460">
        <v>-16.6371</v>
      </c>
      <c r="AD1460">
        <v>-1.102647034891</v>
      </c>
      <c r="AE1460">
        <v>-1.32469999999997</v>
      </c>
      <c r="AF1460">
        <v>-1.18622806682888</v>
      </c>
      <c r="AG1460">
        <v>-1.102647034891</v>
      </c>
      <c r="AH1460">
        <v>16.574829026071001</v>
      </c>
      <c r="AI1460">
        <v>93.796334794831694</v>
      </c>
      <c r="AJ1460">
        <v>94.093567236294405</v>
      </c>
      <c r="AK1460">
        <v>16.653766083188899</v>
      </c>
    </row>
    <row r="1461" spans="1:37" x14ac:dyDescent="0.2">
      <c r="A1461" t="str">
        <f>"20200111150617457"</f>
        <v>20200111150617457</v>
      </c>
      <c r="B1461" t="str">
        <f>"1578726377447606"</f>
        <v>1578726377447606</v>
      </c>
      <c r="C1461" t="s">
        <v>37</v>
      </c>
      <c r="D1461">
        <v>4.4430769999999997</v>
      </c>
      <c r="E1461">
        <v>0.48091250000000002</v>
      </c>
      <c r="F1461" t="s">
        <v>39</v>
      </c>
      <c r="G1461">
        <v>-358.37799999999999</v>
      </c>
      <c r="H1461" s="1">
        <v>-7.7281730000000001E-7</v>
      </c>
      <c r="I1461">
        <v>139.97200000000001</v>
      </c>
      <c r="J1461">
        <v>-341.59109999999998</v>
      </c>
      <c r="K1461">
        <v>1.102646</v>
      </c>
      <c r="L1461">
        <v>141.28460000000001</v>
      </c>
      <c r="M1461">
        <v>-0.99991109999999905</v>
      </c>
      <c r="N1461">
        <v>0</v>
      </c>
      <c r="O1461">
        <v>-7.7303959999999996E-3</v>
      </c>
      <c r="P1461">
        <v>-0.98547949999999995</v>
      </c>
      <c r="Q1461">
        <v>0.16809189999999999</v>
      </c>
      <c r="R1461">
        <v>-2.3985969999999999E-2</v>
      </c>
      <c r="S1461">
        <v>-3.0719910000000001</v>
      </c>
      <c r="T1461">
        <v>-0.19632839999999999</v>
      </c>
      <c r="U1461">
        <v>-0.23431399999999999</v>
      </c>
      <c r="V1461">
        <v>-1.6221920000000001E-2</v>
      </c>
      <c r="W1461">
        <v>0.17880779999999999</v>
      </c>
      <c r="X1461">
        <v>0.98375029999999997</v>
      </c>
      <c r="Y1461">
        <v>-6.8219989999999994E-2</v>
      </c>
      <c r="Z1461">
        <v>-1.681756E-3</v>
      </c>
      <c r="AA1461">
        <v>0.99766889999999997</v>
      </c>
      <c r="AB1461">
        <v>45</v>
      </c>
      <c r="AC1461">
        <v>-16.786899999999999</v>
      </c>
      <c r="AD1461">
        <v>-1.1026467728172999</v>
      </c>
      <c r="AE1461">
        <v>-1.3126</v>
      </c>
      <c r="AF1461">
        <v>-1.1777332636870601</v>
      </c>
      <c r="AG1461">
        <v>-1.1026467728172999</v>
      </c>
      <c r="AH1461">
        <v>16.724824886156899</v>
      </c>
      <c r="AI1461">
        <v>93.7626895741856</v>
      </c>
      <c r="AJ1461">
        <v>94.028020593154494</v>
      </c>
      <c r="AK1461">
        <v>16.8024597312005</v>
      </c>
    </row>
    <row r="1462" spans="1:37" x14ac:dyDescent="0.2">
      <c r="A1462" t="str">
        <f>"20200111150617478"</f>
        <v>20200111150617478</v>
      </c>
      <c r="B1462" t="str">
        <f>"1578726377468102"</f>
        <v>1578726377468102</v>
      </c>
      <c r="C1462" t="s">
        <v>37</v>
      </c>
      <c r="D1462">
        <v>4.4594949999999898</v>
      </c>
      <c r="E1462">
        <v>0.48148570000000002</v>
      </c>
      <c r="F1462" t="s">
        <v>39</v>
      </c>
      <c r="G1462">
        <v>-358.92430000000002</v>
      </c>
      <c r="H1462" s="1">
        <v>-5.4367529999999995E-7</v>
      </c>
      <c r="I1462">
        <v>139.99180000000001</v>
      </c>
      <c r="J1462">
        <v>-342.00720000000001</v>
      </c>
      <c r="K1462">
        <v>1.1026450000000001</v>
      </c>
      <c r="L1462">
        <v>141.28149999999999</v>
      </c>
      <c r="M1462">
        <v>-0.99991299999999905</v>
      </c>
      <c r="N1462">
        <v>0</v>
      </c>
      <c r="O1462">
        <v>-7.4825869999999997E-3</v>
      </c>
      <c r="P1462">
        <v>-0.98547430000000003</v>
      </c>
      <c r="Q1462">
        <v>0.16819899999999999</v>
      </c>
      <c r="R1462">
        <v>-2.3450189999999999E-2</v>
      </c>
      <c r="S1462">
        <v>-3.0719910000000001</v>
      </c>
      <c r="T1462">
        <v>-0.19542379999999901</v>
      </c>
      <c r="U1462">
        <v>-0.2291107</v>
      </c>
      <c r="V1462">
        <v>-1.5930280000000002E-2</v>
      </c>
      <c r="W1462">
        <v>0.17891949999999901</v>
      </c>
      <c r="X1462">
        <v>0.98373469999999996</v>
      </c>
      <c r="Y1462">
        <v>-6.6790390000000005E-2</v>
      </c>
      <c r="Z1462">
        <v>-1.64449E-3</v>
      </c>
      <c r="AA1462">
        <v>0.99776569999999998</v>
      </c>
      <c r="AB1462">
        <v>45</v>
      </c>
      <c r="AC1462">
        <v>-16.917100000000001</v>
      </c>
      <c r="AD1462">
        <v>-1.1026455436753</v>
      </c>
      <c r="AE1462">
        <v>-1.2896999999999801</v>
      </c>
      <c r="AF1462">
        <v>-1.15818082619379</v>
      </c>
      <c r="AG1462">
        <v>-1.1026455436753</v>
      </c>
      <c r="AH1462">
        <v>16.8550847284646</v>
      </c>
      <c r="AI1462">
        <v>93.734128397786293</v>
      </c>
      <c r="AJ1462">
        <v>93.930845129736298</v>
      </c>
      <c r="AK1462">
        <v>16.930773497536102</v>
      </c>
    </row>
    <row r="1463" spans="1:37" x14ac:dyDescent="0.2">
      <c r="A1463" t="str">
        <f>"20200111150617501"</f>
        <v>20200111150617501</v>
      </c>
      <c r="B1463" t="str">
        <f>"1578726377498358"</f>
        <v>1578726377498358</v>
      </c>
      <c r="C1463" t="s">
        <v>37</v>
      </c>
      <c r="D1463">
        <v>4.4603269999999897</v>
      </c>
      <c r="E1463">
        <v>0.48204839999999999</v>
      </c>
      <c r="F1463" t="s">
        <v>39</v>
      </c>
      <c r="G1463">
        <v>-359.4076</v>
      </c>
      <c r="H1463" s="1">
        <v>-3.4355879999999998E-7</v>
      </c>
      <c r="I1463">
        <v>140.0188</v>
      </c>
      <c r="J1463">
        <v>-342.45069999999998</v>
      </c>
      <c r="K1463">
        <v>1.102638</v>
      </c>
      <c r="L1463">
        <v>141.2784</v>
      </c>
      <c r="M1463">
        <v>-0.99991489999999905</v>
      </c>
      <c r="N1463">
        <v>0</v>
      </c>
      <c r="O1463">
        <v>-7.218566E-3</v>
      </c>
      <c r="P1463">
        <v>-0.98551979999999995</v>
      </c>
      <c r="Q1463">
        <v>0.1679881</v>
      </c>
      <c r="R1463">
        <v>-2.3052070000000001E-2</v>
      </c>
      <c r="S1463">
        <v>-3.072174</v>
      </c>
      <c r="T1463">
        <v>-0.1946812</v>
      </c>
      <c r="U1463">
        <v>-0.22293089999999999</v>
      </c>
      <c r="V1463">
        <v>-1.5792029999999999E-2</v>
      </c>
      <c r="W1463">
        <v>0.17871400000000001</v>
      </c>
      <c r="X1463">
        <v>0.98377429999999999</v>
      </c>
      <c r="Y1463">
        <v>-6.5056909999999996E-2</v>
      </c>
      <c r="Z1463">
        <v>-1.6001679999999999E-3</v>
      </c>
      <c r="AA1463">
        <v>0.99788029999999905</v>
      </c>
      <c r="AB1463">
        <v>45</v>
      </c>
      <c r="AC1463">
        <v>-16.956900000000001</v>
      </c>
      <c r="AD1463">
        <v>-1.1026383435588001</v>
      </c>
      <c r="AE1463">
        <v>-1.2596000000000001</v>
      </c>
      <c r="AF1463">
        <v>-1.1323935424128999</v>
      </c>
      <c r="AG1463">
        <v>-1.1026383435588001</v>
      </c>
      <c r="AH1463">
        <v>16.8945069335903</v>
      </c>
      <c r="AI1463">
        <v>93.725838717903102</v>
      </c>
      <c r="AJ1463">
        <v>93.834646888889196</v>
      </c>
      <c r="AK1463">
        <v>16.968278963427998</v>
      </c>
    </row>
    <row r="1464" spans="1:37" x14ac:dyDescent="0.2">
      <c r="A1464" t="str">
        <f>"20200111150617523"</f>
        <v>20200111150617523</v>
      </c>
      <c r="B1464" t="str">
        <f>"1578726377517878"</f>
        <v>1578726377517878</v>
      </c>
      <c r="C1464" t="s">
        <v>37</v>
      </c>
      <c r="D1464">
        <v>4.4702409999999997</v>
      </c>
      <c r="E1464">
        <v>0.48239129999999902</v>
      </c>
      <c r="F1464" t="s">
        <v>39</v>
      </c>
      <c r="G1464">
        <v>-359.93540000000002</v>
      </c>
      <c r="H1464" s="1">
        <v>-1.2361359999999999E-7</v>
      </c>
      <c r="I1464">
        <v>140.04310000000001</v>
      </c>
      <c r="J1464">
        <v>-342.90780000000001</v>
      </c>
      <c r="K1464">
        <v>1.1026400000000001</v>
      </c>
      <c r="L1464">
        <v>141.27529999999999</v>
      </c>
      <c r="M1464">
        <v>-0.99991669999999999</v>
      </c>
      <c r="N1464">
        <v>0</v>
      </c>
      <c r="O1464">
        <v>-6.9464419999999997E-3</v>
      </c>
      <c r="P1464">
        <v>-0.98560400000000004</v>
      </c>
      <c r="Q1464">
        <v>0.16761280000000001</v>
      </c>
      <c r="R1464">
        <v>-2.216398E-2</v>
      </c>
      <c r="S1464">
        <v>-3.0720209999999999</v>
      </c>
      <c r="T1464">
        <v>-0.19373109999999999</v>
      </c>
      <c r="U1464">
        <v>-0.21702579999999999</v>
      </c>
      <c r="V1464">
        <v>-1.5171509999999999E-2</v>
      </c>
      <c r="W1464">
        <v>0.17834469999999999</v>
      </c>
      <c r="X1464">
        <v>0.98385109999999998</v>
      </c>
      <c r="Y1464">
        <v>-6.3427369999999997E-2</v>
      </c>
      <c r="Z1464">
        <v>-1.5584150000000001E-3</v>
      </c>
      <c r="AA1464">
        <v>0.99798519999999902</v>
      </c>
      <c r="AB1464">
        <v>45</v>
      </c>
      <c r="AC1464">
        <v>-17.0276</v>
      </c>
      <c r="AD1464">
        <v>-1.1026401236136001</v>
      </c>
      <c r="AE1464">
        <v>-1.23219999999997</v>
      </c>
      <c r="AF1464">
        <v>-1.1092547745919901</v>
      </c>
      <c r="AG1464">
        <v>-1.1026401236136001</v>
      </c>
      <c r="AH1464">
        <v>16.964979607902301</v>
      </c>
      <c r="AI1464">
        <v>93.710811432881599</v>
      </c>
      <c r="AJ1464">
        <v>93.740958090605204</v>
      </c>
      <c r="AK1464">
        <v>17.036924443505001</v>
      </c>
    </row>
    <row r="1465" spans="1:37" x14ac:dyDescent="0.2">
      <c r="A1465" t="str">
        <f>"20200111150617546"</f>
        <v>20200111150617546</v>
      </c>
      <c r="B1465" t="str">
        <f>"1578726377538390"</f>
        <v>1578726377538390</v>
      </c>
      <c r="C1465" t="s">
        <v>37</v>
      </c>
      <c r="D1465">
        <v>4.4865309999999896</v>
      </c>
      <c r="E1465">
        <v>0.48268100000000003</v>
      </c>
      <c r="F1465" t="s">
        <v>39</v>
      </c>
      <c r="G1465">
        <v>-360.34390000000002</v>
      </c>
      <c r="H1465" s="1">
        <v>-4.2400640000000001E-6</v>
      </c>
      <c r="I1465">
        <v>140.07339999999999</v>
      </c>
      <c r="J1465">
        <v>-343.36529999999999</v>
      </c>
      <c r="K1465">
        <v>1.102635</v>
      </c>
      <c r="L1465">
        <v>141.2724</v>
      </c>
      <c r="M1465">
        <v>-0.99991849999999904</v>
      </c>
      <c r="N1465">
        <v>0</v>
      </c>
      <c r="O1465">
        <v>-6.6740799999999998E-3</v>
      </c>
      <c r="P1465">
        <v>-0.98556749999999904</v>
      </c>
      <c r="Q1465">
        <v>0.167838299999999</v>
      </c>
      <c r="R1465">
        <v>-2.2073249999999999E-2</v>
      </c>
      <c r="S1465">
        <v>-3.0721129999999999</v>
      </c>
      <c r="T1465">
        <v>-0.194277799999999</v>
      </c>
      <c r="U1465">
        <v>-0.21176149999999999</v>
      </c>
      <c r="V1465">
        <v>-1.534959E-2</v>
      </c>
      <c r="W1465">
        <v>0.17857509999999999</v>
      </c>
      <c r="X1465">
        <v>0.98380659999999898</v>
      </c>
      <c r="Y1465">
        <v>-6.1996879999999997E-2</v>
      </c>
      <c r="Z1465">
        <v>-1.53490299999999E-3</v>
      </c>
      <c r="AA1465">
        <v>0.99807520000000005</v>
      </c>
      <c r="AB1465">
        <v>45</v>
      </c>
      <c r="AC1465">
        <v>-16.9786</v>
      </c>
      <c r="AD1465">
        <v>-1.1026392400639999</v>
      </c>
      <c r="AE1465">
        <v>-1.1990000000000101</v>
      </c>
      <c r="AF1465">
        <v>-1.0811129938894699</v>
      </c>
      <c r="AG1465">
        <v>-1.1026392400639999</v>
      </c>
      <c r="AH1465">
        <v>16.915237181025201</v>
      </c>
      <c r="AI1465">
        <v>93.722041753604401</v>
      </c>
      <c r="AJ1465">
        <v>93.657002994510194</v>
      </c>
      <c r="AK1465">
        <v>16.9855782206442</v>
      </c>
    </row>
    <row r="1466" spans="1:37" x14ac:dyDescent="0.2">
      <c r="A1466" t="str">
        <f>"20200111150617567"</f>
        <v>20200111150617567</v>
      </c>
      <c r="B1466" t="str">
        <f>"1578726377557894"</f>
        <v>1578726377557894</v>
      </c>
      <c r="C1466" t="s">
        <v>37</v>
      </c>
      <c r="D1466">
        <v>4.514443</v>
      </c>
      <c r="E1466">
        <v>0.48302849999999897</v>
      </c>
      <c r="F1466" t="s">
        <v>39</v>
      </c>
      <c r="G1466">
        <v>-360.85489999999999</v>
      </c>
      <c r="H1466" s="1">
        <v>-4.0296069999999902E-6</v>
      </c>
      <c r="I1466">
        <v>140.08250000000001</v>
      </c>
      <c r="J1466">
        <v>-343.79820000000001</v>
      </c>
      <c r="K1466">
        <v>1.1026309999999999</v>
      </c>
      <c r="L1466">
        <v>141.2697</v>
      </c>
      <c r="M1466">
        <v>-0.99992009999999898</v>
      </c>
      <c r="N1466">
        <v>0</v>
      </c>
      <c r="O1466">
        <v>-6.4163800000000002E-3</v>
      </c>
      <c r="P1466">
        <v>-0.98560029999999998</v>
      </c>
      <c r="Q1466">
        <v>0.16764809999999999</v>
      </c>
      <c r="R1466">
        <v>-2.2061420000000002E-2</v>
      </c>
      <c r="S1466">
        <v>-3.072235</v>
      </c>
      <c r="T1466">
        <v>-0.19369149999999999</v>
      </c>
      <c r="U1466">
        <v>-0.20899960000000001</v>
      </c>
      <c r="V1466">
        <v>-1.5591249999999999E-2</v>
      </c>
      <c r="W1466">
        <v>0.1783902</v>
      </c>
      <c r="X1466">
        <v>0.9838363</v>
      </c>
      <c r="Y1466">
        <v>-6.1359730000000001E-2</v>
      </c>
      <c r="Z1466">
        <v>-1.526435E-3</v>
      </c>
      <c r="AA1466">
        <v>0.99811450000000002</v>
      </c>
      <c r="AB1466">
        <v>45</v>
      </c>
      <c r="AC1466">
        <v>-17.0566999999999</v>
      </c>
      <c r="AD1466">
        <v>-1.102635029607</v>
      </c>
      <c r="AE1466">
        <v>-1.18719999999999</v>
      </c>
      <c r="AF1466">
        <v>-1.0732632427066</v>
      </c>
      <c r="AG1466">
        <v>-1.102635029607</v>
      </c>
      <c r="AH1466">
        <v>16.993294034209399</v>
      </c>
      <c r="AI1466">
        <v>93.705155222108203</v>
      </c>
      <c r="AJ1466">
        <v>93.613889372228996</v>
      </c>
      <c r="AK1466">
        <v>17.062817473376398</v>
      </c>
    </row>
    <row r="1467" spans="1:37" x14ac:dyDescent="0.2">
      <c r="A1467" t="str">
        <f>"20200111150617590"</f>
        <v>20200111150617590</v>
      </c>
      <c r="B1467" t="str">
        <f>"1578726377588150"</f>
        <v>1578726377588150</v>
      </c>
      <c r="C1467" t="s">
        <v>37</v>
      </c>
      <c r="D1467">
        <v>4.4925280000000001</v>
      </c>
      <c r="E1467">
        <v>0.48364200000000002</v>
      </c>
      <c r="F1467" t="s">
        <v>39</v>
      </c>
      <c r="G1467">
        <v>-361.24489999999997</v>
      </c>
      <c r="H1467" s="1">
        <v>-3.8664699999999998E-6</v>
      </c>
      <c r="I1467">
        <v>140.09829999999999</v>
      </c>
      <c r="J1467">
        <v>-344.23750000000001</v>
      </c>
      <c r="K1467">
        <v>1.102635</v>
      </c>
      <c r="L1467">
        <v>141.2671</v>
      </c>
      <c r="M1467">
        <v>-0.99992169999999903</v>
      </c>
      <c r="N1467">
        <v>0</v>
      </c>
      <c r="O1467">
        <v>-6.154746E-3</v>
      </c>
      <c r="P1467">
        <v>-0.98563049999999996</v>
      </c>
      <c r="Q1467">
        <v>0.16762560000000001</v>
      </c>
      <c r="R1467">
        <v>-2.0839380000000001E-2</v>
      </c>
      <c r="S1467">
        <v>-3.072235</v>
      </c>
      <c r="T1467">
        <v>-0.19416620000000001</v>
      </c>
      <c r="U1467">
        <v>-0.20626829999999999</v>
      </c>
      <c r="V1467">
        <v>-1.4626760000000001E-2</v>
      </c>
      <c r="W1467">
        <v>0.17837239999999999</v>
      </c>
      <c r="X1467">
        <v>0.98385440000000002</v>
      </c>
      <c r="Y1467">
        <v>-6.0737729999999997E-2</v>
      </c>
      <c r="Z1467">
        <v>-1.5271E-3</v>
      </c>
      <c r="AA1467">
        <v>0.99815259999999995</v>
      </c>
      <c r="AB1467">
        <v>45</v>
      </c>
      <c r="AC1467">
        <v>-17.007399999999901</v>
      </c>
      <c r="AD1467">
        <v>-1.10263886647</v>
      </c>
      <c r="AE1467">
        <v>-1.1688000000000001</v>
      </c>
      <c r="AF1467">
        <v>-1.0596622737166901</v>
      </c>
      <c r="AG1467">
        <v>-1.10263886647</v>
      </c>
      <c r="AH1467">
        <v>16.943388494367799</v>
      </c>
      <c r="AI1467">
        <v>93.716193919535797</v>
      </c>
      <c r="AJ1467">
        <v>93.578693939069595</v>
      </c>
      <c r="AK1467">
        <v>17.012263525917501</v>
      </c>
    </row>
    <row r="1468" spans="1:37" x14ac:dyDescent="0.2">
      <c r="A1468" t="str">
        <f>"20200111150617612"</f>
        <v>20200111150617612</v>
      </c>
      <c r="B1468" t="str">
        <f>"1578726377607670"</f>
        <v>1578726377607670</v>
      </c>
      <c r="C1468" t="s">
        <v>37</v>
      </c>
      <c r="D1468">
        <v>4.4852019999999904</v>
      </c>
      <c r="E1468">
        <v>0.48400479999999901</v>
      </c>
      <c r="F1468" t="s">
        <v>39</v>
      </c>
      <c r="G1468">
        <v>-361.66059999999999</v>
      </c>
      <c r="H1468" s="1">
        <v>-3.698497E-6</v>
      </c>
      <c r="I1468">
        <v>140.13720000000001</v>
      </c>
      <c r="J1468">
        <v>-344.68189999999998</v>
      </c>
      <c r="K1468">
        <v>1.1026370000000001</v>
      </c>
      <c r="L1468">
        <v>141.2645</v>
      </c>
      <c r="M1468">
        <v>-0.99992329999999996</v>
      </c>
      <c r="N1468">
        <v>0</v>
      </c>
      <c r="O1468">
        <v>-5.8902519999999899E-3</v>
      </c>
      <c r="P1468">
        <v>-0.98562209999999995</v>
      </c>
      <c r="Q1468">
        <v>0.1678839</v>
      </c>
      <c r="R1468">
        <v>-1.9093450000000001E-2</v>
      </c>
      <c r="S1468">
        <v>-3.0725709999999999</v>
      </c>
      <c r="T1468">
        <v>-0.19445119999999999</v>
      </c>
      <c r="U1468">
        <v>-0.19923399999999999</v>
      </c>
      <c r="V1468">
        <v>-1.314129E-2</v>
      </c>
      <c r="W1468">
        <v>0.17863419999999999</v>
      </c>
      <c r="X1468">
        <v>0.98382780000000003</v>
      </c>
      <c r="Y1468">
        <v>-5.8722280000000002E-2</v>
      </c>
      <c r="Z1468">
        <v>-1.4823429999999999E-3</v>
      </c>
      <c r="AA1468">
        <v>0.99827330000000003</v>
      </c>
      <c r="AB1468">
        <v>45</v>
      </c>
      <c r="AC1468">
        <v>-16.9787</v>
      </c>
      <c r="AD1468">
        <v>-1.1026406984970001</v>
      </c>
      <c r="AE1468">
        <v>-1.12729999999999</v>
      </c>
      <c r="AF1468">
        <v>-1.02297020240645</v>
      </c>
      <c r="AG1468">
        <v>-1.1026406984970001</v>
      </c>
      <c r="AH1468">
        <v>16.914023423508599</v>
      </c>
      <c r="AI1468">
        <v>93.723102589143807</v>
      </c>
      <c r="AJ1468">
        <v>93.461066869390507</v>
      </c>
      <c r="AK1468">
        <v>16.980767736353702</v>
      </c>
    </row>
    <row r="1469" spans="1:37" x14ac:dyDescent="0.2">
      <c r="A1469" t="str">
        <f>"20200111150617635"</f>
        <v>20200111150617635</v>
      </c>
      <c r="B1469" t="str">
        <f>"1578726377628170"</f>
        <v>1578726377628170</v>
      </c>
      <c r="C1469" t="s">
        <v>37</v>
      </c>
      <c r="D1469">
        <v>4.5395139999999996</v>
      </c>
      <c r="E1469">
        <v>0.48454239999999998</v>
      </c>
      <c r="F1469" t="s">
        <v>39</v>
      </c>
      <c r="G1469">
        <v>-362.2396</v>
      </c>
      <c r="H1469" s="1">
        <v>-3.4602589999999899E-6</v>
      </c>
      <c r="I1469">
        <v>140.1754</v>
      </c>
      <c r="J1469">
        <v>-345.15230000000003</v>
      </c>
      <c r="K1469">
        <v>1.102635</v>
      </c>
      <c r="L1469">
        <v>141.262</v>
      </c>
      <c r="M1469">
        <v>-0.99992479999999995</v>
      </c>
      <c r="N1469">
        <v>0</v>
      </c>
      <c r="O1469">
        <v>-5.6099030000000003E-3</v>
      </c>
      <c r="P1469">
        <v>-0.98560650000000005</v>
      </c>
      <c r="Q1469">
        <v>0.1680101</v>
      </c>
      <c r="R1469">
        <v>-1.8783279999999999E-2</v>
      </c>
      <c r="S1469">
        <v>-3.0729060000000001</v>
      </c>
      <c r="T1469">
        <v>-0.19298289999999901</v>
      </c>
      <c r="U1469">
        <v>-0.1906128</v>
      </c>
      <c r="V1469">
        <v>-1.3107189999999999E-2</v>
      </c>
      <c r="W1469">
        <v>0.1787656</v>
      </c>
      <c r="X1469">
        <v>0.98380440000000002</v>
      </c>
      <c r="Y1469">
        <v>-5.621139E-2</v>
      </c>
      <c r="Z1469">
        <v>-1.4100219999999999E-3</v>
      </c>
      <c r="AA1469">
        <v>0.99841789999999997</v>
      </c>
      <c r="AB1469">
        <v>45</v>
      </c>
      <c r="AC1469">
        <v>-17.0872999999999</v>
      </c>
      <c r="AD1469">
        <v>-1.102638460259</v>
      </c>
      <c r="AE1469">
        <v>-1.0866</v>
      </c>
      <c r="AF1469">
        <v>-0.98662725260643702</v>
      </c>
      <c r="AG1469">
        <v>-1.102638460259</v>
      </c>
      <c r="AH1469">
        <v>17.022529430112201</v>
      </c>
      <c r="AI1469">
        <v>93.699977973921605</v>
      </c>
      <c r="AJ1469">
        <v>93.317157051302004</v>
      </c>
      <c r="AK1469">
        <v>17.0867127648552</v>
      </c>
    </row>
    <row r="1470" spans="1:37" x14ac:dyDescent="0.2">
      <c r="A1470" t="str">
        <f>"20200111150617657"</f>
        <v>20200111150617657</v>
      </c>
      <c r="B1470" t="str">
        <f>"1578726377647686"</f>
        <v>1578726377647686</v>
      </c>
      <c r="C1470" t="s">
        <v>37</v>
      </c>
      <c r="D1470">
        <v>4.5281919999999998</v>
      </c>
      <c r="E1470">
        <v>0.4850507</v>
      </c>
      <c r="F1470" t="s">
        <v>39</v>
      </c>
      <c r="G1470">
        <v>-362.69240000000002</v>
      </c>
      <c r="H1470" s="1">
        <v>-3.2751479999999998E-6</v>
      </c>
      <c r="I1470">
        <v>140.20959999999999</v>
      </c>
      <c r="J1470">
        <v>-345.58629999999999</v>
      </c>
      <c r="K1470">
        <v>1.1026290000000001</v>
      </c>
      <c r="L1470">
        <v>141.25970000000001</v>
      </c>
      <c r="M1470">
        <v>-0.99992619999999899</v>
      </c>
      <c r="N1470">
        <v>0</v>
      </c>
      <c r="O1470">
        <v>-5.351588E-3</v>
      </c>
      <c r="P1470">
        <v>-0.98570619999999998</v>
      </c>
      <c r="Q1470">
        <v>0.16746449999999999</v>
      </c>
      <c r="R1470">
        <v>-1.8425879999999999E-2</v>
      </c>
      <c r="S1470">
        <v>-3.0732729999999999</v>
      </c>
      <c r="T1470">
        <v>-0.19319890000000001</v>
      </c>
      <c r="U1470">
        <v>-0.18437190000000001</v>
      </c>
      <c r="V1470">
        <v>-1.300435E-2</v>
      </c>
      <c r="W1470">
        <v>0.1782223</v>
      </c>
      <c r="X1470">
        <v>0.98390429999999995</v>
      </c>
      <c r="Y1470">
        <v>-5.4444689999999997E-2</v>
      </c>
      <c r="Z1470">
        <v>-1.372297E-3</v>
      </c>
      <c r="AA1470">
        <v>0.99851579999999995</v>
      </c>
      <c r="AB1470">
        <v>45</v>
      </c>
      <c r="AC1470">
        <v>-17.106100000000001</v>
      </c>
      <c r="AD1470">
        <v>-1.102632275148</v>
      </c>
      <c r="AE1470">
        <v>-1.05010000000001</v>
      </c>
      <c r="AF1470">
        <v>-0.95458341845539296</v>
      </c>
      <c r="AG1470">
        <v>-1.102632275148</v>
      </c>
      <c r="AH1470">
        <v>17.040937667104199</v>
      </c>
      <c r="AI1470">
        <v>93.696378353484505</v>
      </c>
      <c r="AJ1470">
        <v>93.206190979510694</v>
      </c>
      <c r="AK1470">
        <v>17.1032331449676</v>
      </c>
    </row>
    <row r="1471" spans="1:37" x14ac:dyDescent="0.2">
      <c r="A1471" t="str">
        <f>"20200111150617678"</f>
        <v>20200111150617678</v>
      </c>
      <c r="B1471" t="str">
        <f>"1578726377668182"</f>
        <v>1578726377668182</v>
      </c>
      <c r="C1471" t="s">
        <v>37</v>
      </c>
      <c r="D1471">
        <v>4.4330049999999996</v>
      </c>
      <c r="E1471">
        <v>0.48538949999999997</v>
      </c>
      <c r="F1471" t="s">
        <v>39</v>
      </c>
      <c r="G1471">
        <v>-362.98610000000002</v>
      </c>
      <c r="H1471" s="1">
        <v>-3.158463E-6</v>
      </c>
      <c r="I1471">
        <v>140.24459999999999</v>
      </c>
      <c r="J1471">
        <v>-346.02170000000001</v>
      </c>
      <c r="K1471">
        <v>1.102624</v>
      </c>
      <c r="L1471">
        <v>141.2576</v>
      </c>
      <c r="M1471">
        <v>-0.99992760000000003</v>
      </c>
      <c r="N1471">
        <v>0</v>
      </c>
      <c r="O1471">
        <v>-5.0926610000000001E-3</v>
      </c>
      <c r="P1471">
        <v>-0.9857998</v>
      </c>
      <c r="Q1471">
        <v>0.16691510000000001</v>
      </c>
      <c r="R1471">
        <v>-1.8392329999999998E-2</v>
      </c>
      <c r="S1471">
        <v>-3.073242</v>
      </c>
      <c r="T1471">
        <v>-0.19475339999999999</v>
      </c>
      <c r="U1471">
        <v>-0.1792755</v>
      </c>
      <c r="V1471">
        <v>-1.3226190000000001E-2</v>
      </c>
      <c r="W1471">
        <v>0.17767330000000001</v>
      </c>
      <c r="X1471">
        <v>0.984000599999999</v>
      </c>
      <c r="Y1471">
        <v>-5.3054379999999998E-2</v>
      </c>
      <c r="Z1471">
        <v>-1.355804E-3</v>
      </c>
      <c r="AA1471">
        <v>0.99859069999999905</v>
      </c>
      <c r="AB1471">
        <v>45</v>
      </c>
      <c r="AC1471">
        <v>-16.964400000000001</v>
      </c>
      <c r="AD1471">
        <v>-1.1026271584630001</v>
      </c>
      <c r="AE1471">
        <v>-1.0129999999999999</v>
      </c>
      <c r="AF1471">
        <v>-0.92270363192292404</v>
      </c>
      <c r="AG1471">
        <v>-1.1026271584630001</v>
      </c>
      <c r="AH1471">
        <v>16.8982054978181</v>
      </c>
      <c r="AI1471">
        <v>93.727784940473597</v>
      </c>
      <c r="AJ1471">
        <v>93.125454689047899</v>
      </c>
      <c r="AK1471">
        <v>16.959260528968699</v>
      </c>
    </row>
    <row r="1472" spans="1:37" x14ac:dyDescent="0.2">
      <c r="A1472" t="str">
        <f>"20200111150617701"</f>
        <v>20200111150617701</v>
      </c>
      <c r="B1472" t="str">
        <f>"1578726377698437"</f>
        <v>1578726377698437</v>
      </c>
      <c r="C1472" t="s">
        <v>37</v>
      </c>
      <c r="D1472">
        <v>4.4969650000000003</v>
      </c>
      <c r="E1472">
        <v>0.48580089999999998</v>
      </c>
      <c r="F1472" t="s">
        <v>39</v>
      </c>
      <c r="G1472">
        <v>-363.34070000000003</v>
      </c>
      <c r="H1472" s="1">
        <v>-3.01037599999999E-6</v>
      </c>
      <c r="I1472">
        <v>140.25989999999999</v>
      </c>
      <c r="J1472">
        <v>-346.47219999999999</v>
      </c>
      <c r="K1472">
        <v>1.102617</v>
      </c>
      <c r="L1472">
        <v>141.25550000000001</v>
      </c>
      <c r="M1472">
        <v>-0.99992879999999995</v>
      </c>
      <c r="N1472">
        <v>0</v>
      </c>
      <c r="O1472">
        <v>-4.8246699999999997E-3</v>
      </c>
      <c r="P1472">
        <v>-0.98574219999999901</v>
      </c>
      <c r="Q1472">
        <v>0.1671253</v>
      </c>
      <c r="R1472">
        <v>-1.9531449999999999E-2</v>
      </c>
      <c r="S1472">
        <v>-3.073029</v>
      </c>
      <c r="T1472">
        <v>-0.19564719999999999</v>
      </c>
      <c r="U1472">
        <v>-0.17701720000000001</v>
      </c>
      <c r="V1472">
        <v>-1.462902E-2</v>
      </c>
      <c r="W1472">
        <v>0.17788119999999999</v>
      </c>
      <c r="X1472">
        <v>0.98394319999999902</v>
      </c>
      <c r="Y1472">
        <v>-5.2594139999999998E-2</v>
      </c>
      <c r="Z1472">
        <v>-1.3645439999999899E-3</v>
      </c>
      <c r="AA1472">
        <v>0.99861499999999903</v>
      </c>
      <c r="AB1472">
        <v>45</v>
      </c>
      <c r="AC1472">
        <v>-16.868500000000001</v>
      </c>
      <c r="AD1472">
        <v>-1.102620010376</v>
      </c>
      <c r="AE1472">
        <v>-0.99560000000002402</v>
      </c>
      <c r="AF1472">
        <v>-0.91032261633822298</v>
      </c>
      <c r="AG1472">
        <v>-1.102620010376</v>
      </c>
      <c r="AH1472">
        <v>16.801569108842902</v>
      </c>
      <c r="AI1472">
        <v>93.749226291271299</v>
      </c>
      <c r="AJ1472">
        <v>93.101299407204394</v>
      </c>
      <c r="AK1472">
        <v>16.862300634027399</v>
      </c>
    </row>
    <row r="1473" spans="1:37" x14ac:dyDescent="0.2">
      <c r="A1473" t="str">
        <f>"20200111150617725"</f>
        <v>20200111150617725</v>
      </c>
      <c r="B1473" t="str">
        <f>"1578726377717594"</f>
        <v>1578726377717594</v>
      </c>
      <c r="C1473" t="s">
        <v>37</v>
      </c>
      <c r="D1473">
        <v>4.5867829999999996</v>
      </c>
      <c r="E1473">
        <v>0.48611070000000001</v>
      </c>
      <c r="F1473" t="s">
        <v>39</v>
      </c>
      <c r="G1473">
        <v>-363.84190000000001</v>
      </c>
      <c r="H1473" s="1">
        <v>-2.7934319999999998E-6</v>
      </c>
      <c r="I1473">
        <v>140.2527</v>
      </c>
      <c r="J1473">
        <v>-346.93689999999998</v>
      </c>
      <c r="K1473">
        <v>1.102608</v>
      </c>
      <c r="L1473">
        <v>141.2534</v>
      </c>
      <c r="M1473">
        <v>-0.99993029999999905</v>
      </c>
      <c r="N1473">
        <v>0</v>
      </c>
      <c r="O1473">
        <v>-4.548206E-3</v>
      </c>
      <c r="P1473">
        <v>-0.98574229999999996</v>
      </c>
      <c r="Q1473">
        <v>0.16698360000000001</v>
      </c>
      <c r="R1473">
        <v>-2.0708799999999999E-2</v>
      </c>
      <c r="S1473">
        <v>-3.0729679999999999</v>
      </c>
      <c r="T1473">
        <v>-0.1950704</v>
      </c>
      <c r="U1473">
        <v>-0.17739869999999999</v>
      </c>
      <c r="V1473">
        <v>-1.6079199999999998E-2</v>
      </c>
      <c r="W1473">
        <v>0.17773620000000001</v>
      </c>
      <c r="X1473">
        <v>0.98394680000000001</v>
      </c>
      <c r="Y1473">
        <v>-5.2994140000000002E-2</v>
      </c>
      <c r="Z1473">
        <v>-1.390741E-3</v>
      </c>
      <c r="AA1473">
        <v>0.99859390000000003</v>
      </c>
      <c r="AB1473">
        <v>45</v>
      </c>
      <c r="AC1473">
        <v>-16.905000000000001</v>
      </c>
      <c r="AD1473">
        <v>-1.102610793432</v>
      </c>
      <c r="AE1473">
        <v>-1.0006999999999899</v>
      </c>
      <c r="AF1473">
        <v>-0.91989793124861596</v>
      </c>
      <c r="AG1473">
        <v>-1.102610793432</v>
      </c>
      <c r="AH1473">
        <v>16.837995339412501</v>
      </c>
      <c r="AI1473">
        <v>93.741015973967905</v>
      </c>
      <c r="AJ1473">
        <v>93.127089922669498</v>
      </c>
      <c r="AK1473">
        <v>16.899113876644101</v>
      </c>
    </row>
    <row r="1474" spans="1:37" x14ac:dyDescent="0.2">
      <c r="A1474" t="str">
        <f>"20200111150617747"</f>
        <v>20200111150617747</v>
      </c>
      <c r="B1474" t="str">
        <f>"1578726377738092"</f>
        <v>1578726377738092</v>
      </c>
      <c r="C1474" t="s">
        <v>37</v>
      </c>
      <c r="D1474">
        <v>4.4897580000000001</v>
      </c>
      <c r="E1474">
        <v>0.48621130000000001</v>
      </c>
      <c r="F1474" t="s">
        <v>39</v>
      </c>
      <c r="G1474">
        <v>-364.176999999999</v>
      </c>
      <c r="H1474" s="1">
        <v>-2.6498099999999999E-6</v>
      </c>
      <c r="I1474">
        <v>140.25299999999999</v>
      </c>
      <c r="J1474">
        <v>-347.3965</v>
      </c>
      <c r="K1474">
        <v>1.102603</v>
      </c>
      <c r="L1474">
        <v>141.25149999999999</v>
      </c>
      <c r="M1474">
        <v>-0.99993159999999903</v>
      </c>
      <c r="N1474">
        <v>0</v>
      </c>
      <c r="O1474">
        <v>-4.2744710000000002E-3</v>
      </c>
      <c r="P1474">
        <v>-0.98573650000000002</v>
      </c>
      <c r="Q1474">
        <v>0.1669533</v>
      </c>
      <c r="R1474">
        <v>-2.122336E-2</v>
      </c>
      <c r="S1474">
        <v>-3.072937</v>
      </c>
      <c r="T1474">
        <v>-0.19653399999999999</v>
      </c>
      <c r="U1474">
        <v>-0.17829900000000001</v>
      </c>
      <c r="V1474">
        <v>-1.6863779999999998E-2</v>
      </c>
      <c r="W1474">
        <v>0.17769960000000001</v>
      </c>
      <c r="X1474">
        <v>0.98394029999999999</v>
      </c>
      <c r="Y1474">
        <v>-5.3556479999999997E-2</v>
      </c>
      <c r="Z1474">
        <v>-1.43658E-3</v>
      </c>
      <c r="AA1474">
        <v>0.9985638</v>
      </c>
      <c r="AB1474">
        <v>45</v>
      </c>
      <c r="AC1474">
        <v>-16.7804999999999</v>
      </c>
      <c r="AD1474">
        <v>-1.1026056498100001</v>
      </c>
      <c r="AE1474">
        <v>-0.99850000000000705</v>
      </c>
      <c r="AF1474">
        <v>-0.92278879711554795</v>
      </c>
      <c r="AG1474">
        <v>-1.1026056498100001</v>
      </c>
      <c r="AH1474">
        <v>16.712712724503501</v>
      </c>
      <c r="AI1474">
        <v>93.768841619253095</v>
      </c>
      <c r="AJ1474">
        <v>93.160364968609699</v>
      </c>
      <c r="AK1474">
        <v>16.774446190406898</v>
      </c>
    </row>
    <row r="1475" spans="1:37" x14ac:dyDescent="0.2">
      <c r="A1475" t="str">
        <f>"20200111150617769"</f>
        <v>20200111150617769</v>
      </c>
      <c r="B1475" t="str">
        <f>"1578726377757611"</f>
        <v>1578726377757611</v>
      </c>
      <c r="C1475" t="s">
        <v>37</v>
      </c>
      <c r="D1475">
        <v>4.6631109999999998</v>
      </c>
      <c r="E1475">
        <v>0.48635220000000001</v>
      </c>
      <c r="F1475" t="s">
        <v>39</v>
      </c>
      <c r="G1475">
        <v>-364.63130000000001</v>
      </c>
      <c r="H1475" s="1">
        <v>-2.453242E-6</v>
      </c>
      <c r="I1475">
        <v>140.24680000000001</v>
      </c>
      <c r="J1475">
        <v>-347.8263</v>
      </c>
      <c r="K1475">
        <v>1.1026049999999901</v>
      </c>
      <c r="L1475">
        <v>141.2499</v>
      </c>
      <c r="M1475">
        <v>-0.99993279999999995</v>
      </c>
      <c r="N1475">
        <v>0</v>
      </c>
      <c r="O1475">
        <v>-4.0187290000000004E-3</v>
      </c>
      <c r="P1475">
        <v>-0.98577309999999996</v>
      </c>
      <c r="Q1475">
        <v>0.16678219999999999</v>
      </c>
      <c r="R1475">
        <v>-2.0858359999999999E-2</v>
      </c>
      <c r="S1475">
        <v>-3.072845</v>
      </c>
      <c r="T1475">
        <v>-0.19658719999999999</v>
      </c>
      <c r="U1475">
        <v>-0.1791229</v>
      </c>
      <c r="V1475">
        <v>-1.67508E-2</v>
      </c>
      <c r="W1475">
        <v>0.17752029999999999</v>
      </c>
      <c r="X1475">
        <v>0.98397459999999903</v>
      </c>
      <c r="Y1475">
        <v>-5.4078800000000003E-2</v>
      </c>
      <c r="Z1475">
        <v>-1.470006E-3</v>
      </c>
      <c r="AA1475">
        <v>0.99853559999999997</v>
      </c>
      <c r="AB1475">
        <v>45</v>
      </c>
      <c r="AC1475">
        <v>-16.805</v>
      </c>
      <c r="AD1475">
        <v>-1.1026074532419901</v>
      </c>
      <c r="AE1475">
        <v>-1.0030999999999799</v>
      </c>
      <c r="AF1475">
        <v>-0.93155712619489295</v>
      </c>
      <c r="AG1475">
        <v>-1.1026074532419901</v>
      </c>
      <c r="AH1475">
        <v>16.737099683367699</v>
      </c>
      <c r="AI1475">
        <v>93.763280157345605</v>
      </c>
      <c r="AJ1475">
        <v>93.185694055548296</v>
      </c>
      <c r="AK1475">
        <v>16.7992275919548</v>
      </c>
    </row>
    <row r="1476" spans="1:37" x14ac:dyDescent="0.2">
      <c r="A1476" t="str">
        <f>"20200111150617791"</f>
        <v>20200111150617791</v>
      </c>
      <c r="B1476" t="str">
        <f>"1578726377787868"</f>
        <v>1578726377787868</v>
      </c>
      <c r="C1476" t="s">
        <v>37</v>
      </c>
      <c r="D1476">
        <v>4.5596259999999997</v>
      </c>
      <c r="E1476">
        <v>0.47545500000000002</v>
      </c>
      <c r="F1476" t="s">
        <v>39</v>
      </c>
      <c r="G1476">
        <v>-365.11009999999999</v>
      </c>
      <c r="H1476" s="1">
        <v>-2.2501669999999998E-6</v>
      </c>
      <c r="I1476">
        <v>140.25559999999999</v>
      </c>
      <c r="J1476">
        <v>-348.27929999999998</v>
      </c>
      <c r="K1476">
        <v>1.102603</v>
      </c>
      <c r="L1476">
        <v>141.2483</v>
      </c>
      <c r="M1476">
        <v>-0.99993399999999999</v>
      </c>
      <c r="N1476">
        <v>0</v>
      </c>
      <c r="O1476">
        <v>-3.7492749999999998E-3</v>
      </c>
      <c r="P1476">
        <v>-0.98574669999999898</v>
      </c>
      <c r="Q1476">
        <v>0.16690839999999901</v>
      </c>
      <c r="R1476">
        <v>-2.1105579999999999E-2</v>
      </c>
      <c r="S1476">
        <v>-3.0727229999999999</v>
      </c>
      <c r="T1476">
        <v>-0.19602249999999999</v>
      </c>
      <c r="U1476">
        <v>-0.17675779999999999</v>
      </c>
      <c r="V1476">
        <v>-1.7263250000000001E-2</v>
      </c>
      <c r="W1476">
        <v>0.17763760000000001</v>
      </c>
      <c r="X1476">
        <v>0.9839445</v>
      </c>
      <c r="Y1476">
        <v>-5.3585180000000003E-2</v>
      </c>
      <c r="Z1476">
        <v>-1.467325E-3</v>
      </c>
      <c r="AA1476">
        <v>0.99856219999999996</v>
      </c>
      <c r="AB1476">
        <v>45</v>
      </c>
      <c r="AC1476">
        <v>-16.8308</v>
      </c>
      <c r="AD1476">
        <v>-1.1026052501670001</v>
      </c>
      <c r="AE1476">
        <v>-0.99270000000001302</v>
      </c>
      <c r="AF1476">
        <v>-0.92562724861274104</v>
      </c>
      <c r="AG1476">
        <v>-1.1026052501670001</v>
      </c>
      <c r="AH1476">
        <v>16.762712474656599</v>
      </c>
      <c r="AI1476">
        <v>93.757629874351494</v>
      </c>
      <c r="AJ1476">
        <v>93.160629832947905</v>
      </c>
      <c r="AK1476">
        <v>16.8244183747634</v>
      </c>
    </row>
    <row r="1477" spans="1:37" x14ac:dyDescent="0.2">
      <c r="A1477" t="str">
        <f>"20200111150617814"</f>
        <v>20200111150617814</v>
      </c>
      <c r="B1477" t="str">
        <f>"1578726377808337"</f>
        <v>1578726377808337</v>
      </c>
      <c r="C1477" t="s">
        <v>37</v>
      </c>
      <c r="D1477">
        <v>4.6190809999999898</v>
      </c>
      <c r="E1477">
        <v>0.47222749999999902</v>
      </c>
      <c r="F1477" t="s">
        <v>39</v>
      </c>
      <c r="G1477">
        <v>-382.65769999999998</v>
      </c>
      <c r="H1477" s="1">
        <v>-3.36809199999999E-6</v>
      </c>
      <c r="I1477">
        <v>138.2859</v>
      </c>
      <c r="J1477">
        <v>-348.73039999999997</v>
      </c>
      <c r="K1477">
        <v>1.102603</v>
      </c>
      <c r="L1477">
        <v>141.2467</v>
      </c>
      <c r="M1477">
        <v>-0.99993489999999996</v>
      </c>
      <c r="N1477">
        <v>0</v>
      </c>
      <c r="O1477">
        <v>-3.4807789999999998E-3</v>
      </c>
      <c r="P1477">
        <v>-0.98574619999999902</v>
      </c>
      <c r="Q1477">
        <v>0.16694990000000001</v>
      </c>
      <c r="R1477">
        <v>-2.0790329999999999E-2</v>
      </c>
      <c r="S1477">
        <v>-3.0542910000000001</v>
      </c>
      <c r="T1477">
        <v>-9.7959160000000003E-2</v>
      </c>
      <c r="U1477">
        <v>-0.26318359999999902</v>
      </c>
      <c r="V1477">
        <v>-1.7212939999999999E-2</v>
      </c>
      <c r="W1477">
        <v>0.17767089999999999</v>
      </c>
      <c r="X1477">
        <v>0.98393940000000002</v>
      </c>
      <c r="Y1477">
        <v>-8.2341460000000005E-2</v>
      </c>
      <c r="Z1477">
        <v>-1.20627E-3</v>
      </c>
      <c r="AA1477">
        <v>0.99660339999999903</v>
      </c>
      <c r="AB1477">
        <v>45</v>
      </c>
      <c r="AC1477">
        <v>-33.927300000000002</v>
      </c>
      <c r="AD1477">
        <v>-1.102606368092</v>
      </c>
      <c r="AE1477">
        <v>-2.9607999999999999</v>
      </c>
      <c r="AF1477">
        <v>-2.8397050543013198</v>
      </c>
      <c r="AG1477">
        <v>-1.102606368092</v>
      </c>
      <c r="AH1477">
        <v>33.901864745756598</v>
      </c>
      <c r="AI1477">
        <v>91.856304980520505</v>
      </c>
      <c r="AJ1477">
        <v>94.788060860475497</v>
      </c>
      <c r="AK1477">
        <v>34.0384503001819</v>
      </c>
    </row>
    <row r="1478" spans="1:37" x14ac:dyDescent="0.2">
      <c r="A1478" t="str">
        <f>"20200111150617837"</f>
        <v>20200111150617837</v>
      </c>
      <c r="B1478" t="str">
        <f>"1578726377827856"</f>
        <v>1578726377827856</v>
      </c>
      <c r="C1478" t="s">
        <v>37</v>
      </c>
      <c r="D1478">
        <v>4.6425830000000001</v>
      </c>
      <c r="E1478">
        <v>0.47202450000000001</v>
      </c>
      <c r="F1478" t="s">
        <v>39</v>
      </c>
      <c r="G1478">
        <v>-374.87689999999998</v>
      </c>
      <c r="H1478" s="1">
        <v>-2.3275830000000001E-6</v>
      </c>
      <c r="I1478">
        <v>138.78469999999999</v>
      </c>
      <c r="J1478">
        <v>-349.20209999999997</v>
      </c>
      <c r="K1478">
        <v>1.102603</v>
      </c>
      <c r="L1478">
        <v>141.24529999999999</v>
      </c>
      <c r="M1478">
        <v>-0.99993589999999999</v>
      </c>
      <c r="N1478">
        <v>0</v>
      </c>
      <c r="O1478">
        <v>-3.2002459999999999E-3</v>
      </c>
      <c r="P1478">
        <v>-0.98562549999999904</v>
      </c>
      <c r="Q1478">
        <v>0.16773629999999901</v>
      </c>
      <c r="R1478">
        <v>-2.0181620000000001E-2</v>
      </c>
      <c r="S1478">
        <v>-3.0590820000000001</v>
      </c>
      <c r="T1478">
        <v>-0.12900229999999999</v>
      </c>
      <c r="U1478">
        <v>-0.28804020000000002</v>
      </c>
      <c r="V1478">
        <v>-1.6879760000000001E-2</v>
      </c>
      <c r="W1478">
        <v>0.17844889999999999</v>
      </c>
      <c r="X1478">
        <v>0.98380440000000002</v>
      </c>
      <c r="Y1478">
        <v>-9.0480690000000003E-2</v>
      </c>
      <c r="Z1478">
        <v>-1.768146E-3</v>
      </c>
      <c r="AA1478">
        <v>0.99589660000000002</v>
      </c>
      <c r="AB1478">
        <v>45</v>
      </c>
      <c r="AC1478">
        <v>-25.674800000000001</v>
      </c>
      <c r="AD1478">
        <v>-1.1026053275829999</v>
      </c>
      <c r="AE1478">
        <v>-2.4605999999999901</v>
      </c>
      <c r="AF1478">
        <v>-2.37407826824158</v>
      </c>
      <c r="AG1478">
        <v>-1.1026053275829999</v>
      </c>
      <c r="AH1478">
        <v>25.6356944866071</v>
      </c>
      <c r="AI1478">
        <v>92.452324512543001</v>
      </c>
      <c r="AJ1478">
        <v>95.2909739265056</v>
      </c>
      <c r="AK1478">
        <v>25.7689894629729</v>
      </c>
    </row>
    <row r="1479" spans="1:37" x14ac:dyDescent="0.2">
      <c r="A1479" t="str">
        <f>"20200111150617859"</f>
        <v>20200111150617859</v>
      </c>
      <c r="B1479" t="str">
        <f>"1578726377848353"</f>
        <v>1578726377848353</v>
      </c>
      <c r="C1479" t="s">
        <v>37</v>
      </c>
      <c r="D1479">
        <v>4.6375229999999998</v>
      </c>
      <c r="E1479">
        <v>0.47087509999999999</v>
      </c>
      <c r="F1479" t="s">
        <v>39</v>
      </c>
      <c r="G1479">
        <v>-373.99090000000001</v>
      </c>
      <c r="H1479" s="1">
        <v>-2.6858850000000002E-6</v>
      </c>
      <c r="I1479">
        <v>138.9076</v>
      </c>
      <c r="J1479">
        <v>-349.63679999999999</v>
      </c>
      <c r="K1479">
        <v>1.1026020000000001</v>
      </c>
      <c r="L1479">
        <v>141.24420000000001</v>
      </c>
      <c r="M1479">
        <v>-0.99993679999999996</v>
      </c>
      <c r="N1479">
        <v>0</v>
      </c>
      <c r="O1479">
        <v>-2.9420129999999998E-3</v>
      </c>
      <c r="P1479">
        <v>-0.98558029999999996</v>
      </c>
      <c r="Q1479">
        <v>0.16808999999999999</v>
      </c>
      <c r="R1479">
        <v>-1.9418459999999998E-2</v>
      </c>
      <c r="S1479">
        <v>-3.061035</v>
      </c>
      <c r="T1479">
        <v>-0.13615479999999899</v>
      </c>
      <c r="U1479">
        <v>-0.28866579999999997</v>
      </c>
      <c r="V1479">
        <v>-1.6371119999999999E-2</v>
      </c>
      <c r="W1479">
        <v>0.17879610000000001</v>
      </c>
      <c r="X1479">
        <v>0.98374989999999995</v>
      </c>
      <c r="Y1479">
        <v>-9.0871019999999997E-2</v>
      </c>
      <c r="Z1479">
        <v>-1.8849979999999999E-3</v>
      </c>
      <c r="AA1479">
        <v>0.99586090000000005</v>
      </c>
      <c r="AB1479">
        <v>45</v>
      </c>
      <c r="AC1479">
        <v>-24.354099999999999</v>
      </c>
      <c r="AD1479">
        <v>-1.1026046858849901</v>
      </c>
      <c r="AE1479">
        <v>-2.3365999999999998</v>
      </c>
      <c r="AF1479">
        <v>-2.2603447639243499</v>
      </c>
      <c r="AG1479">
        <v>-1.1026046858849901</v>
      </c>
      <c r="AH1479">
        <v>24.311491959846901</v>
      </c>
      <c r="AI1479">
        <v>92.585633074762399</v>
      </c>
      <c r="AJ1479">
        <v>95.311766668838899</v>
      </c>
      <c r="AK1479">
        <v>24.4412261733906</v>
      </c>
    </row>
    <row r="1480" spans="1:37" x14ac:dyDescent="0.2">
      <c r="A1480" t="str">
        <f>"20200111150617884"</f>
        <v>20200111150617884</v>
      </c>
      <c r="B1480" t="str">
        <f>"1578726377877634"</f>
        <v>1578726377877634</v>
      </c>
      <c r="C1480" t="s">
        <v>37</v>
      </c>
      <c r="D1480">
        <v>4.7282979999999997</v>
      </c>
      <c r="E1480">
        <v>0.46995310000000001</v>
      </c>
      <c r="F1480" t="s">
        <v>39</v>
      </c>
      <c r="G1480">
        <v>-372.55290000000002</v>
      </c>
      <c r="H1480" s="1">
        <v>-3.280363E-6</v>
      </c>
      <c r="I1480">
        <v>139.0341</v>
      </c>
      <c r="J1480">
        <v>-350.14280000000002</v>
      </c>
      <c r="K1480">
        <v>1.1025959999999999</v>
      </c>
      <c r="L1480">
        <v>141.24289999999999</v>
      </c>
      <c r="M1480">
        <v>-0.99993770000000004</v>
      </c>
      <c r="N1480">
        <v>0</v>
      </c>
      <c r="O1480">
        <v>-2.641703E-3</v>
      </c>
      <c r="P1480">
        <v>-0.98549690000000001</v>
      </c>
      <c r="Q1480">
        <v>0.1686686</v>
      </c>
      <c r="R1480">
        <v>-1.8632180000000002E-2</v>
      </c>
      <c r="S1480">
        <v>-3.063202</v>
      </c>
      <c r="T1480">
        <v>-0.14738619999999999</v>
      </c>
      <c r="U1480">
        <v>-0.29541020000000001</v>
      </c>
      <c r="V1480">
        <v>-1.5880180000000001E-2</v>
      </c>
      <c r="W1480">
        <v>0.1793689</v>
      </c>
      <c r="X1480">
        <v>0.98365369999999996</v>
      </c>
      <c r="Y1480">
        <v>-9.3259159999999994E-2</v>
      </c>
      <c r="Z1480">
        <v>-2.1103659999999998E-3</v>
      </c>
      <c r="AA1480">
        <v>0.99563959999999996</v>
      </c>
      <c r="AB1480">
        <v>45</v>
      </c>
      <c r="AC1480">
        <v>-22.4101</v>
      </c>
      <c r="AD1480">
        <v>-1.10259928036299</v>
      </c>
      <c r="AE1480">
        <v>-2.2087999999999899</v>
      </c>
      <c r="AF1480">
        <v>-2.1444467822068698</v>
      </c>
      <c r="AG1480">
        <v>-1.10259928036299</v>
      </c>
      <c r="AH1480">
        <v>22.362244814604001</v>
      </c>
      <c r="AI1480">
        <v>92.809886687897006</v>
      </c>
      <c r="AJ1480">
        <v>95.477678304864298</v>
      </c>
      <c r="AK1480">
        <v>22.4918734284865</v>
      </c>
    </row>
    <row r="1481" spans="1:37" x14ac:dyDescent="0.2">
      <c r="A1481" t="str">
        <f>"20200111150617915"</f>
        <v>20200111150617915</v>
      </c>
      <c r="B1481" t="str">
        <f>"1578726377907668"</f>
        <v>1578726377907668</v>
      </c>
      <c r="C1481" t="s">
        <v>37</v>
      </c>
      <c r="D1481">
        <v>4.6549969999999998</v>
      </c>
      <c r="E1481">
        <v>0.46949790000000002</v>
      </c>
      <c r="F1481" t="s">
        <v>39</v>
      </c>
      <c r="G1481">
        <v>-374.79250000000002</v>
      </c>
      <c r="H1481" s="1">
        <v>-2.355926E-6</v>
      </c>
      <c r="I1481">
        <v>138.82900000000001</v>
      </c>
      <c r="J1481">
        <v>-350.76199999999898</v>
      </c>
      <c r="K1481">
        <v>1.102595</v>
      </c>
      <c r="L1481">
        <v>141.2415</v>
      </c>
      <c r="M1481">
        <v>-0.99993860000000001</v>
      </c>
      <c r="N1481">
        <v>0</v>
      </c>
      <c r="O1481">
        <v>-2.273944E-3</v>
      </c>
      <c r="P1481">
        <v>-0.98565139999999996</v>
      </c>
      <c r="Q1481">
        <v>0.16781309999999999</v>
      </c>
      <c r="R1481">
        <v>-1.8176870000000001E-2</v>
      </c>
      <c r="S1481">
        <v>-3.0619200000000002</v>
      </c>
      <c r="T1481">
        <v>-0.13696179999999999</v>
      </c>
      <c r="U1481">
        <v>-0.29983520000000002</v>
      </c>
      <c r="V1481">
        <v>-1.5787929999999999E-2</v>
      </c>
      <c r="W1481">
        <v>0.1785146</v>
      </c>
      <c r="X1481">
        <v>0.98381059999999998</v>
      </c>
      <c r="Y1481">
        <v>-9.5102350000000002E-2</v>
      </c>
      <c r="Z1481">
        <v>-2.0194449999999999E-3</v>
      </c>
      <c r="AA1481">
        <v>0.9954655</v>
      </c>
      <c r="AB1481">
        <v>45</v>
      </c>
      <c r="AC1481">
        <v>-24.0305</v>
      </c>
      <c r="AD1481">
        <v>-1.1025973559260001</v>
      </c>
      <c r="AE1481">
        <v>-2.4124999999999899</v>
      </c>
      <c r="AF1481">
        <v>-2.3529423802052398</v>
      </c>
      <c r="AG1481">
        <v>-1.1025973559260001</v>
      </c>
      <c r="AH1481">
        <v>23.985931030123201</v>
      </c>
      <c r="AI1481">
        <v>92.619393061959002</v>
      </c>
      <c r="AJ1481">
        <v>95.6026055925864</v>
      </c>
      <c r="AK1481">
        <v>24.126270871307302</v>
      </c>
    </row>
    <row r="1482" spans="1:37" x14ac:dyDescent="0.2">
      <c r="A1482" t="str">
        <f>"20200111150617940"</f>
        <v>20200111150617940</v>
      </c>
      <c r="B1482" t="str">
        <f>"1578726377937928"</f>
        <v>1578726377937928</v>
      </c>
      <c r="C1482" t="s">
        <v>37</v>
      </c>
      <c r="D1482">
        <v>4.7845449999999996</v>
      </c>
      <c r="E1482">
        <v>0.46883549999999902</v>
      </c>
      <c r="F1482" t="s">
        <v>39</v>
      </c>
      <c r="G1482">
        <v>-373.31760000000003</v>
      </c>
      <c r="H1482" s="1">
        <v>-2.9555770000000001E-6</v>
      </c>
      <c r="I1482">
        <v>139.01560000000001</v>
      </c>
      <c r="J1482">
        <v>-351.29579999999999</v>
      </c>
      <c r="K1482">
        <v>1.102589</v>
      </c>
      <c r="L1482">
        <v>141.2406</v>
      </c>
      <c r="M1482">
        <v>-0.99993909999999997</v>
      </c>
      <c r="N1482">
        <v>0</v>
      </c>
      <c r="O1482">
        <v>-1.9571179999999999E-3</v>
      </c>
      <c r="P1482">
        <v>-0.98573299999999997</v>
      </c>
      <c r="Q1482">
        <v>0.167377</v>
      </c>
      <c r="R1482">
        <v>-1.7773259999999999E-2</v>
      </c>
      <c r="S1482">
        <v>-3.0635680000000001</v>
      </c>
      <c r="T1482">
        <v>-0.14975810000000001</v>
      </c>
      <c r="U1482">
        <v>-0.30232239999999999</v>
      </c>
      <c r="V1482">
        <v>-1.569628E-2</v>
      </c>
      <c r="W1482">
        <v>0.178085299999999</v>
      </c>
      <c r="X1482">
        <v>0.98388989999999998</v>
      </c>
      <c r="Y1482">
        <v>-9.614673E-2</v>
      </c>
      <c r="Z1482">
        <v>-2.2475289999999998E-3</v>
      </c>
      <c r="AA1482">
        <v>0.99536460000000004</v>
      </c>
      <c r="AB1482">
        <v>45</v>
      </c>
      <c r="AC1482">
        <v>-22.021799999999999</v>
      </c>
      <c r="AD1482">
        <v>-1.1025919555769901</v>
      </c>
      <c r="AE1482">
        <v>-2.2249999999999899</v>
      </c>
      <c r="AF1482">
        <v>-2.1764929824741901</v>
      </c>
      <c r="AG1482">
        <v>-1.1025919555769901</v>
      </c>
      <c r="AH1482">
        <v>21.971590314881599</v>
      </c>
      <c r="AI1482">
        <v>92.8588732568453</v>
      </c>
      <c r="AJ1482">
        <v>95.657230468656905</v>
      </c>
      <c r="AK1482">
        <v>22.106641800333701</v>
      </c>
    </row>
    <row r="1483" spans="1:37" x14ac:dyDescent="0.2">
      <c r="A1483" t="str">
        <f>"20200111150617960"</f>
        <v>20200111150617960</v>
      </c>
      <c r="B1483" t="str">
        <f>"1578726377947686"</f>
        <v>1578726377947686</v>
      </c>
      <c r="C1483" t="s">
        <v>37</v>
      </c>
      <c r="D1483">
        <v>4.765574</v>
      </c>
      <c r="E1483">
        <v>0.4685571</v>
      </c>
      <c r="F1483" t="s">
        <v>39</v>
      </c>
      <c r="G1483">
        <v>-372.86759999999998</v>
      </c>
      <c r="H1483" s="1">
        <v>-3.136794E-6</v>
      </c>
      <c r="I1483">
        <v>139.08250000000001</v>
      </c>
      <c r="J1483">
        <v>-351.66969999999998</v>
      </c>
      <c r="K1483">
        <v>1.102592</v>
      </c>
      <c r="L1483">
        <v>141.24</v>
      </c>
      <c r="M1483">
        <v>-0.99993960000000004</v>
      </c>
      <c r="N1483">
        <v>0</v>
      </c>
      <c r="O1483">
        <v>-1.735424E-3</v>
      </c>
      <c r="P1483">
        <v>-0.98587769999999997</v>
      </c>
      <c r="Q1483">
        <v>0.1665152</v>
      </c>
      <c r="R1483">
        <v>-1.7835960000000001E-2</v>
      </c>
      <c r="S1483">
        <v>-3.0645449999999999</v>
      </c>
      <c r="T1483">
        <v>-0.1566379</v>
      </c>
      <c r="U1483">
        <v>-0.30657960000000001</v>
      </c>
      <c r="V1483">
        <v>-1.5977459999999999E-2</v>
      </c>
      <c r="W1483">
        <v>0.17723220000000001</v>
      </c>
      <c r="X1483">
        <v>0.98403940000000001</v>
      </c>
      <c r="Y1483">
        <v>-9.7692870000000001E-2</v>
      </c>
      <c r="Z1483">
        <v>-2.4004289999999999E-3</v>
      </c>
      <c r="AA1483">
        <v>0.99521369999999898</v>
      </c>
      <c r="AB1483">
        <v>45</v>
      </c>
      <c r="AC1483">
        <v>-21.197900000000001</v>
      </c>
      <c r="AD1483">
        <v>-1.1025951367939999</v>
      </c>
      <c r="AE1483">
        <v>-2.15749999999999</v>
      </c>
      <c r="AF1483">
        <v>-2.1150436717565801</v>
      </c>
      <c r="AG1483">
        <v>-1.1025951367939999</v>
      </c>
      <c r="AH1483">
        <v>21.1449913755145</v>
      </c>
      <c r="AI1483">
        <v>92.970161940106493</v>
      </c>
      <c r="AJ1483">
        <v>95.712054028468103</v>
      </c>
      <c r="AK1483">
        <v>21.279092697756202</v>
      </c>
    </row>
    <row r="1484" spans="1:37" x14ac:dyDescent="0.2">
      <c r="A1484" t="str">
        <f>"20200111150617980"</f>
        <v>20200111150617980</v>
      </c>
      <c r="B1484" t="str">
        <f>"1578726377977941"</f>
        <v>1578726377977941</v>
      </c>
      <c r="C1484" t="s">
        <v>37</v>
      </c>
      <c r="D1484">
        <v>4.744281</v>
      </c>
      <c r="E1484">
        <v>0.46844170000000002</v>
      </c>
      <c r="F1484" t="s">
        <v>39</v>
      </c>
      <c r="G1484">
        <v>-372.77179999999998</v>
      </c>
      <c r="H1484" s="1">
        <v>-3.1729749999999999E-6</v>
      </c>
      <c r="I1484">
        <v>139.11009999999999</v>
      </c>
      <c r="J1484">
        <v>-352.10610000000003</v>
      </c>
      <c r="K1484">
        <v>1.10259</v>
      </c>
      <c r="L1484">
        <v>141.23939999999999</v>
      </c>
      <c r="M1484">
        <v>-0.99993980000000005</v>
      </c>
      <c r="N1484">
        <v>0</v>
      </c>
      <c r="O1484">
        <v>-1.4769189999999999E-3</v>
      </c>
      <c r="P1484">
        <v>-0.98589159999999998</v>
      </c>
      <c r="Q1484">
        <v>0.1664717</v>
      </c>
      <c r="R1484">
        <v>-1.7458209999999998E-2</v>
      </c>
      <c r="S1484">
        <v>-3.0644230000000001</v>
      </c>
      <c r="T1484">
        <v>-0.1601177</v>
      </c>
      <c r="U1484">
        <v>-0.30929570000000001</v>
      </c>
      <c r="V1484">
        <v>-1.5854610000000002E-2</v>
      </c>
      <c r="W1484">
        <v>0.1772002</v>
      </c>
      <c r="X1484">
        <v>0.98404709999999995</v>
      </c>
      <c r="Y1484">
        <v>-9.8819859999999995E-2</v>
      </c>
      <c r="Z1484">
        <v>-2.4964869999999999E-3</v>
      </c>
      <c r="AA1484">
        <v>0.99510219999999905</v>
      </c>
      <c r="AB1484">
        <v>45</v>
      </c>
      <c r="AC1484">
        <v>-20.665699999999902</v>
      </c>
      <c r="AD1484">
        <v>-1.102593172975</v>
      </c>
      <c r="AE1484">
        <v>-2.1293000000000002</v>
      </c>
      <c r="AF1484">
        <v>-2.0928792482532002</v>
      </c>
      <c r="AG1484">
        <v>-1.102593172975</v>
      </c>
      <c r="AH1484">
        <v>20.610767635955</v>
      </c>
      <c r="AI1484">
        <v>93.046538475992193</v>
      </c>
      <c r="AJ1484">
        <v>95.798111959264105</v>
      </c>
      <c r="AK1484">
        <v>20.746074274334202</v>
      </c>
    </row>
    <row r="1485" spans="1:37" x14ac:dyDescent="0.2">
      <c r="A1485" t="str">
        <f>"20200111150618004"</f>
        <v>20200111150618004</v>
      </c>
      <c r="B1485" t="str">
        <f>"1578726377998437"</f>
        <v>1578726377998437</v>
      </c>
      <c r="C1485" t="s">
        <v>37</v>
      </c>
      <c r="D1485">
        <v>4.6988459999999996</v>
      </c>
      <c r="E1485">
        <v>0.46812690000000001</v>
      </c>
      <c r="F1485" t="s">
        <v>39</v>
      </c>
      <c r="G1485">
        <v>-373.07040000000001</v>
      </c>
      <c r="H1485" s="1">
        <v>-3.0424560000000001E-6</v>
      </c>
      <c r="I1485">
        <v>139.12370000000001</v>
      </c>
      <c r="J1485">
        <v>-352.5625</v>
      </c>
      <c r="K1485">
        <v>1.102589</v>
      </c>
      <c r="L1485">
        <v>141.239</v>
      </c>
      <c r="M1485">
        <v>-0.99993989999999999</v>
      </c>
      <c r="N1485">
        <v>0</v>
      </c>
      <c r="O1485">
        <v>-1.206511E-3</v>
      </c>
      <c r="P1485">
        <v>-0.98594119999999996</v>
      </c>
      <c r="Q1485">
        <v>0.16623979999999999</v>
      </c>
      <c r="R1485">
        <v>-1.686002E-2</v>
      </c>
      <c r="S1485">
        <v>-3.0646360000000001</v>
      </c>
      <c r="T1485">
        <v>-0.1611812</v>
      </c>
      <c r="U1485">
        <v>-0.30928040000000001</v>
      </c>
      <c r="V1485">
        <v>-1.5523479999999999E-2</v>
      </c>
      <c r="W1485">
        <v>0.17698339999999901</v>
      </c>
      <c r="X1485">
        <v>0.98409139999999995</v>
      </c>
      <c r="Y1485">
        <v>-9.907465E-2</v>
      </c>
      <c r="Z1485">
        <v>-2.5337269999999999E-3</v>
      </c>
      <c r="AA1485">
        <v>0.99507679999999998</v>
      </c>
      <c r="AB1485">
        <v>45</v>
      </c>
      <c r="AC1485">
        <v>-20.507899999999999</v>
      </c>
      <c r="AD1485">
        <v>-1.1025920424560001</v>
      </c>
      <c r="AE1485">
        <v>-2.11529999999998</v>
      </c>
      <c r="AF1485">
        <v>-2.0845917055038501</v>
      </c>
      <c r="AG1485">
        <v>-1.1025920424560001</v>
      </c>
      <c r="AH1485">
        <v>20.4519414053843</v>
      </c>
      <c r="AI1485">
        <v>93.070030857383102</v>
      </c>
      <c r="AJ1485">
        <v>95.819851012303104</v>
      </c>
      <c r="AK1485">
        <v>20.587451008806699</v>
      </c>
    </row>
    <row r="1486" spans="1:37" x14ac:dyDescent="0.2">
      <c r="A1486" t="str">
        <f>"20200111150618026"</f>
        <v>20200111150618026</v>
      </c>
      <c r="B1486" t="str">
        <f>"1578726378017957"</f>
        <v>1578726378017957</v>
      </c>
      <c r="C1486" t="s">
        <v>37</v>
      </c>
      <c r="D1486">
        <v>4.728167</v>
      </c>
      <c r="E1486">
        <v>0.4675164</v>
      </c>
      <c r="F1486" t="s">
        <v>39</v>
      </c>
      <c r="G1486">
        <v>-373.82310000000001</v>
      </c>
      <c r="H1486" s="1">
        <v>-2.725539E-6</v>
      </c>
      <c r="I1486">
        <v>139.0899</v>
      </c>
      <c r="J1486">
        <v>-353.02850000000001</v>
      </c>
      <c r="K1486">
        <v>1.1025849999999999</v>
      </c>
      <c r="L1486">
        <v>141.23859999999999</v>
      </c>
      <c r="M1486">
        <v>-0.9999401</v>
      </c>
      <c r="N1486">
        <v>0</v>
      </c>
      <c r="O1486">
        <v>-9.3063719999999996E-4</v>
      </c>
      <c r="P1486">
        <v>-0.98608600000000002</v>
      </c>
      <c r="Q1486">
        <v>0.16543440000000001</v>
      </c>
      <c r="R1486">
        <v>-1.6316779999999999E-2</v>
      </c>
      <c r="S1486">
        <v>-3.06427</v>
      </c>
      <c r="T1486">
        <v>-0.158916</v>
      </c>
      <c r="U1486">
        <v>-0.30972290000000002</v>
      </c>
      <c r="V1486">
        <v>-1.525163E-2</v>
      </c>
      <c r="W1486">
        <v>0.1761973</v>
      </c>
      <c r="X1486">
        <v>0.98423669999999996</v>
      </c>
      <c r="Y1486">
        <v>-9.9506049999999999E-2</v>
      </c>
      <c r="Z1486">
        <v>-2.523857E-3</v>
      </c>
      <c r="AA1486">
        <v>0.99503369999999902</v>
      </c>
      <c r="AB1486">
        <v>45</v>
      </c>
      <c r="AC1486">
        <v>-20.794599999999999</v>
      </c>
      <c r="AD1486">
        <v>-1.102587725539</v>
      </c>
      <c r="AE1486">
        <v>-2.1486999999999901</v>
      </c>
      <c r="AF1486">
        <v>-2.1234388865283398</v>
      </c>
      <c r="AG1486">
        <v>-1.102587725539</v>
      </c>
      <c r="AH1486">
        <v>20.738901042628299</v>
      </c>
      <c r="AI1486">
        <v>93.027477861910697</v>
      </c>
      <c r="AJ1486">
        <v>95.846094909371104</v>
      </c>
      <c r="AK1486">
        <v>20.876463035036899</v>
      </c>
    </row>
    <row r="1487" spans="1:37" x14ac:dyDescent="0.2">
      <c r="A1487" t="str">
        <f>"20200111150618048"</f>
        <v>20200111150618048</v>
      </c>
      <c r="B1487" t="str">
        <f>"1578726378038453"</f>
        <v>1578726378038453</v>
      </c>
      <c r="C1487" t="s">
        <v>37</v>
      </c>
      <c r="D1487">
        <v>4.6083489999999996</v>
      </c>
      <c r="E1487">
        <v>0.46722059999999999</v>
      </c>
      <c r="F1487" t="s">
        <v>39</v>
      </c>
      <c r="G1487">
        <v>-373.99369999999999</v>
      </c>
      <c r="H1487" s="1">
        <v>-2.65051899999999E-6</v>
      </c>
      <c r="I1487">
        <v>139.1003</v>
      </c>
      <c r="J1487">
        <v>-353.47230000000002</v>
      </c>
      <c r="K1487">
        <v>1.1025830000000001</v>
      </c>
      <c r="L1487">
        <v>141.23840000000001</v>
      </c>
      <c r="M1487">
        <v>-0.9999401</v>
      </c>
      <c r="N1487">
        <v>0</v>
      </c>
      <c r="O1487">
        <v>-6.6788929999999995E-4</v>
      </c>
      <c r="P1487">
        <v>-0.98610370000000003</v>
      </c>
      <c r="Q1487">
        <v>0.1653647</v>
      </c>
      <c r="R1487">
        <v>-1.595073E-2</v>
      </c>
      <c r="S1487">
        <v>-3.064209</v>
      </c>
      <c r="T1487">
        <v>-0.1611513</v>
      </c>
      <c r="U1487">
        <v>-0.3125153</v>
      </c>
      <c r="V1487">
        <v>-1.5145219999999999E-2</v>
      </c>
      <c r="W1487">
        <v>0.17614849999999899</v>
      </c>
      <c r="X1487">
        <v>0.98424709999999904</v>
      </c>
      <c r="Y1487">
        <v>-0.1006613</v>
      </c>
      <c r="Z1487">
        <v>-2.6032939999999999E-3</v>
      </c>
      <c r="AA1487">
        <v>0.9949173</v>
      </c>
      <c r="AB1487">
        <v>45</v>
      </c>
      <c r="AC1487">
        <v>-20.5213999999999</v>
      </c>
      <c r="AD1487">
        <v>-1.1025856505189999</v>
      </c>
      <c r="AE1487">
        <v>-2.1381000000000001</v>
      </c>
      <c r="AF1487">
        <v>-2.1183432018232198</v>
      </c>
      <c r="AG1487">
        <v>-1.1025856505189999</v>
      </c>
      <c r="AH1487">
        <v>20.464382157778701</v>
      </c>
      <c r="AI1487">
        <v>93.067656281265798</v>
      </c>
      <c r="AJ1487">
        <v>95.909847949042799</v>
      </c>
      <c r="AK1487">
        <v>20.6032524164767</v>
      </c>
    </row>
    <row r="1488" spans="1:37" x14ac:dyDescent="0.2">
      <c r="A1488" t="str">
        <f>"20200111150618070"</f>
        <v>20200111150618070</v>
      </c>
      <c r="B1488" t="str">
        <f>"1578726378067733"</f>
        <v>1578726378067733</v>
      </c>
      <c r="C1488" t="s">
        <v>37</v>
      </c>
      <c r="D1488">
        <v>4.2629769999999896</v>
      </c>
      <c r="E1488">
        <v>0.46714229999999901</v>
      </c>
      <c r="F1488" t="s">
        <v>39</v>
      </c>
      <c r="G1488">
        <v>-374.36130000000003</v>
      </c>
      <c r="H1488" s="1">
        <v>-2.4927209999999998E-6</v>
      </c>
      <c r="I1488">
        <v>139.1009</v>
      </c>
      <c r="J1488">
        <v>-353.91539999999998</v>
      </c>
      <c r="K1488">
        <v>1.1025909999999901</v>
      </c>
      <c r="L1488">
        <v>141.23830000000001</v>
      </c>
      <c r="M1488">
        <v>-0.99993999999999905</v>
      </c>
      <c r="N1488">
        <v>0</v>
      </c>
      <c r="O1488">
        <v>-4.0562739999999898E-4</v>
      </c>
      <c r="P1488">
        <v>-0.98609849999999999</v>
      </c>
      <c r="Q1488">
        <v>0.16541239999999999</v>
      </c>
      <c r="R1488">
        <v>-1.5764920000000002E-2</v>
      </c>
      <c r="S1488">
        <v>-3.0643310000000001</v>
      </c>
      <c r="T1488">
        <v>-0.16174539999999901</v>
      </c>
      <c r="U1488">
        <v>-0.31355290000000002</v>
      </c>
      <c r="V1488">
        <v>-1.521777E-2</v>
      </c>
      <c r="W1488">
        <v>0.1762184</v>
      </c>
      <c r="X1488">
        <v>0.98423340000000004</v>
      </c>
      <c r="Y1488">
        <v>-0.101249399999999</v>
      </c>
      <c r="Z1488">
        <v>-2.6419999999999998E-3</v>
      </c>
      <c r="AA1488">
        <v>0.99485749999999995</v>
      </c>
      <c r="AB1488">
        <v>45</v>
      </c>
      <c r="AC1488">
        <v>-20.445900000000002</v>
      </c>
      <c r="AD1488">
        <v>-1.1025934927209999</v>
      </c>
      <c r="AE1488">
        <v>-2.1374000000000102</v>
      </c>
      <c r="AF1488">
        <v>-2.1229986321374201</v>
      </c>
      <c r="AG1488">
        <v>-1.1025934927209999</v>
      </c>
      <c r="AH1488">
        <v>20.388114411602601</v>
      </c>
      <c r="AI1488">
        <v>93.078937266352298</v>
      </c>
      <c r="AJ1488">
        <v>95.944741044201905</v>
      </c>
      <c r="AK1488">
        <v>20.5279819968463</v>
      </c>
    </row>
    <row r="1489" spans="1:37" x14ac:dyDescent="0.2">
      <c r="A1489" t="str">
        <f>"20200111150618093"</f>
        <v>20200111150618093</v>
      </c>
      <c r="B1489" t="str">
        <f>"1578726378088275"</f>
        <v>1578726378088275</v>
      </c>
      <c r="C1489" t="s">
        <v>37</v>
      </c>
      <c r="D1489">
        <v>4.7222010000000001</v>
      </c>
      <c r="E1489">
        <v>0.44099709999999998</v>
      </c>
      <c r="F1489" t="s">
        <v>39</v>
      </c>
      <c r="G1489">
        <v>-376.93119999999999</v>
      </c>
      <c r="H1489" s="1">
        <v>-1.429384E-6</v>
      </c>
      <c r="I1489">
        <v>138.8802</v>
      </c>
      <c r="J1489">
        <v>-354.37119999999999</v>
      </c>
      <c r="K1489">
        <v>1.102587</v>
      </c>
      <c r="L1489">
        <v>141.23830000000001</v>
      </c>
      <c r="M1489">
        <v>-0.99993980000000005</v>
      </c>
      <c r="N1489">
        <v>0</v>
      </c>
      <c r="O1489">
        <v>-1.3598780000000001E-4</v>
      </c>
      <c r="P1489">
        <v>-0.98600889999999997</v>
      </c>
      <c r="Q1489">
        <v>0.16592479999999901</v>
      </c>
      <c r="R1489">
        <v>-1.598751E-2</v>
      </c>
      <c r="S1489">
        <v>-3.0619200000000002</v>
      </c>
      <c r="T1489">
        <v>-0.1466845</v>
      </c>
      <c r="U1489">
        <v>-0.31369019999999997</v>
      </c>
      <c r="V1489">
        <v>-1.570527E-2</v>
      </c>
      <c r="W1489">
        <v>0.17675539999999901</v>
      </c>
      <c r="X1489">
        <v>0.98412949999999999</v>
      </c>
      <c r="Y1489">
        <v>-0.101664899999999</v>
      </c>
      <c r="Z1489">
        <v>-2.4209489999999999E-3</v>
      </c>
      <c r="AA1489">
        <v>0.99481580000000003</v>
      </c>
      <c r="AB1489">
        <v>45</v>
      </c>
      <c r="AC1489">
        <v>-22.56</v>
      </c>
      <c r="AD1489">
        <v>-1.102588429384</v>
      </c>
      <c r="AE1489">
        <v>-2.3580999999999999</v>
      </c>
      <c r="AF1489">
        <v>-2.34948052416904</v>
      </c>
      <c r="AG1489">
        <v>-1.102588429384</v>
      </c>
      <c r="AH1489">
        <v>22.507140305804501</v>
      </c>
      <c r="AI1489">
        <v>92.789452653234605</v>
      </c>
      <c r="AJ1489">
        <v>95.959421106777398</v>
      </c>
      <c r="AK1489">
        <v>22.656282235248302</v>
      </c>
    </row>
    <row r="1490" spans="1:37" x14ac:dyDescent="0.2">
      <c r="A1490" t="str">
        <f>"20200111150618139"</f>
        <v>20200111150618139</v>
      </c>
      <c r="B1490" t="str">
        <f>"1578726378128291"</f>
        <v>1578726378128291</v>
      </c>
      <c r="C1490" t="s">
        <v>37</v>
      </c>
      <c r="D1490">
        <v>5.5900639999999999</v>
      </c>
      <c r="E1490">
        <v>0.43474629999999997</v>
      </c>
      <c r="F1490" t="s">
        <v>53</v>
      </c>
      <c r="G1490">
        <v>0</v>
      </c>
      <c r="H1490">
        <v>0</v>
      </c>
      <c r="I1490">
        <v>0</v>
      </c>
      <c r="J1490">
        <v>-355.31279999999998</v>
      </c>
      <c r="K1490">
        <v>1.1026</v>
      </c>
      <c r="L1490">
        <v>141.23869999999999</v>
      </c>
      <c r="M1490">
        <v>-0.99993909999999997</v>
      </c>
      <c r="N1490">
        <v>0</v>
      </c>
      <c r="O1490">
        <v>4.2107400000000001E-4</v>
      </c>
      <c r="P1490">
        <v>-0.98589020000000005</v>
      </c>
      <c r="Q1490">
        <v>0.16664960000000001</v>
      </c>
      <c r="R1490">
        <v>-1.5767670000000001E-2</v>
      </c>
      <c r="S1490">
        <v>-2.921783</v>
      </c>
      <c r="T1490">
        <v>0.66789140000000002</v>
      </c>
      <c r="U1490">
        <v>-0.51724239999999999</v>
      </c>
      <c r="V1490">
        <v>-1.6033809999999999E-2</v>
      </c>
      <c r="W1490">
        <v>0.17753579999999999</v>
      </c>
      <c r="X1490">
        <v>0.98398369999999902</v>
      </c>
      <c r="Y1490">
        <v>-0.17045839999999901</v>
      </c>
      <c r="Z1490">
        <v>1.9185919999999999E-2</v>
      </c>
      <c r="AA1490">
        <v>0.98517809999999995</v>
      </c>
      <c r="AB1490">
        <v>45</v>
      </c>
      <c r="AC1490">
        <v>-2.921783</v>
      </c>
      <c r="AD1490">
        <v>0.66789140000000002</v>
      </c>
      <c r="AE1490">
        <v>-0.51724239999999999</v>
      </c>
      <c r="AF1490">
        <v>-0.49347067404956302</v>
      </c>
      <c r="AG1490">
        <v>0.66789140000000002</v>
      </c>
      <c r="AH1490">
        <v>2.7806798149563998</v>
      </c>
      <c r="AI1490">
        <v>76.694311616691905</v>
      </c>
      <c r="AJ1490">
        <v>100.063171918352</v>
      </c>
      <c r="AK1490">
        <v>2.9020290249490701</v>
      </c>
    </row>
    <row r="1491" spans="1:37" x14ac:dyDescent="0.2">
      <c r="A1491" t="str">
        <f>"20200111150618159"</f>
        <v>20200111150618159</v>
      </c>
      <c r="B1491" t="str">
        <f>"1578726378147811"</f>
        <v>1578726378147811</v>
      </c>
      <c r="C1491" t="s">
        <v>37</v>
      </c>
      <c r="D1491">
        <v>4.7115799999999997</v>
      </c>
      <c r="E1491">
        <v>0.45657619999999999</v>
      </c>
      <c r="F1491" t="s">
        <v>81</v>
      </c>
      <c r="G1491">
        <v>-467.73910000000001</v>
      </c>
      <c r="H1491">
        <v>28.71255</v>
      </c>
      <c r="I1491">
        <v>119.395</v>
      </c>
      <c r="J1491">
        <v>-355.73320000000001</v>
      </c>
      <c r="K1491">
        <v>1.1025969999999901</v>
      </c>
      <c r="L1491">
        <v>141.23910000000001</v>
      </c>
      <c r="M1491">
        <v>-0.99993860000000001</v>
      </c>
      <c r="N1491">
        <v>0</v>
      </c>
      <c r="O1491">
        <v>6.6935499999999995E-4</v>
      </c>
      <c r="P1491">
        <v>-0.98600309999999902</v>
      </c>
      <c r="Q1491">
        <v>0.1660027</v>
      </c>
      <c r="R1491">
        <v>-1.5534310000000001E-2</v>
      </c>
      <c r="S1491">
        <v>-2.9129330000000002</v>
      </c>
      <c r="T1491">
        <v>0.7153659</v>
      </c>
      <c r="U1491">
        <v>-0.56596369999999996</v>
      </c>
      <c r="V1491">
        <v>-1.6045480000000001E-2</v>
      </c>
      <c r="W1491">
        <v>0.17691870000000001</v>
      </c>
      <c r="X1491">
        <v>0.98409469999999999</v>
      </c>
      <c r="Y1491">
        <v>-0.1860349</v>
      </c>
      <c r="Z1491">
        <v>2.2469900000000001E-2</v>
      </c>
      <c r="AA1491">
        <v>0.982286199999999</v>
      </c>
      <c r="AB1491">
        <v>45</v>
      </c>
      <c r="AC1491">
        <v>-112.0059</v>
      </c>
      <c r="AD1491">
        <v>27.609953000000001</v>
      </c>
      <c r="AE1491">
        <v>-21.844100000000001</v>
      </c>
      <c r="AF1491">
        <v>-20.706930384203101</v>
      </c>
      <c r="AG1491">
        <v>27.609953000000001</v>
      </c>
      <c r="AH1491">
        <v>105.798052652313</v>
      </c>
      <c r="AI1491">
        <v>75.634792983102898</v>
      </c>
      <c r="AJ1491">
        <v>101.074016086112</v>
      </c>
      <c r="AK1491">
        <v>111.284834616493</v>
      </c>
    </row>
    <row r="1492" spans="1:37" x14ac:dyDescent="0.2">
      <c r="A1492" t="str">
        <f>"20200111150618206"</f>
        <v>20200111150618206</v>
      </c>
      <c r="B1492" t="str">
        <f>"1578726378197586"</f>
        <v>1578726378197586</v>
      </c>
      <c r="C1492" t="s">
        <v>37</v>
      </c>
      <c r="D1492">
        <v>7.2673860000000001</v>
      </c>
      <c r="E1492">
        <v>0.46097009999999999</v>
      </c>
      <c r="F1492" t="s">
        <v>55</v>
      </c>
      <c r="G1492">
        <v>-862.61130000000003</v>
      </c>
      <c r="H1492">
        <v>-0.1</v>
      </c>
      <c r="I1492">
        <v>75.085459999999998</v>
      </c>
      <c r="J1492">
        <v>-356.67399999999998</v>
      </c>
      <c r="K1492">
        <v>1.102606</v>
      </c>
      <c r="L1492">
        <v>141.24029999999999</v>
      </c>
      <c r="M1492">
        <v>-0.99993719999999997</v>
      </c>
      <c r="N1492">
        <v>0</v>
      </c>
      <c r="O1492">
        <v>1.224981E-3</v>
      </c>
      <c r="P1492">
        <v>-0.98608059999999997</v>
      </c>
      <c r="Q1492">
        <v>0.16560829999999899</v>
      </c>
      <c r="R1492">
        <v>-1.4813929999999999E-2</v>
      </c>
      <c r="S1492">
        <v>-3.0375669999999899</v>
      </c>
      <c r="T1492">
        <v>-7.2067980000000004E-3</v>
      </c>
      <c r="U1492">
        <v>-0.39643859999999997</v>
      </c>
      <c r="V1492">
        <v>-1.5873229999999999E-2</v>
      </c>
      <c r="W1492">
        <v>0.1766056</v>
      </c>
      <c r="X1492">
        <v>0.98415370000000002</v>
      </c>
      <c r="Y1492">
        <v>-0.13062869999999999</v>
      </c>
      <c r="Z1492">
        <v>-1.5720170000000001E-4</v>
      </c>
      <c r="AA1492">
        <v>0.99143139999999996</v>
      </c>
      <c r="AB1492">
        <v>45</v>
      </c>
      <c r="AC1492">
        <v>-505.93729999999999</v>
      </c>
      <c r="AD1492">
        <v>-1.2026059999999901</v>
      </c>
      <c r="AE1492">
        <v>-66.154839999999993</v>
      </c>
      <c r="AF1492">
        <v>-66.774221460207301</v>
      </c>
      <c r="AG1492">
        <v>-1.2026059999999901</v>
      </c>
      <c r="AH1492">
        <v>505.85306684532202</v>
      </c>
      <c r="AI1492">
        <v>90.135042241534805</v>
      </c>
      <c r="AJ1492">
        <v>97.519750298663695</v>
      </c>
      <c r="AK1492">
        <v>510.24265614472699</v>
      </c>
    </row>
    <row r="1493" spans="1:37" x14ac:dyDescent="0.2">
      <c r="A1493" t="str">
        <f>"20200111150618227"</f>
        <v>20200111150618227</v>
      </c>
      <c r="B1493" t="str">
        <f>"1578726378218082"</f>
        <v>1578726378218082</v>
      </c>
      <c r="C1493" t="s">
        <v>37</v>
      </c>
      <c r="D1493">
        <v>7.6936179999999901</v>
      </c>
      <c r="E1493">
        <v>0.46127069999999998</v>
      </c>
      <c r="F1493" t="s">
        <v>78</v>
      </c>
      <c r="G1493">
        <v>-424.18270000000001</v>
      </c>
      <c r="H1493" s="1">
        <v>-7.8287599999999992E-6</v>
      </c>
      <c r="I1493">
        <v>133.2722</v>
      </c>
      <c r="J1493">
        <v>-357.11750000000001</v>
      </c>
      <c r="K1493">
        <v>1.102611</v>
      </c>
      <c r="L1493">
        <v>141.24100000000001</v>
      </c>
      <c r="M1493">
        <v>-0.9999363</v>
      </c>
      <c r="N1493">
        <v>0</v>
      </c>
      <c r="O1493">
        <v>1.486722E-3</v>
      </c>
      <c r="P1493">
        <v>-0.98609760000000002</v>
      </c>
      <c r="Q1493">
        <v>0.16554549999999901</v>
      </c>
      <c r="R1493">
        <v>-1.4363900000000001E-2</v>
      </c>
      <c r="S1493">
        <v>-3.0452880000000002</v>
      </c>
      <c r="T1493">
        <v>-4.9738409999999997E-2</v>
      </c>
      <c r="U1493">
        <v>-0.35943599999999998</v>
      </c>
      <c r="V1493">
        <v>-1.5680880000000001E-2</v>
      </c>
      <c r="W1493">
        <v>0.17658499999999999</v>
      </c>
      <c r="X1493">
        <v>0.98416049999999999</v>
      </c>
      <c r="Y1493">
        <v>-0.1186772</v>
      </c>
      <c r="Z1493">
        <v>-9.899551999999999E-4</v>
      </c>
      <c r="AA1493">
        <v>0.99293240000000005</v>
      </c>
      <c r="AB1493">
        <v>46</v>
      </c>
      <c r="AC1493">
        <v>-67.065200000000004</v>
      </c>
      <c r="AD1493">
        <v>-1.1026188287600001</v>
      </c>
      <c r="AE1493">
        <v>-7.9688000000000097</v>
      </c>
      <c r="AF1493">
        <v>-8.06635470978709</v>
      </c>
      <c r="AG1493">
        <v>-1.1026188287600001</v>
      </c>
      <c r="AH1493">
        <v>67.035409907240506</v>
      </c>
      <c r="AI1493">
        <v>90.9355857121745</v>
      </c>
      <c r="AJ1493">
        <v>96.861398268456298</v>
      </c>
      <c r="AK1493">
        <v>67.527979593775797</v>
      </c>
    </row>
    <row r="1494" spans="1:37" x14ac:dyDescent="0.2">
      <c r="A1494" t="str">
        <f>"20200111150618249"</f>
        <v>20200111150618249</v>
      </c>
      <c r="B1494" t="str">
        <f>"1578726378237603"</f>
        <v>1578726378237603</v>
      </c>
      <c r="C1494" t="s">
        <v>37</v>
      </c>
      <c r="D1494">
        <v>4.7349819999999996</v>
      </c>
      <c r="E1494">
        <v>0.4687829</v>
      </c>
      <c r="F1494" t="s">
        <v>53</v>
      </c>
      <c r="G1494">
        <v>0</v>
      </c>
      <c r="H1494">
        <v>0</v>
      </c>
      <c r="I1494">
        <v>0</v>
      </c>
      <c r="J1494">
        <v>-357.5643</v>
      </c>
      <c r="K1494">
        <v>1.102614</v>
      </c>
      <c r="L1494">
        <v>141.24189999999999</v>
      </c>
      <c r="M1494">
        <v>-0.99993529999999997</v>
      </c>
      <c r="N1494">
        <v>0</v>
      </c>
      <c r="O1494">
        <v>1.7501249999999999E-3</v>
      </c>
      <c r="P1494">
        <v>-0.98617690000000002</v>
      </c>
      <c r="Q1494">
        <v>0.165042299999999</v>
      </c>
      <c r="R1494">
        <v>-1.470837E-2</v>
      </c>
      <c r="S1494">
        <v>-3.036041</v>
      </c>
      <c r="T1494">
        <v>6.3871149999999996E-3</v>
      </c>
      <c r="U1494">
        <v>-0.35549930000000002</v>
      </c>
      <c r="V1494">
        <v>-1.6285270000000001E-2</v>
      </c>
      <c r="W1494">
        <v>0.17612549999999999</v>
      </c>
      <c r="X1494">
        <v>0.98423300000000002</v>
      </c>
      <c r="Y1494">
        <v>-0.1180364</v>
      </c>
      <c r="Z1494">
        <v>1.274072E-4</v>
      </c>
      <c r="AA1494">
        <v>0.99300929999999998</v>
      </c>
      <c r="AB1494">
        <v>46</v>
      </c>
      <c r="AC1494">
        <v>-3.036041</v>
      </c>
      <c r="AD1494">
        <v>6.3871149999999996E-3</v>
      </c>
      <c r="AE1494">
        <v>-0.35549930000000002</v>
      </c>
      <c r="AF1494">
        <v>-0.36081096712578198</v>
      </c>
      <c r="AG1494">
        <v>6.3871149999999996E-3</v>
      </c>
      <c r="AH1494">
        <v>3.03540088984</v>
      </c>
      <c r="AI1494">
        <v>89.880280755622707</v>
      </c>
      <c r="AJ1494">
        <v>96.778806923927107</v>
      </c>
      <c r="AK1494">
        <v>3.0567767192383801</v>
      </c>
    </row>
    <row r="1495" spans="1:37" x14ac:dyDescent="0.2">
      <c r="A1495" t="str">
        <f>"20200111150618270"</f>
        <v>20200111150618270</v>
      </c>
      <c r="B1495" t="str">
        <f>"1578726378267859"</f>
        <v>1578726378267859</v>
      </c>
      <c r="C1495" t="s">
        <v>37</v>
      </c>
      <c r="D1495">
        <v>4.2408260000000002</v>
      </c>
      <c r="E1495">
        <v>0.47211989999999998</v>
      </c>
      <c r="F1495" t="s">
        <v>53</v>
      </c>
      <c r="G1495">
        <v>0</v>
      </c>
      <c r="H1495">
        <v>0</v>
      </c>
      <c r="I1495">
        <v>0</v>
      </c>
      <c r="J1495">
        <v>-358.00150000000002</v>
      </c>
      <c r="K1495">
        <v>1.1026119999999999</v>
      </c>
      <c r="L1495">
        <v>141.24279999999999</v>
      </c>
      <c r="M1495">
        <v>-0.9999344</v>
      </c>
      <c r="N1495">
        <v>0</v>
      </c>
      <c r="O1495">
        <v>2.0077479999999902E-3</v>
      </c>
      <c r="P1495">
        <v>-0.98620620000000003</v>
      </c>
      <c r="Q1495">
        <v>0.16492299999999999</v>
      </c>
      <c r="R1495">
        <v>-1.4070829999999999E-2</v>
      </c>
      <c r="S1495">
        <v>-3.0258790000000002</v>
      </c>
      <c r="T1495">
        <v>7.0356849999999999E-2</v>
      </c>
      <c r="U1495">
        <v>-0.29557800000000001</v>
      </c>
      <c r="V1495">
        <v>-1.5902530000000002E-2</v>
      </c>
      <c r="W1495">
        <v>0.1760485</v>
      </c>
      <c r="X1495">
        <v>0.98425300000000004</v>
      </c>
      <c r="Y1495">
        <v>-9.9191710000000002E-2</v>
      </c>
      <c r="Z1495">
        <v>1.1968669999999999E-3</v>
      </c>
      <c r="AA1495">
        <v>0.99506759999999905</v>
      </c>
      <c r="AB1495">
        <v>46</v>
      </c>
      <c r="AC1495">
        <v>-3.0258790000000002</v>
      </c>
      <c r="AD1495">
        <v>7.0356849999999999E-2</v>
      </c>
      <c r="AE1495">
        <v>-0.29557800000000001</v>
      </c>
      <c r="AF1495">
        <v>-0.30149153470165302</v>
      </c>
      <c r="AG1495">
        <v>7.0356849999999999E-2</v>
      </c>
      <c r="AH1495">
        <v>3.0236601504890199</v>
      </c>
      <c r="AI1495">
        <v>88.673613223596504</v>
      </c>
      <c r="AJ1495">
        <v>95.694186077723501</v>
      </c>
      <c r="AK1495">
        <v>3.0394683642857601</v>
      </c>
    </row>
    <row r="1496" spans="1:37" x14ac:dyDescent="0.2">
      <c r="A1496" t="str">
        <f>"20200111150618295"</f>
        <v>20200111150618295</v>
      </c>
      <c r="B1496" t="str">
        <f>"1578726378288355"</f>
        <v>1578726378288355</v>
      </c>
      <c r="C1496" t="s">
        <v>37</v>
      </c>
      <c r="D1496">
        <v>8.5823369999999901</v>
      </c>
      <c r="E1496">
        <v>0.47382790000000002</v>
      </c>
      <c r="F1496" t="s">
        <v>53</v>
      </c>
      <c r="G1496">
        <v>0</v>
      </c>
      <c r="H1496">
        <v>0</v>
      </c>
      <c r="I1496">
        <v>0</v>
      </c>
      <c r="J1496">
        <v>-358.47309999999999</v>
      </c>
      <c r="K1496">
        <v>1.102622</v>
      </c>
      <c r="L1496">
        <v>141.244</v>
      </c>
      <c r="M1496">
        <v>-0.99993330000000002</v>
      </c>
      <c r="N1496">
        <v>0</v>
      </c>
      <c r="O1496">
        <v>2.2858610000000001E-3</v>
      </c>
      <c r="P1496">
        <v>-0.98629349999999905</v>
      </c>
      <c r="Q1496">
        <v>0.16453119999999999</v>
      </c>
      <c r="R1496">
        <v>-1.2431859999999999E-2</v>
      </c>
      <c r="S1496">
        <v>-3.021881</v>
      </c>
      <c r="T1496">
        <v>9.7144480000000005E-2</v>
      </c>
      <c r="U1496">
        <v>-0.2672119</v>
      </c>
      <c r="V1496">
        <v>-1.453815E-2</v>
      </c>
      <c r="W1496">
        <v>0.1757002</v>
      </c>
      <c r="X1496">
        <v>0.9843364</v>
      </c>
      <c r="Y1496">
        <v>-9.0311420000000003E-2</v>
      </c>
      <c r="Z1496">
        <v>1.5217519999999999E-3</v>
      </c>
      <c r="AA1496">
        <v>0.99591240000000003</v>
      </c>
      <c r="AB1496">
        <v>46</v>
      </c>
      <c r="AC1496">
        <v>-3.021881</v>
      </c>
      <c r="AD1496">
        <v>9.7144480000000005E-2</v>
      </c>
      <c r="AE1496">
        <v>-0.2672119</v>
      </c>
      <c r="AF1496">
        <v>-0.273838446848443</v>
      </c>
      <c r="AG1496">
        <v>9.7144480000000005E-2</v>
      </c>
      <c r="AH1496">
        <v>3.0181673866257199</v>
      </c>
      <c r="AI1496">
        <v>88.164017529079302</v>
      </c>
      <c r="AJ1496">
        <v>95.184253954876496</v>
      </c>
      <c r="AK1496">
        <v>3.0321211912880401</v>
      </c>
    </row>
    <row r="1497" spans="1:37" x14ac:dyDescent="0.2">
      <c r="A1497" t="str">
        <f>"20200111150618316"</f>
        <v>20200111150618316</v>
      </c>
      <c r="B1497" t="str">
        <f>"1578726378307874"</f>
        <v>1578726378307874</v>
      </c>
      <c r="C1497" t="s">
        <v>37</v>
      </c>
      <c r="D1497">
        <v>6.792281</v>
      </c>
      <c r="E1497">
        <v>0.41843859999999899</v>
      </c>
      <c r="F1497" t="s">
        <v>53</v>
      </c>
      <c r="G1497">
        <v>0</v>
      </c>
      <c r="H1497">
        <v>0</v>
      </c>
      <c r="I1497">
        <v>0</v>
      </c>
      <c r="J1497">
        <v>-358.9434</v>
      </c>
      <c r="K1497">
        <v>1.1026260000000001</v>
      </c>
      <c r="L1497">
        <v>141.24529999999999</v>
      </c>
      <c r="M1497">
        <v>-0.99993220000000005</v>
      </c>
      <c r="N1497">
        <v>0</v>
      </c>
      <c r="O1497">
        <v>2.562801E-3</v>
      </c>
      <c r="P1497">
        <v>-0.98636970000000002</v>
      </c>
      <c r="Q1497">
        <v>0.16413929999999999</v>
      </c>
      <c r="R1497">
        <v>-1.154089E-2</v>
      </c>
      <c r="S1497">
        <v>-3.0222470000000001</v>
      </c>
      <c r="T1497">
        <v>9.7407939999999998E-2</v>
      </c>
      <c r="U1497">
        <v>-0.249435399999999</v>
      </c>
      <c r="V1497">
        <v>-1.3920409999999999E-2</v>
      </c>
      <c r="W1497">
        <v>0.17534910000000001</v>
      </c>
      <c r="X1497">
        <v>0.9844079</v>
      </c>
      <c r="Y1497">
        <v>-8.4762390000000007E-2</v>
      </c>
      <c r="Z1497">
        <v>1.445734E-3</v>
      </c>
      <c r="AA1497">
        <v>0.99640010000000001</v>
      </c>
      <c r="AB1497">
        <v>46</v>
      </c>
      <c r="AC1497">
        <v>-3.0222470000000001</v>
      </c>
      <c r="AD1497">
        <v>9.7407939999999998E-2</v>
      </c>
      <c r="AE1497">
        <v>-0.249435399999999</v>
      </c>
      <c r="AF1497">
        <v>-0.25691542192933398</v>
      </c>
      <c r="AG1497">
        <v>9.7407939999999998E-2</v>
      </c>
      <c r="AH1497">
        <v>3.0184834153840301</v>
      </c>
      <c r="AI1497">
        <v>88.158332768837795</v>
      </c>
      <c r="AJ1497">
        <v>94.864951953291893</v>
      </c>
      <c r="AK1497">
        <v>3.03096287831913</v>
      </c>
    </row>
    <row r="1498" spans="1:37" x14ac:dyDescent="0.2">
      <c r="A1498" t="str">
        <f>"20200111150618339"</f>
        <v>20200111150618339</v>
      </c>
      <c r="B1498" t="str">
        <f>"1578726378328371"</f>
        <v>1578726378328371</v>
      </c>
      <c r="C1498" t="s">
        <v>37</v>
      </c>
      <c r="D1498">
        <v>5.1453559999999996</v>
      </c>
      <c r="E1498">
        <v>0.41684319999999903</v>
      </c>
      <c r="F1498" t="s">
        <v>81</v>
      </c>
      <c r="G1498">
        <v>-452.13499999999999</v>
      </c>
      <c r="H1498">
        <v>10.00723</v>
      </c>
      <c r="I1498">
        <v>119.8177</v>
      </c>
      <c r="J1498">
        <v>-359.38459999999998</v>
      </c>
      <c r="K1498">
        <v>1.1026339999999999</v>
      </c>
      <c r="L1498">
        <v>141.2466</v>
      </c>
      <c r="M1498">
        <v>-0.99993120000000002</v>
      </c>
      <c r="N1498">
        <v>0</v>
      </c>
      <c r="O1498">
        <v>2.823079E-3</v>
      </c>
      <c r="P1498">
        <v>-0.98640859999999997</v>
      </c>
      <c r="Q1498">
        <v>0.16393070000000001</v>
      </c>
      <c r="R1498">
        <v>-1.119042E-2</v>
      </c>
      <c r="S1498">
        <v>-2.9859309999999999</v>
      </c>
      <c r="T1498">
        <v>0.28531050000000002</v>
      </c>
      <c r="U1498">
        <v>-0.686554</v>
      </c>
      <c r="V1498">
        <v>-1.3826969999999999E-2</v>
      </c>
      <c r="W1498">
        <v>0.17517539999999901</v>
      </c>
      <c r="X1498">
        <v>0.98444009999999904</v>
      </c>
      <c r="Y1498">
        <v>-0.22584360000000001</v>
      </c>
      <c r="Z1498">
        <v>1.089334E-2</v>
      </c>
      <c r="AA1498">
        <v>0.97410269999999999</v>
      </c>
      <c r="AB1498">
        <v>46</v>
      </c>
      <c r="AC1498">
        <v>-92.750399999999999</v>
      </c>
      <c r="AD1498">
        <v>8.9045959999999997</v>
      </c>
      <c r="AE1498">
        <v>-21.428899999999999</v>
      </c>
      <c r="AF1498">
        <v>-21.502524340702401</v>
      </c>
      <c r="AG1498">
        <v>8.9045959999999997</v>
      </c>
      <c r="AH1498">
        <v>91.885524718068893</v>
      </c>
      <c r="AI1498">
        <v>84.609508661132793</v>
      </c>
      <c r="AJ1498">
        <v>103.17101726834601</v>
      </c>
      <c r="AK1498">
        <v>94.787130116174296</v>
      </c>
    </row>
    <row r="1499" spans="1:37" x14ac:dyDescent="0.2">
      <c r="A1499" t="str">
        <f>"20200111150618365"</f>
        <v>20200111150618365</v>
      </c>
      <c r="B1499" t="str">
        <f>"1578726378357651"</f>
        <v>1578726378357651</v>
      </c>
      <c r="C1499" t="s">
        <v>37</v>
      </c>
      <c r="D1499">
        <v>4.7131600000000002</v>
      </c>
      <c r="E1499">
        <v>0.47834719999999997</v>
      </c>
      <c r="F1499" t="s">
        <v>81</v>
      </c>
      <c r="G1499">
        <v>-451.05369999999999</v>
      </c>
      <c r="H1499">
        <v>10.02211</v>
      </c>
      <c r="I1499">
        <v>119.8177</v>
      </c>
      <c r="J1499">
        <v>-359.92079999999999</v>
      </c>
      <c r="K1499">
        <v>1.102633</v>
      </c>
      <c r="L1499">
        <v>141.2484</v>
      </c>
      <c r="M1499">
        <v>-0.99992969999999903</v>
      </c>
      <c r="N1499">
        <v>0</v>
      </c>
      <c r="O1499">
        <v>3.139303E-3</v>
      </c>
      <c r="P1499">
        <v>-0.98639779999999999</v>
      </c>
      <c r="Q1499">
        <v>0.1640337</v>
      </c>
      <c r="R1499">
        <v>-1.060589E-2</v>
      </c>
      <c r="S1499">
        <v>-2.9851380000000001</v>
      </c>
      <c r="T1499">
        <v>0.29045670000000001</v>
      </c>
      <c r="U1499">
        <v>-0.69781490000000002</v>
      </c>
      <c r="V1499">
        <v>-1.355436E-2</v>
      </c>
      <c r="W1499">
        <v>0.17531569999999999</v>
      </c>
      <c r="X1499">
        <v>0.98441889999999999</v>
      </c>
      <c r="Y1499">
        <v>-0.2296397</v>
      </c>
      <c r="Z1499">
        <v>1.129929E-2</v>
      </c>
      <c r="AA1499">
        <v>0.97321009999999997</v>
      </c>
      <c r="AB1499">
        <v>46</v>
      </c>
      <c r="AC1499">
        <v>-91.132900000000006</v>
      </c>
      <c r="AD1499">
        <v>8.9194770000000005</v>
      </c>
      <c r="AE1499">
        <v>-21.430700000000002</v>
      </c>
      <c r="AF1499">
        <v>-21.521352932817599</v>
      </c>
      <c r="AG1499">
        <v>8.9194770000000005</v>
      </c>
      <c r="AH1499">
        <v>90.245986815878695</v>
      </c>
      <c r="AI1499">
        <v>84.508504411141402</v>
      </c>
      <c r="AJ1499">
        <v>103.41305212399</v>
      </c>
      <c r="AK1499">
        <v>93.204419629029303</v>
      </c>
    </row>
    <row r="1500" spans="1:37" x14ac:dyDescent="0.2">
      <c r="A1500" t="str">
        <f>"20200111150618384"</f>
        <v>20200111150618384</v>
      </c>
      <c r="B1500" t="str">
        <f>"1578726378378147"</f>
        <v>1578726378378147</v>
      </c>
      <c r="C1500" t="s">
        <v>37</v>
      </c>
      <c r="D1500">
        <v>9.0479059999999993</v>
      </c>
      <c r="E1500">
        <v>0.4816995</v>
      </c>
      <c r="F1500" t="s">
        <v>53</v>
      </c>
      <c r="G1500">
        <v>0</v>
      </c>
      <c r="H1500">
        <v>0</v>
      </c>
      <c r="I1500">
        <v>0</v>
      </c>
      <c r="J1500">
        <v>-360.32670000000002</v>
      </c>
      <c r="K1500">
        <v>1.1026320000000001</v>
      </c>
      <c r="L1500">
        <v>141.24979999999999</v>
      </c>
      <c r="M1500">
        <v>-0.9999287</v>
      </c>
      <c r="N1500">
        <v>0</v>
      </c>
      <c r="O1500">
        <v>3.3788249999999998E-3</v>
      </c>
      <c r="P1500">
        <v>-0.98638959999999998</v>
      </c>
      <c r="Q1500">
        <v>0.16409760000000001</v>
      </c>
      <c r="R1500">
        <v>-1.037309E-2</v>
      </c>
      <c r="S1500">
        <v>-3.02648899999999</v>
      </c>
      <c r="T1500">
        <v>7.6147320000000004E-2</v>
      </c>
      <c r="U1500">
        <v>-0.20738219999999999</v>
      </c>
      <c r="V1500">
        <v>-1.355789E-2</v>
      </c>
      <c r="W1500">
        <v>0.17540539999999999</v>
      </c>
      <c r="X1500">
        <v>0.98440300000000003</v>
      </c>
      <c r="Y1500">
        <v>-7.1709159999999994E-2</v>
      </c>
      <c r="Z1500">
        <v>9.8581980000000003E-4</v>
      </c>
      <c r="AA1500">
        <v>0.99742509999999995</v>
      </c>
      <c r="AB1500">
        <v>46</v>
      </c>
      <c r="AC1500">
        <v>-3.02648899999999</v>
      </c>
      <c r="AD1500">
        <v>7.6147320000000004E-2</v>
      </c>
      <c r="AE1500">
        <v>-0.20738219999999999</v>
      </c>
      <c r="AF1500">
        <v>-0.217470639323568</v>
      </c>
      <c r="AG1500">
        <v>7.6147320000000004E-2</v>
      </c>
      <c r="AH1500">
        <v>3.0238656860982198</v>
      </c>
      <c r="AI1500">
        <v>88.561190760392805</v>
      </c>
      <c r="AJ1500">
        <v>94.113520684129099</v>
      </c>
      <c r="AK1500">
        <v>3.0326317911796101</v>
      </c>
    </row>
    <row r="1501" spans="1:37" x14ac:dyDescent="0.2">
      <c r="A1501" t="str">
        <f>"20200111150618409"</f>
        <v>20200111150618409</v>
      </c>
      <c r="B1501" t="str">
        <f>"1578726378397667"</f>
        <v>1578726378397667</v>
      </c>
      <c r="C1501" t="s">
        <v>37</v>
      </c>
      <c r="D1501">
        <v>5.1748419999999999</v>
      </c>
      <c r="E1501">
        <v>0.40459529999999999</v>
      </c>
      <c r="F1501" t="s">
        <v>53</v>
      </c>
      <c r="G1501">
        <v>0</v>
      </c>
      <c r="H1501">
        <v>0</v>
      </c>
      <c r="I1501">
        <v>0</v>
      </c>
      <c r="J1501">
        <v>-360.82299999999998</v>
      </c>
      <c r="K1501">
        <v>1.1026320000000001</v>
      </c>
      <c r="L1501">
        <v>141.2517</v>
      </c>
      <c r="M1501">
        <v>-0.99992729999999996</v>
      </c>
      <c r="N1501">
        <v>0</v>
      </c>
      <c r="O1501">
        <v>3.67167599999999E-3</v>
      </c>
      <c r="P1501">
        <v>-0.98632600000000004</v>
      </c>
      <c r="Q1501">
        <v>0.1644312</v>
      </c>
      <c r="R1501">
        <v>-1.111023E-2</v>
      </c>
      <c r="S1501">
        <v>-3.0233460000000001</v>
      </c>
      <c r="T1501">
        <v>9.7196340000000006E-2</v>
      </c>
      <c r="U1501">
        <v>-0.17987059999999999</v>
      </c>
      <c r="V1501">
        <v>-1.4583509999999999E-2</v>
      </c>
      <c r="W1501">
        <v>0.1757668</v>
      </c>
      <c r="X1501">
        <v>0.98432379999999997</v>
      </c>
      <c r="Y1501">
        <v>-6.3019580000000006E-2</v>
      </c>
      <c r="Z1501">
        <v>1.129756E-3</v>
      </c>
      <c r="AA1501">
        <v>0.9980116</v>
      </c>
      <c r="AB1501">
        <v>46</v>
      </c>
      <c r="AC1501">
        <v>-3.0233460000000001</v>
      </c>
      <c r="AD1501">
        <v>9.7196340000000006E-2</v>
      </c>
      <c r="AE1501">
        <v>-0.17987059999999999</v>
      </c>
      <c r="AF1501">
        <v>-0.19077439049651401</v>
      </c>
      <c r="AG1501">
        <v>9.7196340000000006E-2</v>
      </c>
      <c r="AH1501">
        <v>3.0195553466978202</v>
      </c>
      <c r="AI1501">
        <v>88.160011266269507</v>
      </c>
      <c r="AJ1501">
        <v>93.615121158864397</v>
      </c>
      <c r="AK1501">
        <v>3.0271366814780798</v>
      </c>
    </row>
    <row r="1502" spans="1:37" x14ac:dyDescent="0.2">
      <c r="A1502" t="str">
        <f>"20200111150618427"</f>
        <v>20200111150618427</v>
      </c>
      <c r="B1502" t="str">
        <f>"1578726378418163"</f>
        <v>1578726378418163</v>
      </c>
      <c r="C1502" t="s">
        <v>37</v>
      </c>
      <c r="D1502">
        <v>4.2772300000000003</v>
      </c>
      <c r="E1502">
        <v>0.48049500000000001</v>
      </c>
      <c r="F1502" t="s">
        <v>81</v>
      </c>
      <c r="G1502">
        <v>-440.20710000000003</v>
      </c>
      <c r="H1502">
        <v>16.142579999999999</v>
      </c>
      <c r="I1502">
        <v>119.8164</v>
      </c>
      <c r="J1502">
        <v>-361.20179999999999</v>
      </c>
      <c r="K1502">
        <v>1.1026279999999999</v>
      </c>
      <c r="L1502">
        <v>141.2533</v>
      </c>
      <c r="M1502">
        <v>-0.99992619999999899</v>
      </c>
      <c r="N1502">
        <v>0</v>
      </c>
      <c r="O1502">
        <v>3.8952009999999901E-3</v>
      </c>
      <c r="P1502">
        <v>-0.98633490000000001</v>
      </c>
      <c r="Q1502">
        <v>0.16432079999999999</v>
      </c>
      <c r="R1502">
        <v>-1.192908E-2</v>
      </c>
      <c r="S1502">
        <v>-2.939819</v>
      </c>
      <c r="T1502">
        <v>0.55697169999999996</v>
      </c>
      <c r="U1502">
        <v>-0.79380799999999996</v>
      </c>
      <c r="V1502">
        <v>-1.562293E-2</v>
      </c>
      <c r="W1502">
        <v>0.17567669999999999</v>
      </c>
      <c r="X1502">
        <v>0.98432389999999903</v>
      </c>
      <c r="Y1502">
        <v>-0.26006190000000001</v>
      </c>
      <c r="Z1502">
        <v>2.4718480000000001E-2</v>
      </c>
      <c r="AA1502">
        <v>0.96527549999999995</v>
      </c>
      <c r="AB1502">
        <v>46</v>
      </c>
      <c r="AC1502">
        <v>-79.005300000000005</v>
      </c>
      <c r="AD1502">
        <v>15.039952</v>
      </c>
      <c r="AE1502">
        <v>-21.436899999999898</v>
      </c>
      <c r="AF1502">
        <v>-21.034495130302499</v>
      </c>
      <c r="AG1502">
        <v>15.039952</v>
      </c>
      <c r="AH1502">
        <v>76.344249252409</v>
      </c>
      <c r="AI1502">
        <v>79.246190776601694</v>
      </c>
      <c r="AJ1502">
        <v>105.40403561800601</v>
      </c>
      <c r="AK1502">
        <v>80.604556542809505</v>
      </c>
    </row>
    <row r="1503" spans="1:37" x14ac:dyDescent="0.2">
      <c r="A1503" t="str">
        <f>"20200111150618450"</f>
        <v>20200111150618450</v>
      </c>
      <c r="B1503" t="str">
        <f>"1578726378437683"</f>
        <v>1578726378437683</v>
      </c>
      <c r="C1503" t="s">
        <v>37</v>
      </c>
      <c r="D1503">
        <v>7.2696860000000001</v>
      </c>
      <c r="E1503">
        <v>0.41588000000000003</v>
      </c>
      <c r="F1503" t="s">
        <v>53</v>
      </c>
      <c r="G1503">
        <v>0</v>
      </c>
      <c r="H1503">
        <v>0</v>
      </c>
      <c r="I1503">
        <v>0</v>
      </c>
      <c r="J1503">
        <v>-361.65010000000001</v>
      </c>
      <c r="K1503">
        <v>1.1026279999999999</v>
      </c>
      <c r="L1503">
        <v>141.2552</v>
      </c>
      <c r="M1503">
        <v>-0.99992490000000001</v>
      </c>
      <c r="N1503">
        <v>0</v>
      </c>
      <c r="O1503">
        <v>4.1593680000000001E-3</v>
      </c>
      <c r="P1503">
        <v>-0.98643259999999899</v>
      </c>
      <c r="Q1503">
        <v>0.16372310000000001</v>
      </c>
      <c r="R1503">
        <v>-1.207343E-2</v>
      </c>
      <c r="S1503">
        <v>-2.9964599999999999</v>
      </c>
      <c r="T1503">
        <v>0.2568047</v>
      </c>
      <c r="U1503">
        <v>-0.1929932</v>
      </c>
      <c r="V1503">
        <v>-1.6028250000000001E-2</v>
      </c>
      <c r="W1503">
        <v>0.17510120000000001</v>
      </c>
      <c r="X1503">
        <v>0.98441990000000001</v>
      </c>
      <c r="Y1503">
        <v>-6.816034E-2</v>
      </c>
      <c r="Z1503">
        <v>3.267903E-3</v>
      </c>
      <c r="AA1503">
        <v>0.99766900000000003</v>
      </c>
      <c r="AB1503">
        <v>46</v>
      </c>
      <c r="AC1503">
        <v>-2.9964599999999999</v>
      </c>
      <c r="AD1503">
        <v>0.2568047</v>
      </c>
      <c r="AE1503">
        <v>-0.1929932</v>
      </c>
      <c r="AF1503">
        <v>-0.20396382278660399</v>
      </c>
      <c r="AG1503">
        <v>0.2568047</v>
      </c>
      <c r="AH1503">
        <v>2.9738785344758898</v>
      </c>
      <c r="AI1503">
        <v>85.076064897079107</v>
      </c>
      <c r="AJ1503">
        <v>93.923493806765507</v>
      </c>
      <c r="AK1503">
        <v>2.9919063208536998</v>
      </c>
    </row>
    <row r="1504" spans="1:37" x14ac:dyDescent="0.2">
      <c r="A1504" t="str">
        <f>"20200111150618471"</f>
        <v>20200111150618471</v>
      </c>
      <c r="B1504" t="str">
        <f>"1578726378467939"</f>
        <v>1578726378467939</v>
      </c>
      <c r="C1504" t="s">
        <v>37</v>
      </c>
      <c r="D1504">
        <v>4.9402819999999998</v>
      </c>
      <c r="E1504">
        <v>0.4794872</v>
      </c>
      <c r="F1504" t="s">
        <v>81</v>
      </c>
      <c r="G1504">
        <v>-451.10489999999999</v>
      </c>
      <c r="H1504">
        <v>16.133109999999999</v>
      </c>
      <c r="I1504">
        <v>119.8177</v>
      </c>
      <c r="J1504">
        <v>-362.10509999999999</v>
      </c>
      <c r="K1504">
        <v>1.1026279999999999</v>
      </c>
      <c r="L1504">
        <v>141.25729999999999</v>
      </c>
      <c r="M1504">
        <v>-0.99992349999999997</v>
      </c>
      <c r="N1504">
        <v>0</v>
      </c>
      <c r="O1504">
        <v>4.4274199999999996E-3</v>
      </c>
      <c r="P1504">
        <v>-0.9864655</v>
      </c>
      <c r="Q1504">
        <v>0.1635172</v>
      </c>
      <c r="R1504">
        <v>-1.2176319999999999E-2</v>
      </c>
      <c r="S1504">
        <v>-2.9503169999999899</v>
      </c>
      <c r="T1504">
        <v>0.49572159999999899</v>
      </c>
      <c r="U1504">
        <v>-0.70703130000000003</v>
      </c>
      <c r="V1504">
        <v>-1.6396339999999999E-2</v>
      </c>
      <c r="W1504">
        <v>0.174914299999999</v>
      </c>
      <c r="X1504">
        <v>0.98444709999999902</v>
      </c>
      <c r="Y1504">
        <v>-0.2341857</v>
      </c>
      <c r="Z1504">
        <v>1.9998869999999998E-2</v>
      </c>
      <c r="AA1504">
        <v>0.97198619999999902</v>
      </c>
      <c r="AB1504">
        <v>46</v>
      </c>
      <c r="AC1504">
        <v>-88.999799999999993</v>
      </c>
      <c r="AD1504">
        <v>15.030481999999999</v>
      </c>
      <c r="AE1504">
        <v>-21.439599999999899</v>
      </c>
      <c r="AF1504">
        <v>-21.2603431045939</v>
      </c>
      <c r="AG1504">
        <v>15.030481999999999</v>
      </c>
      <c r="AH1504">
        <v>86.570333078661207</v>
      </c>
      <c r="AI1504">
        <v>80.429296722000799</v>
      </c>
      <c r="AJ1504">
        <v>103.797896381303</v>
      </c>
      <c r="AK1504">
        <v>90.400996385149</v>
      </c>
    </row>
    <row r="1505" spans="1:37" x14ac:dyDescent="0.2">
      <c r="A1505" t="str">
        <f>"20200111150618495"</f>
        <v>20200111150618495</v>
      </c>
      <c r="B1505" t="str">
        <f>"1578726378488450"</f>
        <v>1578726378488450</v>
      </c>
      <c r="C1505" t="s">
        <v>37</v>
      </c>
      <c r="D1505">
        <v>8.1523319999999995</v>
      </c>
      <c r="E1505">
        <v>0.40780470000000002</v>
      </c>
      <c r="F1505" t="s">
        <v>39</v>
      </c>
      <c r="G1505">
        <v>-376.38959999999997</v>
      </c>
      <c r="H1505" s="1">
        <v>-1.715058E-6</v>
      </c>
      <c r="I1505">
        <v>140.3074</v>
      </c>
      <c r="J1505">
        <v>-362.57940000000002</v>
      </c>
      <c r="K1505">
        <v>1.1026309999999999</v>
      </c>
      <c r="L1505">
        <v>141.25960000000001</v>
      </c>
      <c r="M1505">
        <v>-0.99992190000000003</v>
      </c>
      <c r="N1505">
        <v>0</v>
      </c>
      <c r="O1505">
        <v>4.7073189999999997E-3</v>
      </c>
      <c r="P1505">
        <v>-0.98645450000000001</v>
      </c>
      <c r="Q1505">
        <v>0.1635577</v>
      </c>
      <c r="R1505">
        <v>-1.250224E-2</v>
      </c>
      <c r="S1505">
        <v>-3.078033</v>
      </c>
      <c r="T1505">
        <v>-0.23759559999999999</v>
      </c>
      <c r="U1505">
        <v>-0.20466609999999999</v>
      </c>
      <c r="V1505">
        <v>-1.6997950000000001E-2</v>
      </c>
      <c r="W1505">
        <v>0.17497579999999999</v>
      </c>
      <c r="X1505">
        <v>0.98442600000000002</v>
      </c>
      <c r="Y1505">
        <v>-7.0818829999999999E-2</v>
      </c>
      <c r="Z1505">
        <v>-3.0886830000000001E-3</v>
      </c>
      <c r="AA1505">
        <v>0.99748440000000005</v>
      </c>
      <c r="AB1505">
        <v>46</v>
      </c>
      <c r="AC1505">
        <v>-13.810199999999901</v>
      </c>
      <c r="AD1505">
        <v>-1.102632715058</v>
      </c>
      <c r="AE1505">
        <v>-0.95220000000000404</v>
      </c>
      <c r="AF1505">
        <v>-1.01078979776914</v>
      </c>
      <c r="AG1505">
        <v>-1.102632715058</v>
      </c>
      <c r="AH1505">
        <v>13.718526232572</v>
      </c>
      <c r="AI1505">
        <v>94.582925500141201</v>
      </c>
      <c r="AJ1505">
        <v>94.213975072482597</v>
      </c>
      <c r="AK1505">
        <v>13.799835394429699</v>
      </c>
    </row>
    <row r="1506" spans="1:37" x14ac:dyDescent="0.2">
      <c r="A1506" t="str">
        <f>"20200111150618517"</f>
        <v>20200111150618517</v>
      </c>
      <c r="B1506" t="str">
        <f>"1578726378507955"</f>
        <v>1578726378507955</v>
      </c>
      <c r="C1506" t="s">
        <v>37</v>
      </c>
      <c r="D1506">
        <v>3.831728</v>
      </c>
      <c r="E1506">
        <v>0.40844249999999999</v>
      </c>
      <c r="F1506" t="s">
        <v>81</v>
      </c>
      <c r="G1506">
        <v>-445.73719999999997</v>
      </c>
      <c r="H1506">
        <v>17.22531</v>
      </c>
      <c r="I1506">
        <v>119.395</v>
      </c>
      <c r="J1506">
        <v>-363.03570000000002</v>
      </c>
      <c r="K1506">
        <v>1.1026370000000001</v>
      </c>
      <c r="L1506">
        <v>141.262</v>
      </c>
      <c r="M1506">
        <v>-0.99992029999999998</v>
      </c>
      <c r="N1506">
        <v>0</v>
      </c>
      <c r="O1506">
        <v>4.976276E-3</v>
      </c>
      <c r="P1506">
        <v>-0.9863343</v>
      </c>
      <c r="Q1506">
        <v>0.16425409999999999</v>
      </c>
      <c r="R1506">
        <v>-1.286376E-2</v>
      </c>
      <c r="S1506">
        <v>-2.9369809999999998</v>
      </c>
      <c r="T1506">
        <v>0.56942299999999901</v>
      </c>
      <c r="U1506">
        <v>-0.77221680000000004</v>
      </c>
      <c r="V1506">
        <v>-1.7623239999999998E-2</v>
      </c>
      <c r="W1506">
        <v>0.1756992</v>
      </c>
      <c r="X1506">
        <v>0.98428609999999905</v>
      </c>
      <c r="Y1506">
        <v>-0.2545712</v>
      </c>
      <c r="Z1506">
        <v>2.4993270000000001E-2</v>
      </c>
      <c r="AA1506">
        <v>0.96673099999999901</v>
      </c>
      <c r="AB1506">
        <v>46</v>
      </c>
      <c r="AC1506">
        <v>-82.701499999999896</v>
      </c>
      <c r="AD1506">
        <v>16.122672999999999</v>
      </c>
      <c r="AE1506">
        <v>-21.867000000000001</v>
      </c>
      <c r="AF1506">
        <v>-21.5140761302949</v>
      </c>
      <c r="AG1506">
        <v>16.122672999999999</v>
      </c>
      <c r="AH1506">
        <v>79.758460193048805</v>
      </c>
      <c r="AI1506">
        <v>78.956507920090402</v>
      </c>
      <c r="AJ1506">
        <v>105.09570897834</v>
      </c>
      <c r="AK1506">
        <v>84.167737457835997</v>
      </c>
    </row>
    <row r="1507" spans="1:37" x14ac:dyDescent="0.2">
      <c r="A1507" t="str">
        <f>"20200111150618539"</f>
        <v>20200111150618539</v>
      </c>
      <c r="B1507" t="str">
        <f>"1578726378527475"</f>
        <v>1578726378527475</v>
      </c>
      <c r="C1507" t="s">
        <v>37</v>
      </c>
      <c r="D1507">
        <v>4.2546280000000003</v>
      </c>
      <c r="E1507">
        <v>0.41139150000000002</v>
      </c>
      <c r="F1507" t="s">
        <v>81</v>
      </c>
      <c r="G1507">
        <v>-446.731999999999</v>
      </c>
      <c r="H1507">
        <v>16.531849999999999</v>
      </c>
      <c r="I1507">
        <v>119.395</v>
      </c>
      <c r="J1507">
        <v>-363.47669999999999</v>
      </c>
      <c r="K1507">
        <v>1.1026400000000001</v>
      </c>
      <c r="L1507">
        <v>141.26439999999999</v>
      </c>
      <c r="M1507">
        <v>-0.99991859999999999</v>
      </c>
      <c r="N1507">
        <v>0</v>
      </c>
      <c r="O1507">
        <v>5.2362019999999997E-3</v>
      </c>
      <c r="P1507">
        <v>-0.98629619999999996</v>
      </c>
      <c r="Q1507">
        <v>0.16456279999999901</v>
      </c>
      <c r="R1507">
        <v>-1.178294E-2</v>
      </c>
      <c r="S1507">
        <v>-2.9412539999999998</v>
      </c>
      <c r="T1507">
        <v>0.54221269999999999</v>
      </c>
      <c r="U1507">
        <v>-0.76844789999999996</v>
      </c>
      <c r="V1507">
        <v>-1.679802E-2</v>
      </c>
      <c r="W1507">
        <v>0.176041899999999</v>
      </c>
      <c r="X1507">
        <v>0.98423930000000004</v>
      </c>
      <c r="Y1507">
        <v>-0.2537548</v>
      </c>
      <c r="Z1507">
        <v>2.3762419999999999E-2</v>
      </c>
      <c r="AA1507">
        <v>0.96697659999999996</v>
      </c>
      <c r="AB1507">
        <v>46</v>
      </c>
      <c r="AC1507">
        <v>-83.255299999999906</v>
      </c>
      <c r="AD1507">
        <v>15.4292099999999</v>
      </c>
      <c r="AE1507">
        <v>-21.869399999999999</v>
      </c>
      <c r="AF1507">
        <v>-21.610757384150499</v>
      </c>
      <c r="AG1507">
        <v>15.4292099999999</v>
      </c>
      <c r="AH1507">
        <v>80.551661569035403</v>
      </c>
      <c r="AI1507">
        <v>79.518668158505207</v>
      </c>
      <c r="AJ1507">
        <v>105.01792003758</v>
      </c>
      <c r="AK1507">
        <v>84.815420399082697</v>
      </c>
    </row>
    <row r="1508" spans="1:37" x14ac:dyDescent="0.2">
      <c r="A1508" t="str">
        <f>"20200111150618561"</f>
        <v>20200111150618561</v>
      </c>
      <c r="B1508" t="str">
        <f>"1578726378557731"</f>
        <v>1578726378557731</v>
      </c>
      <c r="C1508" t="s">
        <v>37</v>
      </c>
      <c r="D1508">
        <v>6.8395359999999998</v>
      </c>
      <c r="E1508">
        <v>0.43718190000000001</v>
      </c>
      <c r="F1508" t="s">
        <v>81</v>
      </c>
      <c r="G1508">
        <v>-450.29239999999999</v>
      </c>
      <c r="H1508">
        <v>15.574450000000001</v>
      </c>
      <c r="I1508">
        <v>119.4372</v>
      </c>
      <c r="J1508">
        <v>-363.93579999999997</v>
      </c>
      <c r="K1508">
        <v>1.1026400000000001</v>
      </c>
      <c r="L1508">
        <v>141.267</v>
      </c>
      <c r="M1508">
        <v>-0.99991669999999999</v>
      </c>
      <c r="N1508">
        <v>0</v>
      </c>
      <c r="O1508">
        <v>5.5064959999999996E-3</v>
      </c>
      <c r="P1508">
        <v>-0.98635519999999999</v>
      </c>
      <c r="Q1508">
        <v>0.16424559999999999</v>
      </c>
      <c r="R1508">
        <v>-1.129368E-2</v>
      </c>
      <c r="S1508">
        <v>-2.9507140000000001</v>
      </c>
      <c r="T1508">
        <v>0.49187150000000002</v>
      </c>
      <c r="U1508">
        <v>-0.741867099999999</v>
      </c>
      <c r="V1508">
        <v>-1.6575429999999999E-2</v>
      </c>
      <c r="W1508">
        <v>0.1757715</v>
      </c>
      <c r="X1508">
        <v>0.98429140000000004</v>
      </c>
      <c r="Y1508">
        <v>-0.24590279999999901</v>
      </c>
      <c r="Z1508">
        <v>2.0947420000000001E-2</v>
      </c>
      <c r="AA1508">
        <v>0.96906809999999999</v>
      </c>
      <c r="AB1508">
        <v>46</v>
      </c>
      <c r="AC1508">
        <v>-86.3566</v>
      </c>
      <c r="AD1508">
        <v>14.47181</v>
      </c>
      <c r="AE1508">
        <v>-21.829799999999899</v>
      </c>
      <c r="AF1508">
        <v>-21.7313819712781</v>
      </c>
      <c r="AG1508">
        <v>14.47181</v>
      </c>
      <c r="AH1508">
        <v>84.017278720495</v>
      </c>
      <c r="AI1508">
        <v>80.532471770195698</v>
      </c>
      <c r="AJ1508">
        <v>104.501940790744</v>
      </c>
      <c r="AK1508">
        <v>87.9806192900177</v>
      </c>
    </row>
    <row r="1509" spans="1:37" x14ac:dyDescent="0.2">
      <c r="A1509" t="str">
        <f>"20200111150618585"</f>
        <v>20200111150618585</v>
      </c>
      <c r="B1509" t="str">
        <f>"1578726378578227"</f>
        <v>1578726378578227</v>
      </c>
      <c r="C1509" t="s">
        <v>37</v>
      </c>
      <c r="D1509">
        <v>5.1214639999999996</v>
      </c>
      <c r="E1509">
        <v>0.45084429999999998</v>
      </c>
      <c r="F1509" t="s">
        <v>39</v>
      </c>
      <c r="G1509">
        <v>-379.96800000000002</v>
      </c>
      <c r="H1509" s="1">
        <v>-4.4926629999999998E-6</v>
      </c>
      <c r="I1509">
        <v>138.4513</v>
      </c>
      <c r="J1509">
        <v>-364.41239999999999</v>
      </c>
      <c r="K1509">
        <v>1.102651</v>
      </c>
      <c r="L1509">
        <v>141.26990000000001</v>
      </c>
      <c r="M1509">
        <v>-0.99991419999999998</v>
      </c>
      <c r="N1509">
        <v>0</v>
      </c>
      <c r="O1509">
        <v>5.7880730000000003E-3</v>
      </c>
      <c r="P1509">
        <v>-0.98638429999999999</v>
      </c>
      <c r="Q1509">
        <v>0.1640868</v>
      </c>
      <c r="R1509">
        <v>-1.1029000000000001E-2</v>
      </c>
      <c r="S1509">
        <v>-3.0704959999999999</v>
      </c>
      <c r="T1509">
        <v>-0.2111807</v>
      </c>
      <c r="U1509">
        <v>-0.53926090000000004</v>
      </c>
      <c r="V1509">
        <v>-1.6587439999999998E-2</v>
      </c>
      <c r="W1509">
        <v>0.17568139999999999</v>
      </c>
      <c r="X1509">
        <v>0.9843073</v>
      </c>
      <c r="Y1509">
        <v>-0.17825559999999999</v>
      </c>
      <c r="Z1509">
        <v>-6.4710940000000002E-3</v>
      </c>
      <c r="AA1509">
        <v>0.98396299999999903</v>
      </c>
      <c r="AB1509">
        <v>46</v>
      </c>
      <c r="AC1509">
        <v>-15.5556</v>
      </c>
      <c r="AD1509">
        <v>-1.1026554926629999</v>
      </c>
      <c r="AE1509">
        <v>-2.8186</v>
      </c>
      <c r="AF1509">
        <v>-2.8945143349726501</v>
      </c>
      <c r="AG1509">
        <v>-1.1026554926629999</v>
      </c>
      <c r="AH1509">
        <v>15.463793728182299</v>
      </c>
      <c r="AI1509">
        <v>94.009211709181997</v>
      </c>
      <c r="AJ1509">
        <v>100.60194738767601</v>
      </c>
      <c r="AK1509">
        <v>15.7709536439187</v>
      </c>
    </row>
    <row r="1510" spans="1:37" x14ac:dyDescent="0.2">
      <c r="A1510" t="str">
        <f>"20200111150618607"</f>
        <v>20200111150618607</v>
      </c>
      <c r="B1510" t="str">
        <f>"1578726378597747"</f>
        <v>1578726378597747</v>
      </c>
      <c r="C1510" t="s">
        <v>37</v>
      </c>
      <c r="D1510">
        <v>5.1837359999999997</v>
      </c>
      <c r="E1510">
        <v>0.4487661</v>
      </c>
      <c r="F1510" t="s">
        <v>39</v>
      </c>
      <c r="G1510">
        <v>-376.86369999999999</v>
      </c>
      <c r="H1510" s="1">
        <v>-1.341899E-6</v>
      </c>
      <c r="I1510">
        <v>139.53649999999999</v>
      </c>
      <c r="J1510">
        <v>-364.87349999999998</v>
      </c>
      <c r="K1510">
        <v>1.102665</v>
      </c>
      <c r="L1510">
        <v>141.27279999999999</v>
      </c>
      <c r="M1510">
        <v>-0.99991160000000001</v>
      </c>
      <c r="N1510">
        <v>0</v>
      </c>
      <c r="O1510">
        <v>6.0625899999999996E-3</v>
      </c>
      <c r="P1510">
        <v>-0.98639769999999904</v>
      </c>
      <c r="Q1510">
        <v>0.1640529</v>
      </c>
      <c r="R1510">
        <v>-1.032201E-2</v>
      </c>
      <c r="S1510">
        <v>-3.0819700000000001</v>
      </c>
      <c r="T1510">
        <v>-0.27293119999999998</v>
      </c>
      <c r="U1510">
        <v>-0.42903140000000001</v>
      </c>
      <c r="V1510">
        <v>-1.6149839999999999E-2</v>
      </c>
      <c r="W1510">
        <v>0.17573639999999999</v>
      </c>
      <c r="X1510">
        <v>0.98430479999999998</v>
      </c>
      <c r="Y1510">
        <v>-0.1433063</v>
      </c>
      <c r="Z1510">
        <v>-6.8361849999999998E-3</v>
      </c>
      <c r="AA1510">
        <v>0.98965479999999995</v>
      </c>
      <c r="AB1510">
        <v>46</v>
      </c>
      <c r="AC1510">
        <v>-11.9902</v>
      </c>
      <c r="AD1510">
        <v>-1.1026663418989999</v>
      </c>
      <c r="AE1510">
        <v>-1.7363</v>
      </c>
      <c r="AF1510">
        <v>-1.7941030973669201</v>
      </c>
      <c r="AG1510">
        <v>-1.1026663418989999</v>
      </c>
      <c r="AH1510">
        <v>11.881033920717201</v>
      </c>
      <c r="AI1510">
        <v>95.243265808833101</v>
      </c>
      <c r="AJ1510">
        <v>98.587108150420093</v>
      </c>
      <c r="AK1510">
        <v>12.066219209461201</v>
      </c>
    </row>
    <row r="1511" spans="1:37" x14ac:dyDescent="0.2">
      <c r="A1511" t="str">
        <f>"20200111150618628"</f>
        <v>20200111150618628</v>
      </c>
      <c r="B1511" t="str">
        <f>"1578726378618243"</f>
        <v>1578726378618243</v>
      </c>
      <c r="C1511" t="s">
        <v>37</v>
      </c>
      <c r="D1511">
        <v>4.2707639999999998</v>
      </c>
      <c r="E1511">
        <v>0.45158219999999999</v>
      </c>
      <c r="F1511" t="s">
        <v>39</v>
      </c>
      <c r="G1511">
        <v>-379.88260000000002</v>
      </c>
      <c r="H1511" s="1">
        <v>-1.611342E-7</v>
      </c>
      <c r="I1511">
        <v>139.10830000000001</v>
      </c>
      <c r="J1511">
        <v>-365.30509999999998</v>
      </c>
      <c r="K1511">
        <v>1.1026819999999999</v>
      </c>
      <c r="L1511">
        <v>141.2756</v>
      </c>
      <c r="M1511">
        <v>-0.99990879999999904</v>
      </c>
      <c r="N1511">
        <v>0</v>
      </c>
      <c r="O1511">
        <v>6.3163209999999997E-3</v>
      </c>
      <c r="P1511">
        <v>-0.98647559999999901</v>
      </c>
      <c r="Q1511">
        <v>0.1635828</v>
      </c>
      <c r="R1511">
        <v>-1.033735E-2</v>
      </c>
      <c r="S1511">
        <v>-3.0742799999999999</v>
      </c>
      <c r="T1511">
        <v>-0.2258561</v>
      </c>
      <c r="U1511">
        <v>-0.44331359999999997</v>
      </c>
      <c r="V1511">
        <v>-1.6413750000000001E-2</v>
      </c>
      <c r="W1511">
        <v>0.17537539999999999</v>
      </c>
      <c r="X1511">
        <v>0.98436480000000004</v>
      </c>
      <c r="Y1511">
        <v>-0.1485648</v>
      </c>
      <c r="Z1511">
        <v>-5.8831040000000001E-3</v>
      </c>
      <c r="AA1511">
        <v>0.98888519999999902</v>
      </c>
      <c r="AB1511">
        <v>46</v>
      </c>
      <c r="AC1511">
        <v>-14.577500000000001</v>
      </c>
      <c r="AD1511">
        <v>-1.1026821611341999</v>
      </c>
      <c r="AE1511">
        <v>-2.16729999999998</v>
      </c>
      <c r="AF1511">
        <v>-2.2467619263504601</v>
      </c>
      <c r="AG1511">
        <v>-1.1026821611341999</v>
      </c>
      <c r="AH1511">
        <v>14.482444869483</v>
      </c>
      <c r="AI1511">
        <v>94.302781687960106</v>
      </c>
      <c r="AJ1511">
        <v>98.8183938486317</v>
      </c>
      <c r="AK1511">
        <v>14.697110481308799</v>
      </c>
    </row>
    <row r="1512" spans="1:37" x14ac:dyDescent="0.2">
      <c r="A1512" t="str">
        <f>"20200111150618650"</f>
        <v>20200111150618650</v>
      </c>
      <c r="B1512" t="str">
        <f>"1578726378647523"</f>
        <v>1578726378647523</v>
      </c>
      <c r="C1512" t="s">
        <v>37</v>
      </c>
      <c r="D1512">
        <v>4.9672989999999997</v>
      </c>
      <c r="E1512">
        <v>0.45607609999999899</v>
      </c>
      <c r="F1512" t="s">
        <v>39</v>
      </c>
      <c r="G1512">
        <v>-382.4332</v>
      </c>
      <c r="H1512" s="1">
        <v>-3.3509150000000002E-6</v>
      </c>
      <c r="I1512">
        <v>138.92580000000001</v>
      </c>
      <c r="J1512">
        <v>-365.75920000000002</v>
      </c>
      <c r="K1512">
        <v>1.1027009999999999</v>
      </c>
      <c r="L1512">
        <v>141.27869999999999</v>
      </c>
      <c r="M1512">
        <v>-0.9999055</v>
      </c>
      <c r="N1512">
        <v>0</v>
      </c>
      <c r="O1512">
        <v>6.5738439999999997E-3</v>
      </c>
      <c r="P1512">
        <v>-0.98646339999999999</v>
      </c>
      <c r="Q1512">
        <v>0.1636638</v>
      </c>
      <c r="R1512">
        <v>-1.0237319999999999E-2</v>
      </c>
      <c r="S1512">
        <v>-3.069458</v>
      </c>
      <c r="T1512">
        <v>-0.1976089</v>
      </c>
      <c r="U1512">
        <v>-0.421081499999999</v>
      </c>
      <c r="V1512">
        <v>-1.6565650000000001E-2</v>
      </c>
      <c r="W1512">
        <v>0.17559359999999999</v>
      </c>
      <c r="X1512">
        <v>0.98432330000000001</v>
      </c>
      <c r="Y1512">
        <v>-0.14211960000000001</v>
      </c>
      <c r="Z1512">
        <v>-4.9696879999999999E-3</v>
      </c>
      <c r="AA1512">
        <v>0.98983709999999903</v>
      </c>
      <c r="AB1512">
        <v>46</v>
      </c>
      <c r="AC1512">
        <v>-16.6739999999999</v>
      </c>
      <c r="AD1512">
        <v>-1.1027043509150001</v>
      </c>
      <c r="AE1512">
        <v>-2.3528999999999698</v>
      </c>
      <c r="AF1512">
        <v>-2.4519549286179001</v>
      </c>
      <c r="AG1512">
        <v>-1.1027043509150001</v>
      </c>
      <c r="AH1512">
        <v>16.587042277788601</v>
      </c>
      <c r="AI1512">
        <v>93.7626503866353</v>
      </c>
      <c r="AJ1512">
        <v>98.408767642218706</v>
      </c>
      <c r="AK1512">
        <v>16.803511876469301</v>
      </c>
    </row>
    <row r="1513" spans="1:37" x14ac:dyDescent="0.2">
      <c r="A1513" t="str">
        <f>"20200111150618674"</f>
        <v>20200111150618674</v>
      </c>
      <c r="B1513" t="str">
        <f>"1578726378668019"</f>
        <v>1578726378668019</v>
      </c>
      <c r="C1513" t="s">
        <v>37</v>
      </c>
      <c r="D1513">
        <v>5.3744889999999996</v>
      </c>
      <c r="E1513">
        <v>0.45557529999999902</v>
      </c>
      <c r="F1513" t="s">
        <v>39</v>
      </c>
      <c r="G1513">
        <v>-382.71420000000001</v>
      </c>
      <c r="H1513" s="1">
        <v>-3.1900840000000002E-6</v>
      </c>
      <c r="I1513">
        <v>139.15280000000001</v>
      </c>
      <c r="J1513">
        <v>-366.23649999999998</v>
      </c>
      <c r="K1513">
        <v>1.102732</v>
      </c>
      <c r="L1513">
        <v>141.28210000000001</v>
      </c>
      <c r="M1513">
        <v>-0.999901499999999</v>
      </c>
      <c r="N1513">
        <v>0</v>
      </c>
      <c r="O1513">
        <v>6.8423729999999997E-3</v>
      </c>
      <c r="P1513">
        <v>-0.98650179999999998</v>
      </c>
      <c r="Q1513">
        <v>0.16344259999999999</v>
      </c>
      <c r="R1513">
        <v>-1.00369E-2</v>
      </c>
      <c r="S1513">
        <v>-3.0702820000000002</v>
      </c>
      <c r="T1513">
        <v>-0.1996831</v>
      </c>
      <c r="U1513">
        <v>-0.38494869999999998</v>
      </c>
      <c r="V1513">
        <v>-1.6631989999999999E-2</v>
      </c>
      <c r="W1513">
        <v>0.17553779999999999</v>
      </c>
      <c r="X1513">
        <v>0.98433219999999999</v>
      </c>
      <c r="Y1513">
        <v>-0.1309052</v>
      </c>
      <c r="Z1513">
        <v>-4.6787349999999998E-3</v>
      </c>
      <c r="AA1513">
        <v>0.99138389999999998</v>
      </c>
      <c r="AB1513">
        <v>46</v>
      </c>
      <c r="AC1513">
        <v>-16.477699999999999</v>
      </c>
      <c r="AD1513">
        <v>-1.1027351900839999</v>
      </c>
      <c r="AE1513">
        <v>-2.1293000000000002</v>
      </c>
      <c r="AF1513">
        <v>-2.2321722125283601</v>
      </c>
      <c r="AG1513">
        <v>-1.1027351900839999</v>
      </c>
      <c r="AH1513">
        <v>16.390541464666999</v>
      </c>
      <c r="AI1513">
        <v>93.813888325307502</v>
      </c>
      <c r="AJ1513">
        <v>97.755207857696604</v>
      </c>
      <c r="AK1513">
        <v>16.578554436102099</v>
      </c>
    </row>
    <row r="1514" spans="1:37" x14ac:dyDescent="0.2">
      <c r="A1514" t="str">
        <f>"20200111150618696"</f>
        <v>20200111150618696</v>
      </c>
      <c r="B1514" t="str">
        <f>"1578726378687539"</f>
        <v>1578726378687539</v>
      </c>
      <c r="C1514" t="s">
        <v>37</v>
      </c>
      <c r="D1514">
        <v>4.9453769999999997</v>
      </c>
      <c r="E1514">
        <v>0.45642089999999902</v>
      </c>
      <c r="F1514" t="s">
        <v>39</v>
      </c>
      <c r="G1514">
        <v>-386.94510000000002</v>
      </c>
      <c r="H1514" s="1">
        <v>-1.4630589999999999E-6</v>
      </c>
      <c r="I1514">
        <v>138.6567</v>
      </c>
      <c r="J1514">
        <v>-366.69709999999998</v>
      </c>
      <c r="K1514">
        <v>1.1027629999999999</v>
      </c>
      <c r="L1514">
        <v>141.28550000000001</v>
      </c>
      <c r="M1514">
        <v>-0.99989749999999999</v>
      </c>
      <c r="N1514">
        <v>0</v>
      </c>
      <c r="O1514">
        <v>7.1078540000000003E-3</v>
      </c>
      <c r="P1514">
        <v>-0.98660380000000003</v>
      </c>
      <c r="Q1514">
        <v>0.16284499999999999</v>
      </c>
      <c r="R1514">
        <v>-9.7295379999999994E-3</v>
      </c>
      <c r="S1514">
        <v>-3.0640869999999998</v>
      </c>
      <c r="T1514">
        <v>-0.16316329999999901</v>
      </c>
      <c r="U1514">
        <v>-0.38844299999999998</v>
      </c>
      <c r="V1514">
        <v>-1.659149E-2</v>
      </c>
      <c r="W1514">
        <v>0.1751124</v>
      </c>
      <c r="X1514">
        <v>0.98440859999999997</v>
      </c>
      <c r="Y1514">
        <v>-0.13262019999999999</v>
      </c>
      <c r="Z1514">
        <v>-3.8912829999999902E-3</v>
      </c>
      <c r="AA1514">
        <v>0.99115929999999997</v>
      </c>
      <c r="AB1514">
        <v>46</v>
      </c>
      <c r="AC1514">
        <v>-20.248000000000001</v>
      </c>
      <c r="AD1514">
        <v>-1.1027644630589899</v>
      </c>
      <c r="AE1514">
        <v>-2.6288000000000098</v>
      </c>
      <c r="AF1514">
        <v>-2.7646000884849098</v>
      </c>
      <c r="AG1514">
        <v>-1.1027644630589899</v>
      </c>
      <c r="AH1514">
        <v>20.169965338590998</v>
      </c>
      <c r="AI1514">
        <v>93.100518748094203</v>
      </c>
      <c r="AJ1514">
        <v>97.804624446614596</v>
      </c>
      <c r="AK1514">
        <v>20.388393876669099</v>
      </c>
    </row>
    <row r="1515" spans="1:37" x14ac:dyDescent="0.2">
      <c r="A1515" t="str">
        <f>"20200111150618717"</f>
        <v>20200111150618717</v>
      </c>
      <c r="B1515" t="str">
        <f>"1578726378708034"</f>
        <v>1578726378708034</v>
      </c>
      <c r="C1515" t="s">
        <v>37</v>
      </c>
      <c r="D1515">
        <v>4.2249809999999997</v>
      </c>
      <c r="E1515">
        <v>0.45694759999999901</v>
      </c>
      <c r="F1515" t="s">
        <v>39</v>
      </c>
      <c r="G1515">
        <v>-390.52659999999997</v>
      </c>
      <c r="H1515" s="1">
        <v>-4.2756269999999999E-6</v>
      </c>
      <c r="I1515">
        <v>138.3236</v>
      </c>
      <c r="J1515">
        <v>-367.13389999999998</v>
      </c>
      <c r="K1515">
        <v>1.1027910000000001</v>
      </c>
      <c r="L1515">
        <v>141.28880000000001</v>
      </c>
      <c r="M1515">
        <v>-0.9998937</v>
      </c>
      <c r="N1515">
        <v>0</v>
      </c>
      <c r="O1515">
        <v>7.3662600000000003E-3</v>
      </c>
      <c r="P1515">
        <v>-0.98667660000000001</v>
      </c>
      <c r="Q1515">
        <v>0.162406299999999</v>
      </c>
      <c r="R1515">
        <v>-9.6967340000000003E-3</v>
      </c>
      <c r="S1515">
        <v>-3.060333</v>
      </c>
      <c r="T1515">
        <v>-0.14162420000000001</v>
      </c>
      <c r="U1515">
        <v>-0.38037109999999902</v>
      </c>
      <c r="V1515">
        <v>-1.6817639999999998E-2</v>
      </c>
      <c r="W1515">
        <v>0.17483870000000001</v>
      </c>
      <c r="X1515">
        <v>0.98445339999999903</v>
      </c>
      <c r="Y1515">
        <v>-0.1305036</v>
      </c>
      <c r="Z1515">
        <v>-3.3459869999999999E-3</v>
      </c>
      <c r="AA1515">
        <v>0.99144219999999905</v>
      </c>
      <c r="AB1515">
        <v>46</v>
      </c>
      <c r="AC1515">
        <v>-23.392699999999898</v>
      </c>
      <c r="AD1515">
        <v>-1.1027952756270001</v>
      </c>
      <c r="AE1515">
        <v>-2.9651999999999998</v>
      </c>
      <c r="AF1515">
        <v>-3.1306023526953801</v>
      </c>
      <c r="AG1515">
        <v>-1.1027952756270001</v>
      </c>
      <c r="AH1515">
        <v>23.319215155307099</v>
      </c>
      <c r="AI1515">
        <v>92.683533801436596</v>
      </c>
      <c r="AJ1515">
        <v>97.6462353825561</v>
      </c>
      <c r="AK1515">
        <v>23.554248533335802</v>
      </c>
    </row>
    <row r="1516" spans="1:37" x14ac:dyDescent="0.2">
      <c r="A1516" t="str">
        <f>"20200111150618740"</f>
        <v>20200111150618740</v>
      </c>
      <c r="B1516" t="str">
        <f>"1578726378738290"</f>
        <v>1578726378738290</v>
      </c>
      <c r="C1516" t="s">
        <v>37</v>
      </c>
      <c r="D1516">
        <v>5.4133339999999999</v>
      </c>
      <c r="E1516">
        <v>0.4570515</v>
      </c>
      <c r="F1516" t="s">
        <v>39</v>
      </c>
      <c r="G1516">
        <v>-391.77699999999999</v>
      </c>
      <c r="H1516" s="1">
        <v>-3.7507189999999998E-6</v>
      </c>
      <c r="I1516">
        <v>138.25890000000001</v>
      </c>
      <c r="J1516">
        <v>-367.58670000000001</v>
      </c>
      <c r="K1516">
        <v>1.102819</v>
      </c>
      <c r="L1516">
        <v>141.29239999999999</v>
      </c>
      <c r="M1516">
        <v>-0.99988929999999998</v>
      </c>
      <c r="N1516">
        <v>0</v>
      </c>
      <c r="O1516">
        <v>7.6363500000000001E-3</v>
      </c>
      <c r="P1516">
        <v>-0.98674030000000001</v>
      </c>
      <c r="Q1516">
        <v>0.1620412</v>
      </c>
      <c r="R1516">
        <v>-9.2957030000000006E-3</v>
      </c>
      <c r="S1516">
        <v>-3.059326</v>
      </c>
      <c r="T1516">
        <v>-0.13690749999999999</v>
      </c>
      <c r="U1516">
        <v>-0.37614439999999999</v>
      </c>
      <c r="V1516">
        <v>-1.6687239999999999E-2</v>
      </c>
      <c r="W1516">
        <v>0.17464859999999999</v>
      </c>
      <c r="X1516">
        <v>0.98448939999999996</v>
      </c>
      <c r="Y1516">
        <v>-0.12947229999999901</v>
      </c>
      <c r="Z1516">
        <v>-3.2250529999999999E-3</v>
      </c>
      <c r="AA1516">
        <v>0.99157779999999995</v>
      </c>
      <c r="AB1516">
        <v>46</v>
      </c>
      <c r="AC1516">
        <v>-24.190299999999901</v>
      </c>
      <c r="AD1516">
        <v>-1.102822750719</v>
      </c>
      <c r="AE1516">
        <v>-3.0334999999999699</v>
      </c>
      <c r="AF1516">
        <v>-3.21158059407936</v>
      </c>
      <c r="AG1516">
        <v>-1.102822750719</v>
      </c>
      <c r="AH1516">
        <v>24.1170789281</v>
      </c>
      <c r="AI1516">
        <v>92.595311515848394</v>
      </c>
      <c r="AJ1516">
        <v>97.585236351495098</v>
      </c>
      <c r="AK1516">
        <v>24.354957687419098</v>
      </c>
    </row>
    <row r="1517" spans="1:37" x14ac:dyDescent="0.2">
      <c r="A1517" t="str">
        <f>"20200111150618762"</f>
        <v>20200111150618762</v>
      </c>
      <c r="B1517" t="str">
        <f>"1578726378757811"</f>
        <v>1578726378757811</v>
      </c>
      <c r="C1517" t="s">
        <v>37</v>
      </c>
      <c r="D1517">
        <v>6.5052769999999898</v>
      </c>
      <c r="E1517">
        <v>0.45664129999999897</v>
      </c>
      <c r="F1517" t="s">
        <v>78</v>
      </c>
      <c r="G1517">
        <v>-400.5136</v>
      </c>
      <c r="H1517" s="1">
        <v>-4.4173269999999997E-6</v>
      </c>
      <c r="I1517">
        <v>137.2647</v>
      </c>
      <c r="J1517">
        <v>-368.04730000000001</v>
      </c>
      <c r="K1517">
        <v>1.1028500000000001</v>
      </c>
      <c r="L1517">
        <v>141.2961</v>
      </c>
      <c r="M1517">
        <v>-0.99988469999999996</v>
      </c>
      <c r="N1517">
        <v>0</v>
      </c>
      <c r="O1517">
        <v>7.9086299999999998E-3</v>
      </c>
      <c r="P1517">
        <v>-0.98681810000000003</v>
      </c>
      <c r="Q1517">
        <v>0.16158420000000001</v>
      </c>
      <c r="R1517">
        <v>-8.9918229999999995E-3</v>
      </c>
      <c r="S1517">
        <v>-3.0535890000000001</v>
      </c>
      <c r="T1517">
        <v>-0.102273899999999</v>
      </c>
      <c r="U1517">
        <v>-0.37351990000000002</v>
      </c>
      <c r="V1517">
        <v>-1.6654240000000001E-2</v>
      </c>
      <c r="W1517">
        <v>0.17438239999999999</v>
      </c>
      <c r="X1517">
        <v>0.984537199999999</v>
      </c>
      <c r="Y1517">
        <v>-0.12918789999999999</v>
      </c>
      <c r="Z1517">
        <v>-2.4186960000000001E-3</v>
      </c>
      <c r="AA1517">
        <v>0.99161719999999898</v>
      </c>
      <c r="AB1517">
        <v>46</v>
      </c>
      <c r="AC1517">
        <v>-32.466299999999897</v>
      </c>
      <c r="AD1517">
        <v>-1.1028544173270001</v>
      </c>
      <c r="AE1517">
        <v>-4.0313999999999899</v>
      </c>
      <c r="AF1517">
        <v>-4.2831920752868999</v>
      </c>
      <c r="AG1517">
        <v>-1.1028544173270001</v>
      </c>
      <c r="AH1517">
        <v>32.3965839527268</v>
      </c>
      <c r="AI1517">
        <v>91.932920088859504</v>
      </c>
      <c r="AJ1517">
        <v>97.531465084468806</v>
      </c>
      <c r="AK1517">
        <v>32.697104979274499</v>
      </c>
    </row>
    <row r="1518" spans="1:37" x14ac:dyDescent="0.2">
      <c r="A1518" t="str">
        <f>"20200111150618787"</f>
        <v>20200111150618787</v>
      </c>
      <c r="B1518" t="str">
        <f>"1578726378778307"</f>
        <v>1578726378778307</v>
      </c>
      <c r="C1518" t="s">
        <v>37</v>
      </c>
      <c r="D1518">
        <v>5.0804400000000003</v>
      </c>
      <c r="E1518">
        <v>0.4286741</v>
      </c>
      <c r="F1518" t="s">
        <v>78</v>
      </c>
      <c r="G1518">
        <v>-404.77609999999999</v>
      </c>
      <c r="H1518" s="1">
        <v>-6.1562099999999901E-6</v>
      </c>
      <c r="I1518">
        <v>136.77250000000001</v>
      </c>
      <c r="J1518">
        <v>-368.52640000000002</v>
      </c>
      <c r="K1518">
        <v>1.1028819999999999</v>
      </c>
      <c r="L1518">
        <v>141.30019999999999</v>
      </c>
      <c r="M1518">
        <v>-0.99987969999999904</v>
      </c>
      <c r="N1518">
        <v>0</v>
      </c>
      <c r="O1518">
        <v>8.1873569999999993E-3</v>
      </c>
      <c r="P1518">
        <v>-0.98683539999999903</v>
      </c>
      <c r="Q1518">
        <v>0.1614881</v>
      </c>
      <c r="R1518">
        <v>-8.8290339999999995E-3</v>
      </c>
      <c r="S1518">
        <v>-3.051666</v>
      </c>
      <c r="T1518">
        <v>-9.1632489999999997E-2</v>
      </c>
      <c r="U1518">
        <v>-0.37585449999999998</v>
      </c>
      <c r="V1518">
        <v>-1.6767500000000001E-2</v>
      </c>
      <c r="W1518">
        <v>0.1744974</v>
      </c>
      <c r="X1518">
        <v>0.98451480000000002</v>
      </c>
      <c r="Y1518">
        <v>-0.1303011</v>
      </c>
      <c r="Z1518">
        <v>-2.1933920000000002E-3</v>
      </c>
      <c r="AA1518">
        <v>0.99147209999999997</v>
      </c>
      <c r="AB1518">
        <v>46</v>
      </c>
      <c r="AC1518">
        <v>-36.249699999999898</v>
      </c>
      <c r="AD1518">
        <v>-1.1028881562099999</v>
      </c>
      <c r="AE1518">
        <v>-4.5276999999999799</v>
      </c>
      <c r="AF1518">
        <v>-4.8199700676951602</v>
      </c>
      <c r="AG1518">
        <v>-1.1028881562099999</v>
      </c>
      <c r="AH1518">
        <v>36.178436993127598</v>
      </c>
      <c r="AI1518">
        <v>91.730819170255003</v>
      </c>
      <c r="AJ1518">
        <v>97.588696842794405</v>
      </c>
      <c r="AK1518">
        <v>36.514761083762899</v>
      </c>
    </row>
    <row r="1519" spans="1:37" x14ac:dyDescent="0.2">
      <c r="A1519" t="str">
        <f>"20200111150618808"</f>
        <v>20200111150618808</v>
      </c>
      <c r="B1519" t="str">
        <f>"1578726378797827"</f>
        <v>1578726378797827</v>
      </c>
      <c r="C1519" t="s">
        <v>37</v>
      </c>
      <c r="D1519">
        <v>5.0701330000000002</v>
      </c>
      <c r="E1519">
        <v>0.44325769999999998</v>
      </c>
      <c r="F1519" t="s">
        <v>53</v>
      </c>
      <c r="G1519">
        <v>0</v>
      </c>
      <c r="H1519">
        <v>0</v>
      </c>
      <c r="I1519">
        <v>0</v>
      </c>
      <c r="J1519">
        <v>-368.97669999999999</v>
      </c>
      <c r="K1519">
        <v>1.102911</v>
      </c>
      <c r="L1519">
        <v>141.30410000000001</v>
      </c>
      <c r="M1519">
        <v>-0.99987469999999901</v>
      </c>
      <c r="N1519">
        <v>0</v>
      </c>
      <c r="O1519">
        <v>8.4466000000000003E-3</v>
      </c>
      <c r="P1519">
        <v>-0.98683089999999996</v>
      </c>
      <c r="Q1519">
        <v>0.161528</v>
      </c>
      <c r="R1519">
        <v>-8.5838500000000005E-3</v>
      </c>
      <c r="S1519">
        <v>-3.005341</v>
      </c>
      <c r="T1519">
        <v>0.17907329999999999</v>
      </c>
      <c r="U1519">
        <v>-0.59687809999999997</v>
      </c>
      <c r="V1519">
        <v>-1.6777569999999999E-2</v>
      </c>
      <c r="W1519">
        <v>0.1747378</v>
      </c>
      <c r="X1519">
        <v>0.98447199999999901</v>
      </c>
      <c r="Y1519">
        <v>-0.20271919999999999</v>
      </c>
      <c r="Z1519">
        <v>6.474095E-3</v>
      </c>
      <c r="AA1519">
        <v>0.97921550000000002</v>
      </c>
      <c r="AB1519">
        <v>46</v>
      </c>
      <c r="AC1519">
        <v>-3.005341</v>
      </c>
      <c r="AD1519">
        <v>0.17907329999999999</v>
      </c>
      <c r="AE1519">
        <v>-0.59687809999999997</v>
      </c>
      <c r="AF1519">
        <v>-0.620125861312667</v>
      </c>
      <c r="AG1519">
        <v>0.17907329999999999</v>
      </c>
      <c r="AH1519">
        <v>2.9899790160114401</v>
      </c>
      <c r="AI1519">
        <v>86.643838343647005</v>
      </c>
      <c r="AJ1519">
        <v>101.71710520352801</v>
      </c>
      <c r="AK1519">
        <v>3.0588556433461198</v>
      </c>
    </row>
    <row r="1520" spans="1:37" x14ac:dyDescent="0.2">
      <c r="A1520" t="str">
        <f>"20200111150618832"</f>
        <v>20200111150618832</v>
      </c>
      <c r="B1520" t="str">
        <f>"1578726378828083"</f>
        <v>1578726378828083</v>
      </c>
      <c r="C1520" t="s">
        <v>37</v>
      </c>
      <c r="D1520">
        <v>7.691535</v>
      </c>
      <c r="E1520">
        <v>0.44417879999999899</v>
      </c>
      <c r="F1520" t="s">
        <v>53</v>
      </c>
      <c r="G1520">
        <v>0</v>
      </c>
      <c r="H1520">
        <v>0</v>
      </c>
      <c r="I1520">
        <v>0</v>
      </c>
      <c r="J1520">
        <v>-369.46429999999998</v>
      </c>
      <c r="K1520">
        <v>1.1029389999999999</v>
      </c>
      <c r="L1520">
        <v>141.30840000000001</v>
      </c>
      <c r="M1520">
        <v>-0.99986960000000003</v>
      </c>
      <c r="N1520">
        <v>0</v>
      </c>
      <c r="O1520">
        <v>8.7257210000000005E-3</v>
      </c>
      <c r="P1520">
        <v>-0.98676189999999997</v>
      </c>
      <c r="Q1520">
        <v>0.1619563</v>
      </c>
      <c r="R1520">
        <v>-8.4457270000000001E-3</v>
      </c>
      <c r="S1520">
        <v>-3.0074459999999998</v>
      </c>
      <c r="T1520">
        <v>0.17366870000000001</v>
      </c>
      <c r="U1520">
        <v>-0.47985839999999902</v>
      </c>
      <c r="V1520">
        <v>-1.6913640000000001E-2</v>
      </c>
      <c r="W1520">
        <v>0.17537629999999901</v>
      </c>
      <c r="X1520">
        <v>0.98435620000000001</v>
      </c>
      <c r="Y1520">
        <v>-0.1658915</v>
      </c>
      <c r="Z1520">
        <v>5.2562440000000002E-3</v>
      </c>
      <c r="AA1520">
        <v>0.98612999999999995</v>
      </c>
      <c r="AB1520">
        <v>46</v>
      </c>
      <c r="AC1520">
        <v>-3.0074459999999998</v>
      </c>
      <c r="AD1520">
        <v>0.17366870000000001</v>
      </c>
      <c r="AE1520">
        <v>-0.47985839999999902</v>
      </c>
      <c r="AF1520">
        <v>-0.50444431322963501</v>
      </c>
      <c r="AG1520">
        <v>0.17366870000000001</v>
      </c>
      <c r="AH1520">
        <v>2.9934098936055902</v>
      </c>
      <c r="AI1520">
        <v>86.7256571709393</v>
      </c>
      <c r="AJ1520">
        <v>99.565513949591903</v>
      </c>
      <c r="AK1520">
        <v>3.0405801541227699</v>
      </c>
    </row>
    <row r="1521" spans="1:37" x14ac:dyDescent="0.2">
      <c r="A1521" t="str">
        <f>"20200111150618852"</f>
        <v>20200111150618852</v>
      </c>
      <c r="B1521" t="str">
        <f>"1578726378847603"</f>
        <v>1578726378847603</v>
      </c>
      <c r="C1521" t="s">
        <v>37</v>
      </c>
      <c r="D1521">
        <v>8.5752539999999993</v>
      </c>
      <c r="E1521">
        <v>0.44677820000000001</v>
      </c>
      <c r="F1521" t="s">
        <v>53</v>
      </c>
      <c r="G1521">
        <v>0</v>
      </c>
      <c r="H1521">
        <v>0</v>
      </c>
      <c r="I1521">
        <v>0</v>
      </c>
      <c r="J1521">
        <v>-369.86149999999998</v>
      </c>
      <c r="K1521">
        <v>1.102957</v>
      </c>
      <c r="L1521">
        <v>141.31200000000001</v>
      </c>
      <c r="M1521">
        <v>-0.99986520000000001</v>
      </c>
      <c r="N1521">
        <v>0</v>
      </c>
      <c r="O1521">
        <v>8.9513609999999997E-3</v>
      </c>
      <c r="P1521">
        <v>-0.98674989999999996</v>
      </c>
      <c r="Q1521">
        <v>0.16203190000000001</v>
      </c>
      <c r="R1521">
        <v>-8.3864649999999992E-3</v>
      </c>
      <c r="S1521">
        <v>-3.00943</v>
      </c>
      <c r="T1521">
        <v>0.16306329999999999</v>
      </c>
      <c r="U1521">
        <v>-0.47250370000000003</v>
      </c>
      <c r="V1521">
        <v>-1.7076709999999998E-2</v>
      </c>
      <c r="W1521">
        <v>0.17561660000000001</v>
      </c>
      <c r="X1521">
        <v>0.98431049999999998</v>
      </c>
      <c r="Y1521">
        <v>-0.16369790000000001</v>
      </c>
      <c r="Z1521">
        <v>4.8865879999999999E-3</v>
      </c>
      <c r="AA1521">
        <v>0.9864984</v>
      </c>
      <c r="AB1521">
        <v>45</v>
      </c>
      <c r="AC1521">
        <v>-3.00943</v>
      </c>
      <c r="AD1521">
        <v>0.16306329999999999</v>
      </c>
      <c r="AE1521">
        <v>-0.47250370000000003</v>
      </c>
      <c r="AF1521">
        <v>-0.49799890367076199</v>
      </c>
      <c r="AG1521">
        <v>0.16306329999999999</v>
      </c>
      <c r="AH1521">
        <v>2.9964936466399599</v>
      </c>
      <c r="AI1521">
        <v>86.927212795375496</v>
      </c>
      <c r="AJ1521">
        <v>99.435963600312803</v>
      </c>
      <c r="AK1521">
        <v>3.0419675741562102</v>
      </c>
    </row>
    <row r="1522" spans="1:37" x14ac:dyDescent="0.2">
      <c r="A1522" t="str">
        <f>"20200111150618876"</f>
        <v>20200111150618876</v>
      </c>
      <c r="B1522" t="str">
        <f>"1578726378868099"</f>
        <v>1578726378868099</v>
      </c>
      <c r="C1522" t="s">
        <v>37</v>
      </c>
      <c r="D1522">
        <v>6.487717</v>
      </c>
      <c r="E1522">
        <v>0.44434420000000002</v>
      </c>
      <c r="F1522" t="s">
        <v>53</v>
      </c>
      <c r="G1522">
        <v>0</v>
      </c>
      <c r="H1522">
        <v>0</v>
      </c>
      <c r="I1522">
        <v>0</v>
      </c>
      <c r="J1522">
        <v>-370.36540000000002</v>
      </c>
      <c r="K1522">
        <v>1.1029789999999999</v>
      </c>
      <c r="L1522">
        <v>141.3168</v>
      </c>
      <c r="M1522">
        <v>-0.99985979999999997</v>
      </c>
      <c r="N1522">
        <v>0</v>
      </c>
      <c r="O1522">
        <v>9.2359850000000004E-3</v>
      </c>
      <c r="P1522">
        <v>-0.98684939999999999</v>
      </c>
      <c r="Q1522">
        <v>0.16142999999999999</v>
      </c>
      <c r="R1522">
        <v>-8.2973649999999993E-3</v>
      </c>
      <c r="S1522">
        <v>-3.018494</v>
      </c>
      <c r="T1522">
        <v>0.1092738</v>
      </c>
      <c r="U1522">
        <v>-0.45204159999999999</v>
      </c>
      <c r="V1522">
        <v>-1.7269929999999999E-2</v>
      </c>
      <c r="W1522">
        <v>0.17521429999999999</v>
      </c>
      <c r="X1522">
        <v>0.9843788</v>
      </c>
      <c r="Y1522">
        <v>-0.15712789999999999</v>
      </c>
      <c r="Z1522">
        <v>3.1599269999999999E-3</v>
      </c>
      <c r="AA1522">
        <v>0.98757320000000004</v>
      </c>
      <c r="AB1522">
        <v>45</v>
      </c>
      <c r="AC1522">
        <v>-3.018494</v>
      </c>
      <c r="AD1522">
        <v>0.1092738</v>
      </c>
      <c r="AE1522">
        <v>-0.45204159999999999</v>
      </c>
      <c r="AF1522">
        <v>-0.479289448958162</v>
      </c>
      <c r="AG1522">
        <v>0.1092738</v>
      </c>
      <c r="AH1522">
        <v>3.01033113993849</v>
      </c>
      <c r="AI1522">
        <v>87.946935748761206</v>
      </c>
      <c r="AJ1522">
        <v>99.046409185687594</v>
      </c>
      <c r="AK1522">
        <v>3.0502053556002502</v>
      </c>
    </row>
    <row r="1523" spans="1:37" x14ac:dyDescent="0.2">
      <c r="A1523" t="str">
        <f>"20200111150618896"</f>
        <v>20200111150618896</v>
      </c>
      <c r="B1523" t="str">
        <f>"1578726378887619"</f>
        <v>1578726378887619</v>
      </c>
      <c r="C1523" t="s">
        <v>37</v>
      </c>
      <c r="D1523">
        <v>7.7003639999999898</v>
      </c>
      <c r="E1523">
        <v>0.38368390000000002</v>
      </c>
      <c r="F1523" t="s">
        <v>53</v>
      </c>
      <c r="G1523">
        <v>0</v>
      </c>
      <c r="H1523">
        <v>0</v>
      </c>
      <c r="I1523">
        <v>0</v>
      </c>
      <c r="J1523">
        <v>-370.77359999999999</v>
      </c>
      <c r="K1523">
        <v>1.102997</v>
      </c>
      <c r="L1523">
        <v>141.32079999999999</v>
      </c>
      <c r="M1523">
        <v>-0.99985550000000001</v>
      </c>
      <c r="N1523">
        <v>0</v>
      </c>
      <c r="O1523">
        <v>9.4656010000000006E-3</v>
      </c>
      <c r="P1523">
        <v>-0.98691589999999996</v>
      </c>
      <c r="Q1523">
        <v>0.16101979999999999</v>
      </c>
      <c r="R1523">
        <v>-8.3675750000000004E-3</v>
      </c>
      <c r="S1523">
        <v>-3.0115660000000002</v>
      </c>
      <c r="T1523">
        <v>0.14945269999999999</v>
      </c>
      <c r="U1523">
        <v>-0.47105409999999998</v>
      </c>
      <c r="V1523">
        <v>-1.7568340000000002E-2</v>
      </c>
      <c r="W1523">
        <v>0.17495520000000001</v>
      </c>
      <c r="X1523">
        <v>0.98441959999999995</v>
      </c>
      <c r="Y1523">
        <v>-0.16367379999999901</v>
      </c>
      <c r="Z1523">
        <v>4.5010279999999998E-3</v>
      </c>
      <c r="AA1523">
        <v>0.9865043</v>
      </c>
      <c r="AB1523">
        <v>45</v>
      </c>
      <c r="AC1523">
        <v>-3.0115660000000002</v>
      </c>
      <c r="AD1523">
        <v>0.14945269999999999</v>
      </c>
      <c r="AE1523">
        <v>-0.47105409999999998</v>
      </c>
      <c r="AF1523">
        <v>-0.49834412288575503</v>
      </c>
      <c r="AG1523">
        <v>0.14945269999999999</v>
      </c>
      <c r="AH1523">
        <v>2.99976052768648</v>
      </c>
      <c r="AI1523">
        <v>87.186293697863206</v>
      </c>
      <c r="AJ1523">
        <v>99.432288656589407</v>
      </c>
      <c r="AK1523">
        <v>3.0445436764510201</v>
      </c>
    </row>
    <row r="1524" spans="1:37" x14ac:dyDescent="0.2">
      <c r="A1524" t="str">
        <f>"20200111150618919"</f>
        <v>20200111150618919</v>
      </c>
      <c r="B1524" t="str">
        <f>"1578726378908115"</f>
        <v>1578726378908115</v>
      </c>
      <c r="C1524" t="s">
        <v>37</v>
      </c>
      <c r="D1524">
        <v>4.7287109999999997</v>
      </c>
      <c r="E1524">
        <v>0.37838939999999999</v>
      </c>
      <c r="F1524" t="s">
        <v>81</v>
      </c>
      <c r="G1524">
        <v>-440.20710000000003</v>
      </c>
      <c r="H1524">
        <v>11.13039</v>
      </c>
      <c r="I1524">
        <v>118.9765</v>
      </c>
      <c r="J1524">
        <v>-371.21949999999998</v>
      </c>
      <c r="K1524">
        <v>1.10301</v>
      </c>
      <c r="L1524">
        <v>141.3252</v>
      </c>
      <c r="M1524">
        <v>-0.99985089999999999</v>
      </c>
      <c r="N1524">
        <v>0</v>
      </c>
      <c r="O1524">
        <v>9.7157069999999901E-3</v>
      </c>
      <c r="P1524">
        <v>-0.98693909999999996</v>
      </c>
      <c r="Q1524">
        <v>0.160874499999999</v>
      </c>
      <c r="R1524">
        <v>-8.4132789999999992E-3</v>
      </c>
      <c r="S1524">
        <v>-2.961884</v>
      </c>
      <c r="T1524">
        <v>0.42774719999999999</v>
      </c>
      <c r="U1524">
        <v>-0.95315550000000004</v>
      </c>
      <c r="V1524">
        <v>-1.7862179999999998E-2</v>
      </c>
      <c r="W1524">
        <v>0.1749589</v>
      </c>
      <c r="X1524">
        <v>0.98441369999999895</v>
      </c>
      <c r="Y1524">
        <v>-0.31253759999999903</v>
      </c>
      <c r="Z1524">
        <v>2.3269140000000001E-2</v>
      </c>
      <c r="AA1524">
        <v>0.94962029999999997</v>
      </c>
      <c r="AB1524">
        <v>45</v>
      </c>
      <c r="AC1524">
        <v>-68.9876</v>
      </c>
      <c r="AD1524">
        <v>10.027380000000001</v>
      </c>
      <c r="AE1524">
        <v>-22.348699999999901</v>
      </c>
      <c r="AF1524">
        <v>-22.5861256151946</v>
      </c>
      <c r="AG1524">
        <v>10.027380000000001</v>
      </c>
      <c r="AH1524">
        <v>67.477014504859099</v>
      </c>
      <c r="AI1524">
        <v>81.978718426226806</v>
      </c>
      <c r="AJ1524">
        <v>108.50659165043599</v>
      </c>
      <c r="AK1524">
        <v>71.859786434825395</v>
      </c>
    </row>
    <row r="1525" spans="1:37" x14ac:dyDescent="0.2">
      <c r="A1525" t="str">
        <f>"20200111150618941"</f>
        <v>20200111150618941</v>
      </c>
      <c r="B1525" t="str">
        <f>"1578726378938371"</f>
        <v>1578726378938371</v>
      </c>
      <c r="C1525" t="s">
        <v>37</v>
      </c>
      <c r="D1525">
        <v>6.4405010000000003</v>
      </c>
      <c r="E1525">
        <v>0.43675940000000002</v>
      </c>
      <c r="F1525" t="s">
        <v>81</v>
      </c>
      <c r="G1525">
        <v>-440.20710000000003</v>
      </c>
      <c r="H1525">
        <v>11.468349999999999</v>
      </c>
      <c r="I1525">
        <v>118.1157</v>
      </c>
      <c r="J1525">
        <v>-371.6678</v>
      </c>
      <c r="K1525">
        <v>1.1030149999999901</v>
      </c>
      <c r="L1525">
        <v>141.3297</v>
      </c>
      <c r="M1525">
        <v>-0.99984660000000003</v>
      </c>
      <c r="N1525">
        <v>0</v>
      </c>
      <c r="O1525">
        <v>9.9650060000000002E-3</v>
      </c>
      <c r="P1525">
        <v>-0.98699119999999996</v>
      </c>
      <c r="Q1525">
        <v>0.160526</v>
      </c>
      <c r="R1525">
        <v>-8.9555309999999992E-3</v>
      </c>
      <c r="S1525">
        <v>-2.9587400000000001</v>
      </c>
      <c r="T1525">
        <v>0.44454859999999902</v>
      </c>
      <c r="U1525">
        <v>-0.99540709999999999</v>
      </c>
      <c r="V1525">
        <v>-1.8651959999999999E-2</v>
      </c>
      <c r="W1525">
        <v>0.17474529999999999</v>
      </c>
      <c r="X1525">
        <v>0.98443700000000001</v>
      </c>
      <c r="Y1525">
        <v>-0.32491609999999999</v>
      </c>
      <c r="Z1525">
        <v>2.5082960000000001E-2</v>
      </c>
      <c r="AA1525">
        <v>0.94541019999999898</v>
      </c>
      <c r="AB1525">
        <v>45</v>
      </c>
      <c r="AC1525">
        <v>-68.539299999999997</v>
      </c>
      <c r="AD1525">
        <v>10.365335</v>
      </c>
      <c r="AE1525">
        <v>-23.213999999999999</v>
      </c>
      <c r="AF1525">
        <v>-23.4154863766313</v>
      </c>
      <c r="AG1525">
        <v>10.365335</v>
      </c>
      <c r="AH1525">
        <v>66.931284978217903</v>
      </c>
      <c r="AI1525">
        <v>81.683516348980703</v>
      </c>
      <c r="AJ1525">
        <v>109.28206627795301</v>
      </c>
      <c r="AK1525">
        <v>71.662557034701507</v>
      </c>
    </row>
    <row r="1526" spans="1:37" x14ac:dyDescent="0.2">
      <c r="A1526" t="str">
        <f>"20200111150618964"</f>
        <v>20200111150618964</v>
      </c>
      <c r="B1526" t="str">
        <f>"1578726378957890"</f>
        <v>1578726378957890</v>
      </c>
      <c r="C1526" t="s">
        <v>37</v>
      </c>
      <c r="D1526">
        <v>6.3969680000000002</v>
      </c>
      <c r="E1526">
        <v>0.43441190000000002</v>
      </c>
      <c r="F1526" t="s">
        <v>53</v>
      </c>
      <c r="G1526">
        <v>0</v>
      </c>
      <c r="H1526">
        <v>0</v>
      </c>
      <c r="I1526">
        <v>0</v>
      </c>
      <c r="J1526">
        <v>-372.13639999999998</v>
      </c>
      <c r="K1526">
        <v>1.1030120000000001</v>
      </c>
      <c r="L1526">
        <v>141.33459999999999</v>
      </c>
      <c r="M1526">
        <v>-0.99984219999999902</v>
      </c>
      <c r="N1526">
        <v>0</v>
      </c>
      <c r="O1526">
        <v>1.022176E-2</v>
      </c>
      <c r="P1526">
        <v>-0.98718629999999996</v>
      </c>
      <c r="Q1526">
        <v>0.15929939999999901</v>
      </c>
      <c r="R1526">
        <v>-9.3162690000000003E-3</v>
      </c>
      <c r="S1526">
        <v>-2.9967039999999998</v>
      </c>
      <c r="T1526">
        <v>0.23376259999999999</v>
      </c>
      <c r="U1526">
        <v>-0.53286739999999999</v>
      </c>
      <c r="V1526">
        <v>-1.9270240000000001E-2</v>
      </c>
      <c r="W1526">
        <v>0.1736433</v>
      </c>
      <c r="X1526">
        <v>0.984620099999999</v>
      </c>
      <c r="Y1526">
        <v>-0.18455350000000001</v>
      </c>
      <c r="Z1526">
        <v>7.9218299999999995E-3</v>
      </c>
      <c r="AA1526">
        <v>0.98279050000000001</v>
      </c>
      <c r="AB1526">
        <v>45</v>
      </c>
      <c r="AC1526">
        <v>-2.9967039999999998</v>
      </c>
      <c r="AD1526">
        <v>0.23376259999999999</v>
      </c>
      <c r="AE1526">
        <v>-0.53286739999999999</v>
      </c>
      <c r="AF1526">
        <v>-0.56017020347259505</v>
      </c>
      <c r="AG1526">
        <v>0.23376259999999999</v>
      </c>
      <c r="AH1526">
        <v>2.9735603894959302</v>
      </c>
      <c r="AI1526">
        <v>85.582398837761403</v>
      </c>
      <c r="AJ1526">
        <v>100.66855817822599</v>
      </c>
      <c r="AK1526">
        <v>3.0348800635274702</v>
      </c>
    </row>
    <row r="1527" spans="1:37" x14ac:dyDescent="0.2">
      <c r="A1527" t="str">
        <f>"20200111150618988"</f>
        <v>20200111150618988</v>
      </c>
      <c r="B1527" t="str">
        <f>"1578726378978387"</f>
        <v>1578726378978387</v>
      </c>
      <c r="C1527" t="s">
        <v>37</v>
      </c>
      <c r="D1527">
        <v>7.7229489999999998</v>
      </c>
      <c r="E1527">
        <v>0.36610340000000002</v>
      </c>
      <c r="F1527" t="s">
        <v>53</v>
      </c>
      <c r="G1527">
        <v>0</v>
      </c>
      <c r="H1527">
        <v>0</v>
      </c>
      <c r="I1527">
        <v>0</v>
      </c>
      <c r="J1527">
        <v>-372.6069</v>
      </c>
      <c r="K1527">
        <v>1.1030219999999999</v>
      </c>
      <c r="L1527">
        <v>141.33959999999999</v>
      </c>
      <c r="M1527">
        <v>-0.99983809999999995</v>
      </c>
      <c r="N1527">
        <v>0</v>
      </c>
      <c r="O1527">
        <v>1.0472479999999999E-2</v>
      </c>
      <c r="P1527">
        <v>-0.98731939999999996</v>
      </c>
      <c r="Q1527">
        <v>0.1585271</v>
      </c>
      <c r="R1527">
        <v>-8.3419529999999992E-3</v>
      </c>
      <c r="S1527">
        <v>-2.9960629999999999</v>
      </c>
      <c r="T1527">
        <v>0.23323440000000001</v>
      </c>
      <c r="U1527">
        <v>-0.552597</v>
      </c>
      <c r="V1527">
        <v>-1.854801E-2</v>
      </c>
      <c r="W1527">
        <v>0.1729726</v>
      </c>
      <c r="X1527">
        <v>0.98475190000000001</v>
      </c>
      <c r="Y1527">
        <v>-0.19108149999999999</v>
      </c>
      <c r="Z1527">
        <v>8.1720030000000006E-3</v>
      </c>
      <c r="AA1527">
        <v>0.98154010000000003</v>
      </c>
      <c r="AB1527">
        <v>45</v>
      </c>
      <c r="AC1527">
        <v>-2.9960629999999999</v>
      </c>
      <c r="AD1527">
        <v>0.23323440000000001</v>
      </c>
      <c r="AE1527">
        <v>-0.552597</v>
      </c>
      <c r="AF1527">
        <v>-0.58054382297112705</v>
      </c>
      <c r="AG1527">
        <v>0.23323440000000001</v>
      </c>
      <c r="AH1527">
        <v>2.97268872771832</v>
      </c>
      <c r="AI1527">
        <v>85.596664222767899</v>
      </c>
      <c r="AJ1527">
        <v>101.05035339235801</v>
      </c>
      <c r="AK1527">
        <v>3.0378129777253999</v>
      </c>
    </row>
    <row r="1528" spans="1:37" x14ac:dyDescent="0.2">
      <c r="A1528" t="str">
        <f>"20200111150619009"</f>
        <v>20200111150619009</v>
      </c>
      <c r="B1528" t="str">
        <f>"1578726378997906"</f>
        <v>1578726378997906</v>
      </c>
      <c r="C1528" t="s">
        <v>37</v>
      </c>
      <c r="D1528">
        <v>4.6931599999999998</v>
      </c>
      <c r="E1528">
        <v>0.3639655</v>
      </c>
      <c r="F1528" t="s">
        <v>81</v>
      </c>
      <c r="G1528">
        <v>-440.75</v>
      </c>
      <c r="H1528">
        <v>11.14251</v>
      </c>
      <c r="I1528">
        <v>116.1652</v>
      </c>
      <c r="J1528">
        <v>-373.03250000000003</v>
      </c>
      <c r="K1528">
        <v>1.10303</v>
      </c>
      <c r="L1528">
        <v>141.3443</v>
      </c>
      <c r="M1528">
        <v>-0.99983469999999997</v>
      </c>
      <c r="N1528">
        <v>0</v>
      </c>
      <c r="O1528">
        <v>1.0688960000000001E-2</v>
      </c>
      <c r="P1528">
        <v>-0.98742559999999902</v>
      </c>
      <c r="Q1528">
        <v>0.1579044</v>
      </c>
      <c r="R1528">
        <v>-7.5490669999999996E-3</v>
      </c>
      <c r="S1528">
        <v>-2.9592900000000002</v>
      </c>
      <c r="T1528">
        <v>0.4359903</v>
      </c>
      <c r="U1528">
        <v>-1.093262</v>
      </c>
      <c r="V1528">
        <v>-1.7973610000000001E-2</v>
      </c>
      <c r="W1528">
        <v>0.17242360000000001</v>
      </c>
      <c r="X1528">
        <v>0.98485889999999998</v>
      </c>
      <c r="Y1528">
        <v>-0.35308869999999998</v>
      </c>
      <c r="Z1528">
        <v>2.6573530000000001E-2</v>
      </c>
      <c r="AA1528">
        <v>0.93521239999999894</v>
      </c>
      <c r="AB1528">
        <v>45</v>
      </c>
      <c r="AC1528">
        <v>-67.717499999999902</v>
      </c>
      <c r="AD1528">
        <v>10.039479999999999</v>
      </c>
      <c r="AE1528">
        <v>-25.179099999999998</v>
      </c>
      <c r="AF1528">
        <v>-25.4108860673322</v>
      </c>
      <c r="AG1528">
        <v>10.039479999999999</v>
      </c>
      <c r="AH1528">
        <v>66.166785251161798</v>
      </c>
      <c r="AI1528">
        <v>81.938050049646606</v>
      </c>
      <c r="AJ1528">
        <v>111.008933011445</v>
      </c>
      <c r="AK1528">
        <v>71.585946664626206</v>
      </c>
    </row>
    <row r="1529" spans="1:37" x14ac:dyDescent="0.2">
      <c r="A1529" t="str">
        <f>"20200111150619030"</f>
        <v>20200111150619030</v>
      </c>
      <c r="B1529" t="str">
        <f>"1578726379017427"</f>
        <v>1578726379017427</v>
      </c>
      <c r="C1529" t="s">
        <v>37</v>
      </c>
      <c r="D1529">
        <v>7.713921</v>
      </c>
      <c r="E1529">
        <v>0.37088100000000002</v>
      </c>
      <c r="F1529" t="s">
        <v>81</v>
      </c>
      <c r="G1529">
        <v>-440.75</v>
      </c>
      <c r="H1529">
        <v>11.32718</v>
      </c>
      <c r="I1529">
        <v>115.9832</v>
      </c>
      <c r="J1529">
        <v>-373.45909999999998</v>
      </c>
      <c r="K1529">
        <v>1.1030420000000001</v>
      </c>
      <c r="L1529">
        <v>141.34899999999999</v>
      </c>
      <c r="M1529">
        <v>-0.99983169999999899</v>
      </c>
      <c r="N1529">
        <v>0</v>
      </c>
      <c r="O1529">
        <v>1.0890739999999999E-2</v>
      </c>
      <c r="P1529">
        <v>-0.98740609999999995</v>
      </c>
      <c r="Q1529">
        <v>0.15802179999999999</v>
      </c>
      <c r="R1529">
        <v>-7.6641729999999998E-3</v>
      </c>
      <c r="S1529">
        <v>-2.958313</v>
      </c>
      <c r="T1529">
        <v>0.44665349999999998</v>
      </c>
      <c r="U1529">
        <v>-1.107925</v>
      </c>
      <c r="V1529">
        <v>-1.8291910000000002E-2</v>
      </c>
      <c r="W1529">
        <v>0.172599799999999</v>
      </c>
      <c r="X1529">
        <v>0.98482219999999998</v>
      </c>
      <c r="Y1529">
        <v>-0.35723719999999998</v>
      </c>
      <c r="Z1529">
        <v>2.753355E-2</v>
      </c>
      <c r="AA1529">
        <v>0.93360779999999999</v>
      </c>
      <c r="AB1529">
        <v>45</v>
      </c>
      <c r="AC1529">
        <v>-67.290899999999993</v>
      </c>
      <c r="AD1529">
        <v>10.224138</v>
      </c>
      <c r="AE1529">
        <v>-25.3658</v>
      </c>
      <c r="AF1529">
        <v>-25.580162719012801</v>
      </c>
      <c r="AG1529">
        <v>10.224138</v>
      </c>
      <c r="AH1529">
        <v>65.682954908091205</v>
      </c>
      <c r="AI1529">
        <v>81.746953968165698</v>
      </c>
      <c r="AJ1529">
        <v>111.27837761654899</v>
      </c>
      <c r="AK1529">
        <v>71.225896189746607</v>
      </c>
    </row>
    <row r="1530" spans="1:37" x14ac:dyDescent="0.2">
      <c r="A1530" t="str">
        <f>"20200111150619053"</f>
        <v>20200111150619053</v>
      </c>
      <c r="B1530" t="str">
        <f>"1578726379047683"</f>
        <v>1578726379047683</v>
      </c>
      <c r="C1530" t="s">
        <v>37</v>
      </c>
      <c r="D1530">
        <v>5.2619489999999898</v>
      </c>
      <c r="E1530">
        <v>0.44588249999999902</v>
      </c>
      <c r="F1530" t="s">
        <v>81</v>
      </c>
      <c r="G1530">
        <v>-440.20710000000003</v>
      </c>
      <c r="H1530">
        <v>11.43412</v>
      </c>
      <c r="I1530">
        <v>117.5809</v>
      </c>
      <c r="J1530">
        <v>-373.92239999999998</v>
      </c>
      <c r="K1530">
        <v>1.103059</v>
      </c>
      <c r="L1530">
        <v>141.35419999999999</v>
      </c>
      <c r="M1530">
        <v>-0.99982879999999996</v>
      </c>
      <c r="N1530">
        <v>0</v>
      </c>
      <c r="O1530">
        <v>1.1087700000000001E-2</v>
      </c>
      <c r="P1530">
        <v>-0.98746809999999996</v>
      </c>
      <c r="Q1530">
        <v>0.15759879999999901</v>
      </c>
      <c r="R1530">
        <v>-8.344064E-3</v>
      </c>
      <c r="S1530">
        <v>-2.9567869999999998</v>
      </c>
      <c r="T1530">
        <v>0.45764369999999999</v>
      </c>
      <c r="U1530">
        <v>-1.052872</v>
      </c>
      <c r="V1530">
        <v>-1.9175069999999999E-2</v>
      </c>
      <c r="W1530">
        <v>0.17222770000000001</v>
      </c>
      <c r="X1530">
        <v>0.98487049999999998</v>
      </c>
      <c r="Y1530">
        <v>-0.34214060000000002</v>
      </c>
      <c r="Z1530">
        <v>2.720556E-2</v>
      </c>
      <c r="AA1530">
        <v>0.9392549</v>
      </c>
      <c r="AB1530">
        <v>45</v>
      </c>
      <c r="AC1530">
        <v>-66.284700000000001</v>
      </c>
      <c r="AD1530">
        <v>10.331061</v>
      </c>
      <c r="AE1530">
        <v>-23.7732999999999</v>
      </c>
      <c r="AF1530">
        <v>-23.990506984652299</v>
      </c>
      <c r="AG1530">
        <v>10.331061</v>
      </c>
      <c r="AH1530">
        <v>64.6260335765203</v>
      </c>
      <c r="AI1530">
        <v>81.476734382815593</v>
      </c>
      <c r="AJ1530">
        <v>110.365957012433</v>
      </c>
      <c r="AK1530">
        <v>69.705089215923905</v>
      </c>
    </row>
    <row r="1531" spans="1:37" x14ac:dyDescent="0.2">
      <c r="A1531" t="str">
        <f>"20200111150619075"</f>
        <v>20200111150619075</v>
      </c>
      <c r="B1531" t="str">
        <f>"1578726379068182"</f>
        <v>1578726379068182</v>
      </c>
      <c r="C1531" t="s">
        <v>37</v>
      </c>
      <c r="D1531">
        <v>9.7119350000000004</v>
      </c>
      <c r="E1531">
        <v>0.44577669999999903</v>
      </c>
      <c r="F1531" t="s">
        <v>53</v>
      </c>
      <c r="G1531">
        <v>0</v>
      </c>
      <c r="H1531">
        <v>0</v>
      </c>
      <c r="I1531">
        <v>0</v>
      </c>
      <c r="J1531">
        <v>-374.38920000000002</v>
      </c>
      <c r="K1531">
        <v>1.1030799999999901</v>
      </c>
      <c r="L1531">
        <v>141.3596</v>
      </c>
      <c r="M1531">
        <v>-0.99982649999999995</v>
      </c>
      <c r="N1531">
        <v>0</v>
      </c>
      <c r="O1531">
        <v>1.125112E-2</v>
      </c>
      <c r="P1531">
        <v>-0.98744789999999905</v>
      </c>
      <c r="Q1531">
        <v>0.1576669</v>
      </c>
      <c r="R1531">
        <v>-9.4095240000000007E-3</v>
      </c>
      <c r="S1531">
        <v>-2.9989319999999999</v>
      </c>
      <c r="T1531">
        <v>0.22116759999999999</v>
      </c>
      <c r="U1531">
        <v>-0.45912170000000002</v>
      </c>
      <c r="V1531">
        <v>-2.0412610000000001E-2</v>
      </c>
      <c r="W1531">
        <v>0.17233199999999901</v>
      </c>
      <c r="X1531">
        <v>0.98482739999999902</v>
      </c>
      <c r="Y1531">
        <v>-0.1619852</v>
      </c>
      <c r="Z1531">
        <v>6.7546990000000003E-3</v>
      </c>
      <c r="AA1531">
        <v>0.98677009999999898</v>
      </c>
      <c r="AB1531">
        <v>45</v>
      </c>
      <c r="AC1531">
        <v>-2.9989319999999999</v>
      </c>
      <c r="AD1531">
        <v>0.22116759999999999</v>
      </c>
      <c r="AE1531">
        <v>-0.45912170000000002</v>
      </c>
      <c r="AF1531">
        <v>-0.49023244049749298</v>
      </c>
      <c r="AG1531">
        <v>0.22116759999999999</v>
      </c>
      <c r="AH1531">
        <v>2.9777511949190401</v>
      </c>
      <c r="AI1531">
        <v>85.808467113616004</v>
      </c>
      <c r="AJ1531">
        <v>99.348844852894004</v>
      </c>
      <c r="AK1531">
        <v>3.0259288048213602</v>
      </c>
    </row>
    <row r="1532" spans="1:37" x14ac:dyDescent="0.2">
      <c r="A1532" t="str">
        <f>"20200111150619098"</f>
        <v>20200111150619098</v>
      </c>
      <c r="B1532" t="str">
        <f>"1578726379087698"</f>
        <v>1578726379087698</v>
      </c>
      <c r="C1532" t="s">
        <v>37</v>
      </c>
      <c r="D1532">
        <v>7.299277</v>
      </c>
      <c r="E1532">
        <v>0.37453909999999901</v>
      </c>
      <c r="F1532" t="s">
        <v>53</v>
      </c>
      <c r="G1532">
        <v>0</v>
      </c>
      <c r="H1532">
        <v>0</v>
      </c>
      <c r="I1532">
        <v>0</v>
      </c>
      <c r="J1532">
        <v>-374.82080000000002</v>
      </c>
      <c r="K1532">
        <v>1.1031089999999999</v>
      </c>
      <c r="L1532">
        <v>141.36449999999999</v>
      </c>
      <c r="M1532">
        <v>-0.99982459999999995</v>
      </c>
      <c r="N1532">
        <v>0</v>
      </c>
      <c r="O1532">
        <v>1.1374469999999999E-2</v>
      </c>
      <c r="P1532">
        <v>-0.98749929999999997</v>
      </c>
      <c r="Q1532">
        <v>0.1571729</v>
      </c>
      <c r="R1532">
        <v>-1.1918969999999999E-2</v>
      </c>
      <c r="S1532">
        <v>-2.9932859999999999</v>
      </c>
      <c r="T1532">
        <v>0.25334610000000002</v>
      </c>
      <c r="U1532">
        <v>-0.463028</v>
      </c>
      <c r="V1532">
        <v>-2.3056420000000001E-2</v>
      </c>
      <c r="W1532">
        <v>0.17186509999999999</v>
      </c>
      <c r="X1532">
        <v>0.98485059999999902</v>
      </c>
      <c r="Y1532">
        <v>-0.1634919</v>
      </c>
      <c r="Z1532">
        <v>7.8215059999999902E-3</v>
      </c>
      <c r="AA1532">
        <v>0.98651369999999905</v>
      </c>
      <c r="AB1532">
        <v>45</v>
      </c>
      <c r="AC1532">
        <v>-2.9932859999999999</v>
      </c>
      <c r="AD1532">
        <v>0.25334610000000002</v>
      </c>
      <c r="AE1532">
        <v>-0.463028</v>
      </c>
      <c r="AF1532">
        <v>-0.493595556629912</v>
      </c>
      <c r="AG1532">
        <v>0.25334610000000002</v>
      </c>
      <c r="AH1532">
        <v>2.9670668379082499</v>
      </c>
      <c r="AI1532">
        <v>85.1854273311897</v>
      </c>
      <c r="AJ1532">
        <v>99.445118758809997</v>
      </c>
      <c r="AK1532">
        <v>3.0184940683269299</v>
      </c>
    </row>
    <row r="1533" spans="1:37" x14ac:dyDescent="0.2">
      <c r="A1533" t="str">
        <f>"20200111150619120"</f>
        <v>20200111150619120</v>
      </c>
      <c r="B1533" t="str">
        <f>"1578726379108195"</f>
        <v>1578726379108195</v>
      </c>
      <c r="C1533" t="s">
        <v>37</v>
      </c>
      <c r="D1533">
        <v>9.4508619999999901</v>
      </c>
      <c r="E1533">
        <v>0.37088149999999998</v>
      </c>
      <c r="F1533" t="s">
        <v>81</v>
      </c>
      <c r="G1533">
        <v>-440.20710000000003</v>
      </c>
      <c r="H1533">
        <v>12.184060000000001</v>
      </c>
      <c r="I1533">
        <v>118.3719</v>
      </c>
      <c r="J1533">
        <v>-375.26580000000001</v>
      </c>
      <c r="K1533">
        <v>1.1031389999999901</v>
      </c>
      <c r="L1533">
        <v>141.36959999999999</v>
      </c>
      <c r="M1533">
        <v>-0.99982320000000002</v>
      </c>
      <c r="N1533">
        <v>0</v>
      </c>
      <c r="O1533">
        <v>1.1469129999999999E-2</v>
      </c>
      <c r="P1533">
        <v>-0.987671999999999</v>
      </c>
      <c r="Q1533">
        <v>0.1558715</v>
      </c>
      <c r="R1533">
        <v>-1.443495E-2</v>
      </c>
      <c r="S1533">
        <v>-2.9460449999999998</v>
      </c>
      <c r="T1533">
        <v>0.49926320000000002</v>
      </c>
      <c r="U1533">
        <v>-1.0359499999999999</v>
      </c>
      <c r="V1533">
        <v>-2.5681160000000001E-2</v>
      </c>
      <c r="W1533">
        <v>0.17058679999999901</v>
      </c>
      <c r="X1533">
        <v>0.98500789999999905</v>
      </c>
      <c r="Y1533">
        <v>-0.33808470000000002</v>
      </c>
      <c r="Z1533">
        <v>2.9508019999999999E-2</v>
      </c>
      <c r="AA1533">
        <v>0.94065299999999996</v>
      </c>
      <c r="AB1533">
        <v>45</v>
      </c>
      <c r="AC1533">
        <v>-64.941299999999998</v>
      </c>
      <c r="AD1533">
        <v>11.080921</v>
      </c>
      <c r="AE1533">
        <v>-22.997699999999899</v>
      </c>
      <c r="AF1533">
        <v>-23.142391927760201</v>
      </c>
      <c r="AG1533">
        <v>11.080921</v>
      </c>
      <c r="AH1533">
        <v>63.0423181752139</v>
      </c>
      <c r="AI1533">
        <v>80.630439929330905</v>
      </c>
      <c r="AJ1533">
        <v>110.15783125055</v>
      </c>
      <c r="AK1533">
        <v>68.063874377317205</v>
      </c>
    </row>
    <row r="1534" spans="1:37" x14ac:dyDescent="0.2">
      <c r="A1534" t="str">
        <f>"20200111150619143"</f>
        <v>20200111150619143</v>
      </c>
      <c r="B1534" t="str">
        <f>"1578726379138451"</f>
        <v>1578726379138451</v>
      </c>
      <c r="C1534" t="s">
        <v>37</v>
      </c>
      <c r="D1534">
        <v>10.029669999999999</v>
      </c>
      <c r="E1534">
        <v>0.45586779999999999</v>
      </c>
      <c r="F1534" t="s">
        <v>81</v>
      </c>
      <c r="G1534">
        <v>-440.20710000000003</v>
      </c>
      <c r="H1534">
        <v>12.760579999999999</v>
      </c>
      <c r="I1534">
        <v>117.6686</v>
      </c>
      <c r="J1534">
        <v>-375.72550000000001</v>
      </c>
      <c r="K1534">
        <v>1.10317</v>
      </c>
      <c r="L1534">
        <v>141.3749</v>
      </c>
      <c r="M1534">
        <v>-0.99982229999999905</v>
      </c>
      <c r="N1534">
        <v>0</v>
      </c>
      <c r="O1534">
        <v>1.152655E-2</v>
      </c>
      <c r="P1534">
        <v>-0.98788799999999899</v>
      </c>
      <c r="Q1534">
        <v>0.15440429999999999</v>
      </c>
      <c r="R1534">
        <v>-1.5392019999999999E-2</v>
      </c>
      <c r="S1534">
        <v>-2.9385379999999999</v>
      </c>
      <c r="T1534">
        <v>0.52748869999999903</v>
      </c>
      <c r="U1534">
        <v>-1.072449</v>
      </c>
      <c r="V1534">
        <v>-2.6712779999999998E-2</v>
      </c>
      <c r="W1534">
        <v>0.16913719999999999</v>
      </c>
      <c r="X1534">
        <v>0.98523039999999995</v>
      </c>
      <c r="Y1534">
        <v>-0.34855829999999999</v>
      </c>
      <c r="Z1534">
        <v>3.2078839999999997E-2</v>
      </c>
      <c r="AA1534">
        <v>0.93673799999999996</v>
      </c>
      <c r="AB1534">
        <v>45</v>
      </c>
      <c r="AC1534">
        <v>-64.4816</v>
      </c>
      <c r="AD1534">
        <v>11.65741</v>
      </c>
      <c r="AE1534">
        <v>-23.706299999999999</v>
      </c>
      <c r="AF1534">
        <v>-23.763844989965801</v>
      </c>
      <c r="AG1534">
        <v>11.65741</v>
      </c>
      <c r="AH1534">
        <v>62.407194009321998</v>
      </c>
      <c r="AI1534">
        <v>80.097766228469098</v>
      </c>
      <c r="AJ1534">
        <v>110.846180263702</v>
      </c>
      <c r="AK1534">
        <v>67.788445923567096</v>
      </c>
    </row>
    <row r="1535" spans="1:37" x14ac:dyDescent="0.2">
      <c r="A1535" t="str">
        <f>"20200111150619165"</f>
        <v>20200111150619165</v>
      </c>
      <c r="B1535" t="str">
        <f>"1578726379157970"</f>
        <v>1578726379157970</v>
      </c>
      <c r="C1535" t="s">
        <v>37</v>
      </c>
      <c r="D1535">
        <v>8.9878579999999992</v>
      </c>
      <c r="E1535">
        <v>0.3703149</v>
      </c>
      <c r="F1535" t="s">
        <v>53</v>
      </c>
      <c r="G1535">
        <v>0</v>
      </c>
      <c r="H1535">
        <v>0</v>
      </c>
      <c r="I1535">
        <v>0</v>
      </c>
      <c r="J1535">
        <v>-376.1705</v>
      </c>
      <c r="K1535">
        <v>1.1032219999999999</v>
      </c>
      <c r="L1535">
        <v>141.3801</v>
      </c>
      <c r="M1535">
        <v>-0.9998224</v>
      </c>
      <c r="N1535">
        <v>0</v>
      </c>
      <c r="O1535">
        <v>1.151285E-2</v>
      </c>
      <c r="P1535">
        <v>-0.98798509999999995</v>
      </c>
      <c r="Q1535">
        <v>0.15377689999999999</v>
      </c>
      <c r="R1535">
        <v>-1.5446710000000001E-2</v>
      </c>
      <c r="S1535">
        <v>-2.9939580000000001</v>
      </c>
      <c r="T1535">
        <v>0.23379929999999999</v>
      </c>
      <c r="U1535">
        <v>-0.40077209999999902</v>
      </c>
      <c r="V1535">
        <v>-2.6775799999999999E-2</v>
      </c>
      <c r="W1535">
        <v>0.16851579999999999</v>
      </c>
      <c r="X1535">
        <v>0.98533519999999897</v>
      </c>
      <c r="Y1535">
        <v>-0.143616299999999</v>
      </c>
      <c r="Z1535">
        <v>6.4682230000000004E-3</v>
      </c>
      <c r="AA1535">
        <v>0.9896123</v>
      </c>
      <c r="AB1535">
        <v>45</v>
      </c>
      <c r="AC1535">
        <v>-2.9939580000000001</v>
      </c>
      <c r="AD1535">
        <v>0.23379929999999999</v>
      </c>
      <c r="AE1535">
        <v>-0.40077209999999902</v>
      </c>
      <c r="AF1535">
        <v>-0.43262659731091102</v>
      </c>
      <c r="AG1535">
        <v>0.23379929999999999</v>
      </c>
      <c r="AH1535">
        <v>2.9713443755236302</v>
      </c>
      <c r="AI1535">
        <v>85.547722443381204</v>
      </c>
      <c r="AJ1535">
        <v>98.284032324313003</v>
      </c>
      <c r="AK1535">
        <v>3.0117628199008699</v>
      </c>
    </row>
    <row r="1536" spans="1:37" x14ac:dyDescent="0.2">
      <c r="A1536" t="str">
        <f>"20200111150619188"</f>
        <v>20200111150619188</v>
      </c>
      <c r="B1536" t="str">
        <f>"1578726379178467"</f>
        <v>1578726379178467</v>
      </c>
      <c r="C1536" t="s">
        <v>37</v>
      </c>
      <c r="D1536">
        <v>5.097626</v>
      </c>
      <c r="E1536">
        <v>0.36830930000000001</v>
      </c>
      <c r="F1536" t="s">
        <v>81</v>
      </c>
      <c r="G1536">
        <v>-440.20710000000003</v>
      </c>
      <c r="H1536">
        <v>12.41972</v>
      </c>
      <c r="I1536">
        <v>117.8539</v>
      </c>
      <c r="J1536">
        <v>-376.61739999999998</v>
      </c>
      <c r="K1536">
        <v>1.103307</v>
      </c>
      <c r="L1536">
        <v>141.38509999999999</v>
      </c>
      <c r="M1536">
        <v>-0.99982359999999904</v>
      </c>
      <c r="N1536">
        <v>0</v>
      </c>
      <c r="O1536">
        <v>1.1386840000000001E-2</v>
      </c>
      <c r="P1536">
        <v>-0.98792449999999998</v>
      </c>
      <c r="Q1536">
        <v>0.15421489999999999</v>
      </c>
      <c r="R1536">
        <v>-1.493393E-2</v>
      </c>
      <c r="S1536">
        <v>-2.9387819999999998</v>
      </c>
      <c r="T1536">
        <v>0.51933909999999905</v>
      </c>
      <c r="U1536">
        <v>-1.079666</v>
      </c>
      <c r="V1536">
        <v>-2.617007E-2</v>
      </c>
      <c r="W1536">
        <v>0.16895060000000001</v>
      </c>
      <c r="X1536">
        <v>0.98527710000000002</v>
      </c>
      <c r="Y1536">
        <v>-0.35056549999999997</v>
      </c>
      <c r="Z1536">
        <v>3.1721880000000001E-2</v>
      </c>
      <c r="AA1536">
        <v>0.93600079999999997</v>
      </c>
      <c r="AB1536">
        <v>45</v>
      </c>
      <c r="AC1536">
        <v>-63.589700000000001</v>
      </c>
      <c r="AD1536">
        <v>11.316413000000001</v>
      </c>
      <c r="AE1536">
        <v>-23.531199999999998</v>
      </c>
      <c r="AF1536">
        <v>-23.5965508001057</v>
      </c>
      <c r="AG1536">
        <v>11.316413000000001</v>
      </c>
      <c r="AH1536">
        <v>61.6016655355456</v>
      </c>
      <c r="AI1536">
        <v>80.265762711056198</v>
      </c>
      <c r="AJ1536">
        <v>110.959364739911</v>
      </c>
      <c r="AK1536">
        <v>66.929990360090201</v>
      </c>
    </row>
    <row r="1537" spans="1:37" x14ac:dyDescent="0.2">
      <c r="A1537" t="str">
        <f>"20200111150619209"</f>
        <v>20200111150619209</v>
      </c>
      <c r="B1537" t="str">
        <f>"1578726379197986"</f>
        <v>1578726379197986</v>
      </c>
      <c r="C1537" t="s">
        <v>37</v>
      </c>
      <c r="D1537">
        <v>8.127345</v>
      </c>
      <c r="E1537">
        <v>0.43096610000000002</v>
      </c>
      <c r="F1537" t="s">
        <v>81</v>
      </c>
      <c r="G1537">
        <v>-440.20710000000003</v>
      </c>
      <c r="H1537">
        <v>12.64357</v>
      </c>
      <c r="I1537">
        <v>117.6957</v>
      </c>
      <c r="J1537">
        <v>-377.04390000000001</v>
      </c>
      <c r="K1537">
        <v>1.1034349999999999</v>
      </c>
      <c r="L1537">
        <v>141.38980000000001</v>
      </c>
      <c r="M1537">
        <v>-0.99982669999999996</v>
      </c>
      <c r="N1537">
        <v>0</v>
      </c>
      <c r="O1537">
        <v>1.1116590000000001E-2</v>
      </c>
      <c r="P1537">
        <v>-0.98787429999999998</v>
      </c>
      <c r="Q1537">
        <v>0.15459389999999901</v>
      </c>
      <c r="R1537">
        <v>-1.4327950000000001E-2</v>
      </c>
      <c r="S1537">
        <v>-2.9369509999999899</v>
      </c>
      <c r="T1537">
        <v>0.53299779999999997</v>
      </c>
      <c r="U1537">
        <v>-1.0941160000000001</v>
      </c>
      <c r="V1537">
        <v>-2.5343899999999999E-2</v>
      </c>
      <c r="W1537">
        <v>0.16932179999999999</v>
      </c>
      <c r="X1537">
        <v>0.98523490000000002</v>
      </c>
      <c r="Y1537">
        <v>-0.35424299999999997</v>
      </c>
      <c r="Z1537">
        <v>3.2809919999999999E-2</v>
      </c>
      <c r="AA1537">
        <v>0.93457769999999996</v>
      </c>
      <c r="AB1537">
        <v>45</v>
      </c>
      <c r="AC1537">
        <v>-63.163200000000003</v>
      </c>
      <c r="AD1537">
        <v>11.540134999999999</v>
      </c>
      <c r="AE1537">
        <v>-23.694099999999999</v>
      </c>
      <c r="AF1537">
        <v>-23.701308170706699</v>
      </c>
      <c r="AG1537">
        <v>11.540134999999999</v>
      </c>
      <c r="AH1537">
        <v>61.1076910266368</v>
      </c>
      <c r="AI1537">
        <v>80.014317802822106</v>
      </c>
      <c r="AJ1537">
        <v>111.199345449514</v>
      </c>
      <c r="AK1537">
        <v>66.551308232279993</v>
      </c>
    </row>
    <row r="1538" spans="1:37" x14ac:dyDescent="0.2">
      <c r="A1538" t="str">
        <f>"20200111150619231"</f>
        <v>20200111150619231</v>
      </c>
      <c r="B1538" t="str">
        <f>"1578726379228243"</f>
        <v>1578726379228243</v>
      </c>
      <c r="C1538" t="s">
        <v>37</v>
      </c>
      <c r="D1538">
        <v>4.6912469999999997</v>
      </c>
      <c r="E1538">
        <v>0.44917360000000001</v>
      </c>
      <c r="F1538" t="s">
        <v>53</v>
      </c>
      <c r="G1538">
        <v>0</v>
      </c>
      <c r="H1538">
        <v>0</v>
      </c>
      <c r="I1538">
        <v>0</v>
      </c>
      <c r="J1538">
        <v>-377.48360000000002</v>
      </c>
      <c r="K1538">
        <v>1.103613</v>
      </c>
      <c r="L1538">
        <v>141.39429999999999</v>
      </c>
      <c r="M1538">
        <v>-0.99983199999999905</v>
      </c>
      <c r="N1538">
        <v>0</v>
      </c>
      <c r="O1538">
        <v>1.064089E-2</v>
      </c>
      <c r="P1538">
        <v>-0.98773889999999998</v>
      </c>
      <c r="Q1538">
        <v>0.15558629999999901</v>
      </c>
      <c r="R1538">
        <v>-1.284893E-2</v>
      </c>
      <c r="S1538">
        <v>-2.984985</v>
      </c>
      <c r="T1538">
        <v>0.27607989999999999</v>
      </c>
      <c r="U1538">
        <v>-0.59538269999999904</v>
      </c>
      <c r="V1538">
        <v>-2.346299E-2</v>
      </c>
      <c r="W1538">
        <v>0.17030209999999901</v>
      </c>
      <c r="X1538">
        <v>0.98511249999999995</v>
      </c>
      <c r="Y1538">
        <v>-0.2051453</v>
      </c>
      <c r="Z1538">
        <v>1.034785E-2</v>
      </c>
      <c r="AA1538">
        <v>0.97867689999999996</v>
      </c>
      <c r="AB1538">
        <v>45</v>
      </c>
      <c r="AC1538">
        <v>-2.984985</v>
      </c>
      <c r="AD1538">
        <v>0.27607989999999999</v>
      </c>
      <c r="AE1538">
        <v>-0.59538269999999904</v>
      </c>
      <c r="AF1538">
        <v>-0.62199823229555196</v>
      </c>
      <c r="AG1538">
        <v>0.27607989999999999</v>
      </c>
      <c r="AH1538">
        <v>2.9541758161007898</v>
      </c>
      <c r="AI1538">
        <v>84.774886312065902</v>
      </c>
      <c r="AJ1538">
        <v>101.889892710577</v>
      </c>
      <c r="AK1538">
        <v>3.0315436108684901</v>
      </c>
    </row>
    <row r="1539" spans="1:37" x14ac:dyDescent="0.2">
      <c r="A1539" t="str">
        <f>"20200111150619255"</f>
        <v>20200111150619255</v>
      </c>
      <c r="B1539" t="str">
        <f>"1578726379247762"</f>
        <v>1578726379247762</v>
      </c>
      <c r="C1539" t="s">
        <v>37</v>
      </c>
      <c r="D1539">
        <v>4.6883520000000001</v>
      </c>
      <c r="E1539">
        <v>0.44792969999999999</v>
      </c>
      <c r="F1539" t="s">
        <v>53</v>
      </c>
      <c r="G1539">
        <v>0</v>
      </c>
      <c r="H1539">
        <v>0</v>
      </c>
      <c r="I1539">
        <v>0</v>
      </c>
      <c r="J1539">
        <v>-377.95119999999997</v>
      </c>
      <c r="K1539">
        <v>1.1038459999999899</v>
      </c>
      <c r="L1539">
        <v>141.39859999999999</v>
      </c>
      <c r="M1539">
        <v>-0.99984010000000001</v>
      </c>
      <c r="N1539">
        <v>0</v>
      </c>
      <c r="O1539">
        <v>9.8604179999999993E-3</v>
      </c>
      <c r="P1539">
        <v>-0.98753760000000002</v>
      </c>
      <c r="Q1539">
        <v>0.15688299999999999</v>
      </c>
      <c r="R1539">
        <v>-1.2543479999999999E-2</v>
      </c>
      <c r="S1539">
        <v>-3.0058590000000001</v>
      </c>
      <c r="T1539">
        <v>0.16223309999999999</v>
      </c>
      <c r="U1539">
        <v>-0.44685360000000002</v>
      </c>
      <c r="V1539">
        <v>-2.2479909999999999E-2</v>
      </c>
      <c r="W1539">
        <v>0.17158280000000001</v>
      </c>
      <c r="X1539">
        <v>0.98491319999999904</v>
      </c>
      <c r="Y1539">
        <v>-0.156555</v>
      </c>
      <c r="Z1539">
        <v>4.7277739999999997E-3</v>
      </c>
      <c r="AA1539">
        <v>0.98765789999999998</v>
      </c>
      <c r="AB1539">
        <v>45</v>
      </c>
      <c r="AC1539">
        <v>-3.0058590000000001</v>
      </c>
      <c r="AD1539">
        <v>0.16223309999999999</v>
      </c>
      <c r="AE1539">
        <v>-0.44685360000000002</v>
      </c>
      <c r="AF1539">
        <v>-0.47512009306849801</v>
      </c>
      <c r="AG1539">
        <v>0.16223309999999999</v>
      </c>
      <c r="AH1539">
        <v>2.99277670224365</v>
      </c>
      <c r="AI1539">
        <v>86.935438408285904</v>
      </c>
      <c r="AJ1539">
        <v>99.020744877471699</v>
      </c>
      <c r="AK1539">
        <v>3.0345957014181302</v>
      </c>
    </row>
    <row r="1540" spans="1:37" x14ac:dyDescent="0.2">
      <c r="A1540" t="str">
        <f>"20200111150619277"</f>
        <v>20200111150619277</v>
      </c>
      <c r="B1540" t="str">
        <f>"1578726379268258"</f>
        <v>1578726379268258</v>
      </c>
      <c r="C1540" t="s">
        <v>37</v>
      </c>
      <c r="D1540">
        <v>8.265288</v>
      </c>
      <c r="E1540">
        <v>0.44535159999999901</v>
      </c>
      <c r="F1540" t="s">
        <v>53</v>
      </c>
      <c r="G1540">
        <v>0</v>
      </c>
      <c r="H1540">
        <v>0</v>
      </c>
      <c r="I1540">
        <v>0</v>
      </c>
      <c r="J1540">
        <v>-378.39409999999998</v>
      </c>
      <c r="K1540">
        <v>1.1041030000000001</v>
      </c>
      <c r="L1540">
        <v>141.40209999999999</v>
      </c>
      <c r="M1540">
        <v>-0.9998494</v>
      </c>
      <c r="N1540">
        <v>0</v>
      </c>
      <c r="O1540">
        <v>8.8481700000000007E-3</v>
      </c>
      <c r="P1540">
        <v>-0.98740699999999904</v>
      </c>
      <c r="Q1540">
        <v>0.15757179999999901</v>
      </c>
      <c r="R1540">
        <v>-1.409056E-2</v>
      </c>
      <c r="S1540">
        <v>-3.0041500000000001</v>
      </c>
      <c r="T1540">
        <v>0.1756181</v>
      </c>
      <c r="U1540">
        <v>-0.45574949999999997</v>
      </c>
      <c r="V1540">
        <v>-2.3129509999999999E-2</v>
      </c>
      <c r="W1540">
        <v>0.1722513</v>
      </c>
      <c r="X1540">
        <v>0.98478140000000003</v>
      </c>
      <c r="Y1540">
        <v>-0.15845429999999999</v>
      </c>
      <c r="Z1540">
        <v>5.115306E-3</v>
      </c>
      <c r="AA1540">
        <v>0.98735309999999898</v>
      </c>
      <c r="AB1540">
        <v>45</v>
      </c>
      <c r="AC1540">
        <v>-3.0041500000000001</v>
      </c>
      <c r="AD1540">
        <v>0.1756181</v>
      </c>
      <c r="AE1540">
        <v>-0.45574949999999997</v>
      </c>
      <c r="AF1540">
        <v>-0.48071002922304101</v>
      </c>
      <c r="AG1540">
        <v>0.1756181</v>
      </c>
      <c r="AH1540">
        <v>2.990011199584</v>
      </c>
      <c r="AI1540">
        <v>86.681120042277598</v>
      </c>
      <c r="AJ1540">
        <v>99.133399018127704</v>
      </c>
      <c r="AK1540">
        <v>3.03349481998585</v>
      </c>
    </row>
    <row r="1541" spans="1:37" x14ac:dyDescent="0.2">
      <c r="A1541" t="str">
        <f>"20200111150619298"</f>
        <v>20200111150619298</v>
      </c>
      <c r="B1541" t="str">
        <f>"1578726379287778"</f>
        <v>1578726379287778</v>
      </c>
      <c r="C1541" t="s">
        <v>37</v>
      </c>
      <c r="D1541">
        <v>8.7090669999999992</v>
      </c>
      <c r="E1541">
        <v>0.44685839999999999</v>
      </c>
      <c r="F1541" t="s">
        <v>53</v>
      </c>
      <c r="G1541">
        <v>0</v>
      </c>
      <c r="H1541">
        <v>0</v>
      </c>
      <c r="I1541">
        <v>0</v>
      </c>
      <c r="J1541">
        <v>-378.82029999999997</v>
      </c>
      <c r="K1541">
        <v>1.104344</v>
      </c>
      <c r="L1541">
        <v>141.40479999999999</v>
      </c>
      <c r="M1541">
        <v>-0.99985949999999901</v>
      </c>
      <c r="N1541">
        <v>0</v>
      </c>
      <c r="O1541">
        <v>7.6457030000000002E-3</v>
      </c>
      <c r="P1541">
        <v>-0.98713960000000001</v>
      </c>
      <c r="Q1541">
        <v>0.15895379999999901</v>
      </c>
      <c r="R1541">
        <v>-1.7016630000000001E-2</v>
      </c>
      <c r="S1541">
        <v>-3.00228899999999</v>
      </c>
      <c r="T1541">
        <v>0.18238589999999999</v>
      </c>
      <c r="U1541">
        <v>-0.48043819999999998</v>
      </c>
      <c r="V1541">
        <v>-2.4969359999999999E-2</v>
      </c>
      <c r="W1541">
        <v>0.173604799999999</v>
      </c>
      <c r="X1541">
        <v>0.98449880000000001</v>
      </c>
      <c r="Y1541">
        <v>-0.1652486</v>
      </c>
      <c r="Z1541">
        <v>5.4443399999999998E-3</v>
      </c>
      <c r="AA1541">
        <v>0.98623689999999997</v>
      </c>
      <c r="AB1541">
        <v>44</v>
      </c>
      <c r="AC1541">
        <v>-3.00228899999999</v>
      </c>
      <c r="AD1541">
        <v>0.18238589999999999</v>
      </c>
      <c r="AE1541">
        <v>-0.48043819999999998</v>
      </c>
      <c r="AF1541">
        <v>-0.501576500487243</v>
      </c>
      <c r="AG1541">
        <v>0.18238589999999999</v>
      </c>
      <c r="AH1541">
        <v>2.9877766410622799</v>
      </c>
      <c r="AI1541">
        <v>86.554860265198897</v>
      </c>
      <c r="AJ1541">
        <v>99.529735455168506</v>
      </c>
      <c r="AK1541">
        <v>3.03507048669998</v>
      </c>
    </row>
    <row r="1542" spans="1:37" x14ac:dyDescent="0.2">
      <c r="A1542" t="str">
        <f>"20200111150619321"</f>
        <v>20200111150619321</v>
      </c>
      <c r="B1542" t="str">
        <f>"1578726379318351"</f>
        <v>1578726379318351</v>
      </c>
      <c r="C1542" t="s">
        <v>37</v>
      </c>
      <c r="D1542">
        <v>7.8975229999999996</v>
      </c>
      <c r="E1542">
        <v>0.44691690000000001</v>
      </c>
      <c r="F1542" t="s">
        <v>53</v>
      </c>
      <c r="G1542">
        <v>0</v>
      </c>
      <c r="H1542">
        <v>0</v>
      </c>
      <c r="I1542">
        <v>0</v>
      </c>
      <c r="J1542">
        <v>-379.26209999999998</v>
      </c>
      <c r="K1542">
        <v>1.1045940000000001</v>
      </c>
      <c r="L1542">
        <v>141.40690000000001</v>
      </c>
      <c r="M1542">
        <v>-0.99987000000000004</v>
      </c>
      <c r="N1542">
        <v>0</v>
      </c>
      <c r="O1542">
        <v>6.1461379999999998E-3</v>
      </c>
      <c r="P1542">
        <v>-0.987035</v>
      </c>
      <c r="Q1542">
        <v>0.15917039999999999</v>
      </c>
      <c r="R1542">
        <v>-2.0663859999999999E-2</v>
      </c>
      <c r="S1542">
        <v>-3.0018919999999998</v>
      </c>
      <c r="T1542">
        <v>0.18000050000000001</v>
      </c>
      <c r="U1542">
        <v>-0.4767151</v>
      </c>
      <c r="V1542">
        <v>-2.7239099999999902E-2</v>
      </c>
      <c r="W1542">
        <v>0.17379029999999901</v>
      </c>
      <c r="X1542">
        <v>0.98440589999999994</v>
      </c>
      <c r="Y1542">
        <v>-0.1626116</v>
      </c>
      <c r="Z1542">
        <v>5.2066669999999999E-3</v>
      </c>
      <c r="AA1542">
        <v>0.98667649999999996</v>
      </c>
      <c r="AB1542">
        <v>44</v>
      </c>
      <c r="AC1542">
        <v>-3.0018919999999998</v>
      </c>
      <c r="AD1542">
        <v>0.18000050000000001</v>
      </c>
      <c r="AE1542">
        <v>-0.4767151</v>
      </c>
      <c r="AF1542">
        <v>-0.49342771618558401</v>
      </c>
      <c r="AG1542">
        <v>0.18000050000000001</v>
      </c>
      <c r="AH1542">
        <v>2.9884244836065301</v>
      </c>
      <c r="AI1542">
        <v>86.599029222444798</v>
      </c>
      <c r="AJ1542">
        <v>99.375687519930096</v>
      </c>
      <c r="AK1542">
        <v>3.0342300481867501</v>
      </c>
    </row>
    <row r="1543" spans="1:37" x14ac:dyDescent="0.2">
      <c r="A1543" t="str">
        <f>"20200111150619344"</f>
        <v>20200111150619344</v>
      </c>
      <c r="B1543" t="str">
        <f>"1578726379337871"</f>
        <v>1578726379337871</v>
      </c>
      <c r="C1543" t="s">
        <v>37</v>
      </c>
      <c r="D1543">
        <v>8.1462020000000006</v>
      </c>
      <c r="E1543">
        <v>0.36589460000000001</v>
      </c>
      <c r="F1543" t="s">
        <v>53</v>
      </c>
      <c r="G1543">
        <v>0</v>
      </c>
      <c r="H1543">
        <v>0</v>
      </c>
      <c r="I1543">
        <v>0</v>
      </c>
      <c r="J1543">
        <v>-379.72379999999998</v>
      </c>
      <c r="K1543">
        <v>1.104851</v>
      </c>
      <c r="L1543">
        <v>141.40809999999999</v>
      </c>
      <c r="M1543">
        <v>-0.99987979999999999</v>
      </c>
      <c r="N1543">
        <v>0</v>
      </c>
      <c r="O1543">
        <v>4.3016E-3</v>
      </c>
      <c r="P1543">
        <v>-0.98690840000000002</v>
      </c>
      <c r="Q1543">
        <v>0.1593454</v>
      </c>
      <c r="R1543">
        <v>-2.4917290000000002E-2</v>
      </c>
      <c r="S1543">
        <v>-2.9932859999999999</v>
      </c>
      <c r="T1543">
        <v>0.2230171</v>
      </c>
      <c r="U1543">
        <v>-0.48632809999999999</v>
      </c>
      <c r="V1543">
        <v>-2.97796E-2</v>
      </c>
      <c r="W1543">
        <v>0.173928799999999</v>
      </c>
      <c r="X1543">
        <v>0.98430779999999995</v>
      </c>
      <c r="Y1543">
        <v>-0.16416</v>
      </c>
      <c r="Z1543">
        <v>6.385389E-3</v>
      </c>
      <c r="AA1543">
        <v>0.98641309999999904</v>
      </c>
      <c r="AB1543">
        <v>44</v>
      </c>
      <c r="AC1543">
        <v>-2.9932859999999999</v>
      </c>
      <c r="AD1543">
        <v>0.2230171</v>
      </c>
      <c r="AE1543">
        <v>-0.48632809999999999</v>
      </c>
      <c r="AF1543">
        <v>-0.49651561989781501</v>
      </c>
      <c r="AG1543">
        <v>0.2230171</v>
      </c>
      <c r="AH1543">
        <v>2.9750758448015202</v>
      </c>
      <c r="AI1543">
        <v>85.771291779310801</v>
      </c>
      <c r="AJ1543">
        <v>99.474869633787605</v>
      </c>
      <c r="AK1543">
        <v>3.0244570868201102</v>
      </c>
    </row>
    <row r="1544" spans="1:37" x14ac:dyDescent="0.2">
      <c r="A1544" t="str">
        <f>"20200111150619367"</f>
        <v>20200111150619367</v>
      </c>
      <c r="B1544" t="str">
        <f>"1578726379358366"</f>
        <v>1578726379358366</v>
      </c>
      <c r="C1544" t="s">
        <v>37</v>
      </c>
      <c r="D1544">
        <v>7.8573559999999896</v>
      </c>
      <c r="E1544">
        <v>0.36799870000000001</v>
      </c>
      <c r="F1544" t="s">
        <v>81</v>
      </c>
      <c r="G1544">
        <v>-440.20710000000003</v>
      </c>
      <c r="H1544">
        <v>14.03401</v>
      </c>
      <c r="I1544">
        <v>117.6473</v>
      </c>
      <c r="J1544">
        <v>-380.17469999999997</v>
      </c>
      <c r="K1544">
        <v>1.1051070000000001</v>
      </c>
      <c r="L1544">
        <v>141.4084</v>
      </c>
      <c r="M1544">
        <v>-0.99988659999999996</v>
      </c>
      <c r="N1544">
        <v>0</v>
      </c>
      <c r="O1544">
        <v>2.2384029999999999E-3</v>
      </c>
      <c r="P1544">
        <v>-0.98681869999999905</v>
      </c>
      <c r="Q1544">
        <v>0.1591379</v>
      </c>
      <c r="R1544">
        <v>-2.9399080000000001E-2</v>
      </c>
      <c r="S1544">
        <v>-2.9104610000000002</v>
      </c>
      <c r="T1544">
        <v>0.62215149999999997</v>
      </c>
      <c r="U1544">
        <v>-1.1433719999999901</v>
      </c>
      <c r="V1544">
        <v>-3.2329980000000001E-2</v>
      </c>
      <c r="W1544">
        <v>0.17368510000000001</v>
      </c>
      <c r="X1544">
        <v>0.98427050000000005</v>
      </c>
      <c r="Y1544">
        <v>-0.36061470000000001</v>
      </c>
      <c r="Z1544">
        <v>3.7244190000000003E-2</v>
      </c>
      <c r="AA1544">
        <v>0.93197099999999899</v>
      </c>
      <c r="AB1544">
        <v>44</v>
      </c>
      <c r="AC1544">
        <v>-60.032400000000003</v>
      </c>
      <c r="AD1544">
        <v>12.928903</v>
      </c>
      <c r="AE1544">
        <v>-23.761099999999999</v>
      </c>
      <c r="AF1544">
        <v>-22.974165135584698</v>
      </c>
      <c r="AG1544">
        <v>12.928903</v>
      </c>
      <c r="AH1544">
        <v>57.666618067083498</v>
      </c>
      <c r="AI1544">
        <v>78.234627846679999</v>
      </c>
      <c r="AJ1544">
        <v>111.72215246214</v>
      </c>
      <c r="AK1544">
        <v>63.406684472186399</v>
      </c>
    </row>
    <row r="1545" spans="1:37" x14ac:dyDescent="0.2">
      <c r="A1545" t="str">
        <f>"20200111150619388"</f>
        <v>20200111150619388</v>
      </c>
      <c r="B1545" t="str">
        <f>"1578726379377887"</f>
        <v>1578726379377887</v>
      </c>
      <c r="C1545" t="s">
        <v>37</v>
      </c>
      <c r="D1545">
        <v>8.1340679999999992</v>
      </c>
      <c r="E1545">
        <v>0.36800079999999902</v>
      </c>
      <c r="F1545" t="s">
        <v>81</v>
      </c>
      <c r="G1545">
        <v>-440.20710000000003</v>
      </c>
      <c r="H1545">
        <v>13.017289999999999</v>
      </c>
      <c r="I1545">
        <v>117.9096</v>
      </c>
      <c r="J1545">
        <v>-380.60950000000003</v>
      </c>
      <c r="K1545">
        <v>1.1053569999999999</v>
      </c>
      <c r="L1545">
        <v>141.4076</v>
      </c>
      <c r="M1545">
        <v>-0.99988929999999998</v>
      </c>
      <c r="N1545">
        <v>0</v>
      </c>
      <c r="O1545" s="1">
        <v>2.853209E-5</v>
      </c>
      <c r="P1545">
        <v>-0.98661969999999999</v>
      </c>
      <c r="Q1545">
        <v>0.15948689999999999</v>
      </c>
      <c r="R1545">
        <v>-3.3852590000000002E-2</v>
      </c>
      <c r="S1545">
        <v>-2.9128720000000001</v>
      </c>
      <c r="T1545">
        <v>0.57799919999999905</v>
      </c>
      <c r="U1545">
        <v>-1.140198</v>
      </c>
      <c r="V1545">
        <v>-3.4705140000000002E-2</v>
      </c>
      <c r="W1545">
        <v>0.17399589999999901</v>
      </c>
      <c r="X1545">
        <v>0.98413459999999997</v>
      </c>
      <c r="Y1545">
        <v>-0.35846220000000001</v>
      </c>
      <c r="Z1545">
        <v>3.4005109999999998E-2</v>
      </c>
      <c r="AA1545">
        <v>0.93292469999999905</v>
      </c>
      <c r="AB1545">
        <v>44</v>
      </c>
      <c r="AC1545">
        <v>-59.5976</v>
      </c>
      <c r="AD1545">
        <v>11.911932999999999</v>
      </c>
      <c r="AE1545">
        <v>-23.498000000000001</v>
      </c>
      <c r="AF1545">
        <v>-22.7143662803763</v>
      </c>
      <c r="AG1545">
        <v>11.911932999999999</v>
      </c>
      <c r="AH1545">
        <v>57.6052651284459</v>
      </c>
      <c r="AI1545">
        <v>79.110997485898906</v>
      </c>
      <c r="AJ1545">
        <v>111.519842989889</v>
      </c>
      <c r="AK1545">
        <v>63.057141973246303</v>
      </c>
    </row>
    <row r="1546" spans="1:37" x14ac:dyDescent="0.2">
      <c r="A1546" t="str">
        <f>"20200111150619410"</f>
        <v>20200111150619410</v>
      </c>
      <c r="B1546" t="str">
        <f>"1578726379408142"</f>
        <v>1578726379408142</v>
      </c>
      <c r="C1546" t="s">
        <v>37</v>
      </c>
      <c r="D1546">
        <v>9.4350679999999993</v>
      </c>
      <c r="E1546">
        <v>0.43461809999999901</v>
      </c>
      <c r="F1546" t="s">
        <v>81</v>
      </c>
      <c r="G1546">
        <v>-440.20710000000003</v>
      </c>
      <c r="H1546">
        <v>13.302629999999899</v>
      </c>
      <c r="I1546">
        <v>117.74679999999999</v>
      </c>
      <c r="J1546">
        <v>-381.03469999999999</v>
      </c>
      <c r="K1546">
        <v>1.1055820000000001</v>
      </c>
      <c r="L1546">
        <v>141.4058</v>
      </c>
      <c r="M1546">
        <v>-0.99988659999999996</v>
      </c>
      <c r="N1546">
        <v>0</v>
      </c>
      <c r="O1546">
        <v>-2.3095379999999999E-3</v>
      </c>
      <c r="P1546">
        <v>-0.98638979999999998</v>
      </c>
      <c r="Q1546">
        <v>0.16006129999999999</v>
      </c>
      <c r="R1546">
        <v>-3.7627090000000002E-2</v>
      </c>
      <c r="S1546">
        <v>-2.9050289999999999</v>
      </c>
      <c r="T1546">
        <v>0.59454419999999897</v>
      </c>
      <c r="U1546">
        <v>-1.1533199999999999</v>
      </c>
      <c r="V1546">
        <v>-3.6271289999999998E-2</v>
      </c>
      <c r="W1546">
        <v>0.17453589999999999</v>
      </c>
      <c r="X1546">
        <v>0.98398249999999998</v>
      </c>
      <c r="Y1546">
        <v>-0.36042469999999999</v>
      </c>
      <c r="Z1546">
        <v>3.4755010000000003E-2</v>
      </c>
      <c r="AA1546">
        <v>0.93214059999999899</v>
      </c>
      <c r="AB1546">
        <v>44</v>
      </c>
      <c r="AC1546">
        <v>-59.172400000000003</v>
      </c>
      <c r="AD1546">
        <v>12.197047999999899</v>
      </c>
      <c r="AE1546">
        <v>-23.658999999999999</v>
      </c>
      <c r="AF1546">
        <v>-22.691037249973</v>
      </c>
      <c r="AG1546">
        <v>12.197047999999899</v>
      </c>
      <c r="AH1546">
        <v>57.133944991040998</v>
      </c>
      <c r="AI1546">
        <v>78.777869156984806</v>
      </c>
      <c r="AJ1546">
        <v>111.660753551583</v>
      </c>
      <c r="AK1546">
        <v>62.673270392036102</v>
      </c>
    </row>
    <row r="1547" spans="1:37" x14ac:dyDescent="0.2">
      <c r="A1547" t="str">
        <f>"20200111150619432"</f>
        <v>20200111150619432</v>
      </c>
      <c r="B1547" t="str">
        <f>"1578726379427663"</f>
        <v>1578726379427663</v>
      </c>
      <c r="C1547" t="s">
        <v>37</v>
      </c>
      <c r="D1547">
        <v>6.3938639999999998</v>
      </c>
      <c r="E1547">
        <v>0.42777789999999999</v>
      </c>
      <c r="F1547" t="s">
        <v>53</v>
      </c>
      <c r="G1547">
        <v>0</v>
      </c>
      <c r="H1547">
        <v>0</v>
      </c>
      <c r="I1547">
        <v>0</v>
      </c>
      <c r="J1547">
        <v>-381.46519999999998</v>
      </c>
      <c r="K1547">
        <v>1.105793</v>
      </c>
      <c r="L1547">
        <v>141.40280000000001</v>
      </c>
      <c r="M1547">
        <v>-0.99987789999999999</v>
      </c>
      <c r="N1547">
        <v>0</v>
      </c>
      <c r="O1547">
        <v>-4.8174519999999998E-3</v>
      </c>
      <c r="P1547">
        <v>-0.98611779999999905</v>
      </c>
      <c r="Q1547">
        <v>0.1608233</v>
      </c>
      <c r="R1547">
        <v>-4.1325479999999998E-2</v>
      </c>
      <c r="S1547">
        <v>-2.9655459999999998</v>
      </c>
      <c r="T1547">
        <v>0.31827159999999999</v>
      </c>
      <c r="U1547">
        <v>-0.63449100000000003</v>
      </c>
      <c r="V1547">
        <v>-3.7588980000000001E-2</v>
      </c>
      <c r="W1547">
        <v>0.17526410000000001</v>
      </c>
      <c r="X1547">
        <v>0.9838036</v>
      </c>
      <c r="Y1547">
        <v>-0.20341500000000001</v>
      </c>
      <c r="Z1547">
        <v>1.0253730000000001E-2</v>
      </c>
      <c r="AA1547">
        <v>0.97903890000000005</v>
      </c>
      <c r="AB1547">
        <v>44</v>
      </c>
      <c r="AC1547">
        <v>-2.9655459999999998</v>
      </c>
      <c r="AD1547">
        <v>0.31827159999999999</v>
      </c>
      <c r="AE1547">
        <v>-0.63449100000000003</v>
      </c>
      <c r="AF1547">
        <v>-0.61343922242485105</v>
      </c>
      <c r="AG1547">
        <v>0.31827159999999999</v>
      </c>
      <c r="AH1547">
        <v>2.9362287357137</v>
      </c>
      <c r="AI1547">
        <v>83.943359931814101</v>
      </c>
      <c r="AJ1547">
        <v>101.800543729786</v>
      </c>
      <c r="AK1547">
        <v>3.0164621130401401</v>
      </c>
    </row>
    <row r="1548" spans="1:37" x14ac:dyDescent="0.2">
      <c r="A1548" t="str">
        <f>"20200111150619456"</f>
        <v>20200111150619456</v>
      </c>
      <c r="B1548" t="str">
        <f>"1578726379448161"</f>
        <v>1578726379448161</v>
      </c>
      <c r="C1548" t="s">
        <v>37</v>
      </c>
      <c r="D1548">
        <v>4.6820139999999997</v>
      </c>
      <c r="E1548">
        <v>0.43042390000000003</v>
      </c>
      <c r="F1548" t="s">
        <v>81</v>
      </c>
      <c r="G1548">
        <v>-472.57409999999999</v>
      </c>
      <c r="H1548">
        <v>12.173439999999999</v>
      </c>
      <c r="I1548">
        <v>119.8177</v>
      </c>
      <c r="J1548">
        <v>-381.93720000000002</v>
      </c>
      <c r="K1548">
        <v>1.1059870000000001</v>
      </c>
      <c r="L1548">
        <v>141.3982</v>
      </c>
      <c r="M1548">
        <v>-0.99985990000000002</v>
      </c>
      <c r="N1548">
        <v>0</v>
      </c>
      <c r="O1548">
        <v>-7.6987139999999997E-3</v>
      </c>
      <c r="P1548">
        <v>-0.98592860000000004</v>
      </c>
      <c r="Q1548">
        <v>0.16077040000000001</v>
      </c>
      <c r="R1548">
        <v>-4.5806050000000001E-2</v>
      </c>
      <c r="S1548">
        <v>-2.9543759999999999</v>
      </c>
      <c r="T1548">
        <v>0.35888930000000002</v>
      </c>
      <c r="U1548">
        <v>-0.69993590000000006</v>
      </c>
      <c r="V1548">
        <v>-3.9310749999999998E-2</v>
      </c>
      <c r="W1548">
        <v>0.17517539999999901</v>
      </c>
      <c r="X1548">
        <v>0.98375210000000002</v>
      </c>
      <c r="Y1548">
        <v>-0.2215464</v>
      </c>
      <c r="Z1548">
        <v>1.2306950000000001E-2</v>
      </c>
      <c r="AA1548">
        <v>0.9750721</v>
      </c>
      <c r="AB1548">
        <v>44</v>
      </c>
      <c r="AC1548">
        <v>-90.636899999999898</v>
      </c>
      <c r="AD1548">
        <v>11.067453</v>
      </c>
      <c r="AE1548">
        <v>-21.580500000000001</v>
      </c>
      <c r="AF1548">
        <v>-20.591443473820402</v>
      </c>
      <c r="AG1548">
        <v>11.067453</v>
      </c>
      <c r="AH1548">
        <v>89.536976993882107</v>
      </c>
      <c r="AI1548">
        <v>83.131073437160197</v>
      </c>
      <c r="AJ1548">
        <v>102.951511768244</v>
      </c>
      <c r="AK1548">
        <v>92.538458542628206</v>
      </c>
    </row>
    <row r="1549" spans="1:37" x14ac:dyDescent="0.2">
      <c r="A1549" t="str">
        <f>"20200111150619478"</f>
        <v>20200111150619478</v>
      </c>
      <c r="B1549" t="str">
        <f>"1578726379467678"</f>
        <v>1578726379467678</v>
      </c>
      <c r="C1549" t="s">
        <v>37</v>
      </c>
      <c r="D1549">
        <v>4.6588669999999999</v>
      </c>
      <c r="E1549">
        <v>0.43361769999999999</v>
      </c>
      <c r="F1549" t="s">
        <v>53</v>
      </c>
      <c r="G1549">
        <v>0</v>
      </c>
      <c r="H1549">
        <v>0</v>
      </c>
      <c r="I1549">
        <v>0</v>
      </c>
      <c r="J1549">
        <v>-382.36259999999999</v>
      </c>
      <c r="K1549">
        <v>1.1061350000000001</v>
      </c>
      <c r="L1549">
        <v>141.39279999999999</v>
      </c>
      <c r="M1549">
        <v>-0.99983569999999999</v>
      </c>
      <c r="N1549">
        <v>0</v>
      </c>
      <c r="O1549">
        <v>-1.037298E-2</v>
      </c>
      <c r="P1549">
        <v>-0.98583750000000003</v>
      </c>
      <c r="Q1549">
        <v>0.16045319999999999</v>
      </c>
      <c r="R1549">
        <v>-4.8779820000000002E-2</v>
      </c>
      <c r="S1549">
        <v>-2.9522400000000002</v>
      </c>
      <c r="T1549">
        <v>0.35847009999999901</v>
      </c>
      <c r="U1549">
        <v>-0.69218440000000003</v>
      </c>
      <c r="V1549">
        <v>-3.9708140000000003E-2</v>
      </c>
      <c r="W1549">
        <v>0.1748364</v>
      </c>
      <c r="X1549">
        <v>0.98379649999999996</v>
      </c>
      <c r="Y1549">
        <v>-0.216721999999999</v>
      </c>
      <c r="Z1549">
        <v>1.1697809999999999E-2</v>
      </c>
      <c r="AA1549">
        <v>0.97616329999999996</v>
      </c>
      <c r="AB1549">
        <v>44</v>
      </c>
      <c r="AC1549">
        <v>-2.9522400000000002</v>
      </c>
      <c r="AD1549">
        <v>0.35847009999999901</v>
      </c>
      <c r="AE1549">
        <v>-0.69218440000000003</v>
      </c>
      <c r="AF1549">
        <v>-0.65240270615170903</v>
      </c>
      <c r="AG1549">
        <v>0.35847009999999901</v>
      </c>
      <c r="AH1549">
        <v>2.9184753209640899</v>
      </c>
      <c r="AI1549">
        <v>83.164604951229407</v>
      </c>
      <c r="AJ1549">
        <v>102.60086350655899</v>
      </c>
      <c r="AK1549">
        <v>3.0119143916560001</v>
      </c>
    </row>
    <row r="1550" spans="1:37" x14ac:dyDescent="0.2">
      <c r="A1550" t="str">
        <f>"20200111150619499"</f>
        <v>20200111150619499</v>
      </c>
      <c r="B1550" t="str">
        <f>"1578726379488174"</f>
        <v>1578726379488174</v>
      </c>
      <c r="C1550" t="s">
        <v>37</v>
      </c>
      <c r="D1550">
        <v>9.4767229999999998</v>
      </c>
      <c r="E1550">
        <v>0.43347920000000001</v>
      </c>
      <c r="F1550" t="s">
        <v>53</v>
      </c>
      <c r="G1550">
        <v>0</v>
      </c>
      <c r="H1550">
        <v>0</v>
      </c>
      <c r="I1550">
        <v>0</v>
      </c>
      <c r="J1550">
        <v>-382.78339999999997</v>
      </c>
      <c r="K1550">
        <v>1.106258</v>
      </c>
      <c r="L1550">
        <v>141.38640000000001</v>
      </c>
      <c r="M1550">
        <v>-0.99980429999999998</v>
      </c>
      <c r="N1550">
        <v>0</v>
      </c>
      <c r="O1550">
        <v>-1.3070450000000001E-2</v>
      </c>
      <c r="P1550">
        <v>-0.98580669999999904</v>
      </c>
      <c r="Q1550">
        <v>0.160052</v>
      </c>
      <c r="R1550">
        <v>-5.0683859999999997E-2</v>
      </c>
      <c r="S1550">
        <v>-2.9521790000000001</v>
      </c>
      <c r="T1550">
        <v>0.35341990000000001</v>
      </c>
      <c r="U1550">
        <v>-0.67575069999999904</v>
      </c>
      <c r="V1550">
        <v>-3.8999859999999997E-2</v>
      </c>
      <c r="W1550">
        <v>0.17442270000000001</v>
      </c>
      <c r="X1550">
        <v>0.98389819999999995</v>
      </c>
      <c r="Y1550">
        <v>-0.209038</v>
      </c>
      <c r="Z1550">
        <v>1.077141E-2</v>
      </c>
      <c r="AA1550">
        <v>0.97784819999999995</v>
      </c>
      <c r="AB1550">
        <v>44</v>
      </c>
      <c r="AC1550">
        <v>-2.9521790000000001</v>
      </c>
      <c r="AD1550">
        <v>0.35341990000000001</v>
      </c>
      <c r="AE1550">
        <v>-0.67575069999999904</v>
      </c>
      <c r="AF1550">
        <v>-0.62854281268600498</v>
      </c>
      <c r="AG1550">
        <v>0.35341990000000001</v>
      </c>
      <c r="AH1550">
        <v>2.9209817496150499</v>
      </c>
      <c r="AI1550">
        <v>83.254056853730106</v>
      </c>
      <c r="AJ1550">
        <v>102.143849109496</v>
      </c>
      <c r="AK1550">
        <v>3.0086718123915501</v>
      </c>
    </row>
    <row r="1551" spans="1:37" x14ac:dyDescent="0.2">
      <c r="A1551" t="str">
        <f>"20200111150619522"</f>
        <v>20200111150619522</v>
      </c>
      <c r="B1551" t="str">
        <f>"1578726379518322"</f>
        <v>1578726379518322</v>
      </c>
      <c r="C1551" t="s">
        <v>37</v>
      </c>
      <c r="D1551">
        <v>5.0792339999999996</v>
      </c>
      <c r="E1551">
        <v>0.37818570000000001</v>
      </c>
      <c r="F1551" t="s">
        <v>53</v>
      </c>
      <c r="G1551">
        <v>0</v>
      </c>
      <c r="H1551">
        <v>0</v>
      </c>
      <c r="I1551">
        <v>0</v>
      </c>
      <c r="J1551">
        <v>-383.2278</v>
      </c>
      <c r="K1551">
        <v>1.1063639999999999</v>
      </c>
      <c r="L1551">
        <v>141.3784</v>
      </c>
      <c r="M1551">
        <v>-0.99976239999999905</v>
      </c>
      <c r="N1551">
        <v>0</v>
      </c>
      <c r="O1551">
        <v>-1.5957579999999999E-2</v>
      </c>
      <c r="P1551">
        <v>-0.98575990000000002</v>
      </c>
      <c r="Q1551">
        <v>0.1598086</v>
      </c>
      <c r="R1551">
        <v>-5.2332610000000002E-2</v>
      </c>
      <c r="S1551">
        <v>-2.9501040000000001</v>
      </c>
      <c r="T1551">
        <v>0.3572747</v>
      </c>
      <c r="U1551">
        <v>-0.68263240000000003</v>
      </c>
      <c r="V1551">
        <v>-3.7843189999999999E-2</v>
      </c>
      <c r="W1551">
        <v>0.17417299999999999</v>
      </c>
      <c r="X1551">
        <v>0.98398759999999996</v>
      </c>
      <c r="Y1551">
        <v>-0.2085244</v>
      </c>
      <c r="Z1551">
        <v>1.051852E-2</v>
      </c>
      <c r="AA1551">
        <v>0.97796059999999996</v>
      </c>
      <c r="AB1551">
        <v>44</v>
      </c>
      <c r="AC1551">
        <v>-2.9501040000000001</v>
      </c>
      <c r="AD1551">
        <v>0.3572747</v>
      </c>
      <c r="AE1551">
        <v>-0.68263240000000003</v>
      </c>
      <c r="AF1551">
        <v>-0.62673877123880695</v>
      </c>
      <c r="AG1551">
        <v>0.3572747</v>
      </c>
      <c r="AH1551">
        <v>2.9199730091745302</v>
      </c>
      <c r="AI1551">
        <v>83.178079155673103</v>
      </c>
      <c r="AJ1551">
        <v>102.114084116919</v>
      </c>
      <c r="AK1551">
        <v>3.0077714462607998</v>
      </c>
    </row>
    <row r="1552" spans="1:37" x14ac:dyDescent="0.2">
      <c r="A1552" t="str">
        <f>"20200111150619544"</f>
        <v>20200111150619544</v>
      </c>
      <c r="B1552" t="str">
        <f>"1578726379537840"</f>
        <v>1578726379537840</v>
      </c>
      <c r="C1552" t="s">
        <v>37</v>
      </c>
      <c r="D1552">
        <v>4.6577799999999998</v>
      </c>
      <c r="E1552">
        <v>0.44738099999999997</v>
      </c>
      <c r="F1552" t="s">
        <v>81</v>
      </c>
      <c r="G1552">
        <v>-440.20710000000003</v>
      </c>
      <c r="H1552">
        <v>14.136369999999999</v>
      </c>
      <c r="I1552">
        <v>119.07680000000001</v>
      </c>
      <c r="J1552">
        <v>-383.67290000000003</v>
      </c>
      <c r="K1552">
        <v>1.106454</v>
      </c>
      <c r="L1552">
        <v>141.369</v>
      </c>
      <c r="M1552">
        <v>-0.99971169999999998</v>
      </c>
      <c r="N1552">
        <v>0</v>
      </c>
      <c r="O1552">
        <v>-1.8873009999999999E-2</v>
      </c>
      <c r="P1552">
        <v>-0.98551529999999998</v>
      </c>
      <c r="Q1552">
        <v>0.16068779999999999</v>
      </c>
      <c r="R1552">
        <v>-5.4214440000000003E-2</v>
      </c>
      <c r="S1552">
        <v>-2.8768919999999998</v>
      </c>
      <c r="T1552">
        <v>0.65788669999999905</v>
      </c>
      <c r="U1552">
        <v>-1.126007</v>
      </c>
      <c r="V1552">
        <v>-3.6896159999999997E-2</v>
      </c>
      <c r="W1552">
        <v>0.175043</v>
      </c>
      <c r="X1552">
        <v>0.983869199999999</v>
      </c>
      <c r="Y1552">
        <v>-0.33965329999999999</v>
      </c>
      <c r="Z1552">
        <v>3.2911749999999997E-2</v>
      </c>
      <c r="AA1552">
        <v>0.93997469999999905</v>
      </c>
      <c r="AB1552">
        <v>44</v>
      </c>
      <c r="AC1552">
        <v>-56.534199999999998</v>
      </c>
      <c r="AD1552">
        <v>13.029916</v>
      </c>
      <c r="AE1552">
        <v>-22.292199999999902</v>
      </c>
      <c r="AF1552">
        <v>-20.288432752980299</v>
      </c>
      <c r="AG1552">
        <v>13.029916</v>
      </c>
      <c r="AH1552">
        <v>54.442063738042798</v>
      </c>
      <c r="AI1552">
        <v>77.359501026674195</v>
      </c>
      <c r="AJ1552">
        <v>110.43846143933099</v>
      </c>
      <c r="AK1552">
        <v>59.542736908848703</v>
      </c>
    </row>
    <row r="1553" spans="1:37" x14ac:dyDescent="0.2">
      <c r="A1553" t="str">
        <f>"20200111150619566"</f>
        <v>20200111150619566</v>
      </c>
      <c r="B1553" t="str">
        <f>"1578726379558339"</f>
        <v>1578726379558339</v>
      </c>
      <c r="C1553" t="s">
        <v>37</v>
      </c>
      <c r="D1553">
        <v>4.6596929999999999</v>
      </c>
      <c r="E1553">
        <v>0.44831769999999999</v>
      </c>
      <c r="F1553" t="s">
        <v>53</v>
      </c>
      <c r="G1553">
        <v>0</v>
      </c>
      <c r="H1553">
        <v>0</v>
      </c>
      <c r="I1553">
        <v>0</v>
      </c>
      <c r="J1553">
        <v>-384.10289999999998</v>
      </c>
      <c r="K1553">
        <v>1.1065320000000001</v>
      </c>
      <c r="L1553">
        <v>141.3588</v>
      </c>
      <c r="M1553">
        <v>-0.99965439999999905</v>
      </c>
      <c r="N1553">
        <v>0</v>
      </c>
      <c r="O1553">
        <v>-2.1702309999999999E-2</v>
      </c>
      <c r="P1553">
        <v>-0.98530339999999905</v>
      </c>
      <c r="Q1553">
        <v>0.1611322</v>
      </c>
      <c r="R1553">
        <v>-5.6688780000000001E-2</v>
      </c>
      <c r="S1553">
        <v>-2.9593509999999998</v>
      </c>
      <c r="T1553">
        <v>0.32290219999999997</v>
      </c>
      <c r="U1553">
        <v>-0.5827637</v>
      </c>
      <c r="V1553">
        <v>-3.6616969999999999E-2</v>
      </c>
      <c r="W1553">
        <v>0.17547579999999999</v>
      </c>
      <c r="X1553">
        <v>0.98380259999999997</v>
      </c>
      <c r="Y1553">
        <v>-0.1710187</v>
      </c>
      <c r="Z1553">
        <v>6.8772089999999996E-3</v>
      </c>
      <c r="AA1553">
        <v>0.9852438</v>
      </c>
      <c r="AB1553">
        <v>44</v>
      </c>
      <c r="AC1553">
        <v>-2.9593509999999998</v>
      </c>
      <c r="AD1553">
        <v>0.32290219999999997</v>
      </c>
      <c r="AE1553">
        <v>-0.5827637</v>
      </c>
      <c r="AF1553">
        <v>-0.512520548028777</v>
      </c>
      <c r="AG1553">
        <v>0.32290219999999997</v>
      </c>
      <c r="AH1553">
        <v>2.9376340631635398</v>
      </c>
      <c r="AI1553">
        <v>83.819892993472095</v>
      </c>
      <c r="AJ1553">
        <v>99.896618179948604</v>
      </c>
      <c r="AK1553">
        <v>2.9994394529603898</v>
      </c>
    </row>
    <row r="1554" spans="1:37" x14ac:dyDescent="0.2">
      <c r="A1554" t="str">
        <f>"20200111150619811"</f>
        <v>20200111150619811</v>
      </c>
      <c r="B1554" t="str">
        <f>"1578726379808027"</f>
        <v>1578726379808027</v>
      </c>
      <c r="C1554" t="s">
        <v>37</v>
      </c>
      <c r="D1554">
        <v>4.6727429999999996</v>
      </c>
      <c r="E1554">
        <v>0.46930899999999998</v>
      </c>
      <c r="F1554" t="s">
        <v>53</v>
      </c>
      <c r="G1554">
        <v>0</v>
      </c>
      <c r="H1554">
        <v>0</v>
      </c>
      <c r="I1554">
        <v>0</v>
      </c>
      <c r="J1554">
        <v>-388.88199999999898</v>
      </c>
      <c r="K1554">
        <v>1.106781</v>
      </c>
      <c r="L1554">
        <v>141.16149999999999</v>
      </c>
      <c r="M1554">
        <v>-0.99846039999999903</v>
      </c>
      <c r="N1554">
        <v>0</v>
      </c>
      <c r="O1554">
        <v>-5.3481599999999997E-2</v>
      </c>
      <c r="P1554">
        <v>-0.98363559999999906</v>
      </c>
      <c r="Q1554">
        <v>0.15753889999999901</v>
      </c>
      <c r="R1554">
        <v>-8.7423479999999998E-2</v>
      </c>
      <c r="S1554">
        <v>-2.9672239999999999</v>
      </c>
      <c r="T1554">
        <v>0.2689204</v>
      </c>
      <c r="U1554">
        <v>-0.58308409999999999</v>
      </c>
      <c r="V1554">
        <v>-3.6100529999999999E-2</v>
      </c>
      <c r="W1554">
        <v>0.1717632</v>
      </c>
      <c r="X1554">
        <v>0.98447659999999904</v>
      </c>
      <c r="Y1554">
        <v>-0.1397214</v>
      </c>
      <c r="Z1554">
        <v>1.4748679999999901E-3</v>
      </c>
      <c r="AA1554">
        <v>0.99018969999999995</v>
      </c>
      <c r="AB1554">
        <v>44</v>
      </c>
      <c r="AC1554">
        <v>-2.9672239999999999</v>
      </c>
      <c r="AD1554">
        <v>0.2689204</v>
      </c>
      <c r="AE1554">
        <v>-0.58308409999999999</v>
      </c>
      <c r="AF1554">
        <v>-0.42021708671622499</v>
      </c>
      <c r="AG1554">
        <v>0.2689204</v>
      </c>
      <c r="AH1554">
        <v>2.97067070415586</v>
      </c>
      <c r="AI1554">
        <v>84.878104418447293</v>
      </c>
      <c r="AJ1554">
        <v>98.051373119644396</v>
      </c>
      <c r="AK1554">
        <v>3.0122724003705699</v>
      </c>
    </row>
    <row r="1555" spans="1:37" x14ac:dyDescent="0.2">
      <c r="A1555" t="str">
        <f>"20200111150619835"</f>
        <v>20200111150619835</v>
      </c>
      <c r="B1555" t="str">
        <f>"1578726379828522"</f>
        <v>1578726379828522</v>
      </c>
      <c r="C1555" t="s">
        <v>37</v>
      </c>
      <c r="D1555">
        <v>4.6762930000000003</v>
      </c>
      <c r="E1555">
        <v>0.46934870000000001</v>
      </c>
      <c r="F1555" t="s">
        <v>78</v>
      </c>
      <c r="G1555">
        <v>-405.27409999999998</v>
      </c>
      <c r="H1555" s="1">
        <v>-7.2055260000000002E-6</v>
      </c>
      <c r="I1555">
        <v>138.3852</v>
      </c>
      <c r="J1555">
        <v>-389.32830000000001</v>
      </c>
      <c r="K1555">
        <v>1.106776</v>
      </c>
      <c r="L1555">
        <v>141.1352</v>
      </c>
      <c r="M1555">
        <v>-0.99829599999999996</v>
      </c>
      <c r="N1555">
        <v>0</v>
      </c>
      <c r="O1555">
        <v>-5.6469039999999998E-2</v>
      </c>
      <c r="P1555">
        <v>-0.98331840000000004</v>
      </c>
      <c r="Q1555">
        <v>0.15767200000000001</v>
      </c>
      <c r="R1555">
        <v>-9.0689049999999993E-2</v>
      </c>
      <c r="S1555">
        <v>-3.0370180000000002</v>
      </c>
      <c r="T1555">
        <v>-0.20505870000000001</v>
      </c>
      <c r="U1555">
        <v>-0.51437379999999999</v>
      </c>
      <c r="V1555">
        <v>-3.6426939999999998E-2</v>
      </c>
      <c r="W1555">
        <v>0.17188390000000001</v>
      </c>
      <c r="X1555">
        <v>0.98444349999999903</v>
      </c>
      <c r="Y1555">
        <v>-0.110920899999999</v>
      </c>
      <c r="Z1555" s="1">
        <v>6.1967640000000002E-5</v>
      </c>
      <c r="AA1555">
        <v>0.99382929999999903</v>
      </c>
      <c r="AB1555">
        <v>44</v>
      </c>
      <c r="AC1555">
        <v>-15.945799999999901</v>
      </c>
      <c r="AD1555">
        <v>-1.1067832055260001</v>
      </c>
      <c r="AE1555">
        <v>-2.75</v>
      </c>
      <c r="AF1555">
        <v>-1.8364776689917099</v>
      </c>
      <c r="AG1555">
        <v>-1.1067832055260001</v>
      </c>
      <c r="AH1555">
        <v>16.000797967812598</v>
      </c>
      <c r="AI1555">
        <v>93.931148868287195</v>
      </c>
      <c r="AJ1555">
        <v>96.547423602046393</v>
      </c>
      <c r="AK1555">
        <v>16.143827145367201</v>
      </c>
    </row>
    <row r="1556" spans="1:37" x14ac:dyDescent="0.2">
      <c r="A1556" t="str">
        <f>"20200111150619857"</f>
        <v>20200111150619857</v>
      </c>
      <c r="B1556" t="str">
        <f>"1578726379848043"</f>
        <v>1578726379848043</v>
      </c>
      <c r="C1556" t="s">
        <v>37</v>
      </c>
      <c r="D1556">
        <v>7.4310279999999898</v>
      </c>
      <c r="E1556">
        <v>0.47021279999999999</v>
      </c>
      <c r="F1556" t="s">
        <v>78</v>
      </c>
      <c r="G1556">
        <v>-405.68729999999999</v>
      </c>
      <c r="H1556" s="1">
        <v>-7.4483740000000003E-6</v>
      </c>
      <c r="I1556">
        <v>138.31139999999999</v>
      </c>
      <c r="J1556">
        <v>-389.76060000000001</v>
      </c>
      <c r="K1556">
        <v>1.106781</v>
      </c>
      <c r="L1556">
        <v>141.10839999999999</v>
      </c>
      <c r="M1556">
        <v>-0.99812800000000002</v>
      </c>
      <c r="N1556">
        <v>0</v>
      </c>
      <c r="O1556">
        <v>-5.936396E-2</v>
      </c>
      <c r="P1556">
        <v>-0.98295560000000004</v>
      </c>
      <c r="Q1556">
        <v>0.15817909999999999</v>
      </c>
      <c r="R1556">
        <v>-9.3689320000000006E-2</v>
      </c>
      <c r="S1556">
        <v>-3.0354610000000002</v>
      </c>
      <c r="T1556">
        <v>-0.20536660000000001</v>
      </c>
      <c r="U1556">
        <v>-0.52395630000000004</v>
      </c>
      <c r="V1556">
        <v>-3.6585670000000001E-2</v>
      </c>
      <c r="W1556">
        <v>0.17238039999999999</v>
      </c>
      <c r="X1556">
        <v>0.98435079999999997</v>
      </c>
      <c r="Y1556">
        <v>-0.11117629999999901</v>
      </c>
      <c r="Z1556">
        <v>2.4692339999999999E-4</v>
      </c>
      <c r="AA1556">
        <v>0.99380069999999998</v>
      </c>
      <c r="AB1556">
        <v>43</v>
      </c>
      <c r="AC1556">
        <v>-15.926699999999901</v>
      </c>
      <c r="AD1556">
        <v>-1.106788448374</v>
      </c>
      <c r="AE1556">
        <v>-2.7969999999999899</v>
      </c>
      <c r="AF1556">
        <v>-1.8378818453330801</v>
      </c>
      <c r="AG1556">
        <v>-1.106788448374</v>
      </c>
      <c r="AH1556">
        <v>15.9897567249297</v>
      </c>
      <c r="AI1556">
        <v>93.933799189397604</v>
      </c>
      <c r="AJ1556">
        <v>96.556871429452698</v>
      </c>
      <c r="AK1556">
        <v>16.133044054650501</v>
      </c>
    </row>
    <row r="1557" spans="1:37" x14ac:dyDescent="0.2">
      <c r="A1557" t="str">
        <f>"20200111150619879"</f>
        <v>20200111150619879</v>
      </c>
      <c r="B1557" t="str">
        <f>"1578726379867562"</f>
        <v>1578726379867562</v>
      </c>
      <c r="C1557" t="s">
        <v>37</v>
      </c>
      <c r="D1557">
        <v>4.5738890000000003</v>
      </c>
      <c r="E1557">
        <v>0.46911940000000002</v>
      </c>
      <c r="F1557" t="s">
        <v>78</v>
      </c>
      <c r="G1557">
        <v>-406.4092</v>
      </c>
      <c r="H1557" s="1">
        <v>-7.8591329999999993E-6</v>
      </c>
      <c r="I1557">
        <v>138.22299999999899</v>
      </c>
      <c r="J1557">
        <v>-390.17349999999999</v>
      </c>
      <c r="K1557">
        <v>1.106786</v>
      </c>
      <c r="L1557">
        <v>141.08160000000001</v>
      </c>
      <c r="M1557">
        <v>-0.99795990000000001</v>
      </c>
      <c r="N1557">
        <v>0</v>
      </c>
      <c r="O1557">
        <v>-6.2130589999999999E-2</v>
      </c>
      <c r="P1557">
        <v>-0.9826608</v>
      </c>
      <c r="Q1557">
        <v>0.15844749999999999</v>
      </c>
      <c r="R1557">
        <v>-9.6292929999999999E-2</v>
      </c>
      <c r="S1557">
        <v>-3.034332</v>
      </c>
      <c r="T1557">
        <v>-0.20172039999999999</v>
      </c>
      <c r="U1557">
        <v>-0.52587890000000004</v>
      </c>
      <c r="V1557">
        <v>-3.6468510000000003E-2</v>
      </c>
      <c r="W1557">
        <v>0.17264199999999999</v>
      </c>
      <c r="X1557">
        <v>0.98430930000000005</v>
      </c>
      <c r="Y1557">
        <v>-0.10910889999999999</v>
      </c>
      <c r="Z1557">
        <v>4.9239839999999895E-4</v>
      </c>
      <c r="AA1557">
        <v>0.99402969999999902</v>
      </c>
      <c r="AB1557">
        <v>43</v>
      </c>
      <c r="AC1557">
        <v>-16.235700000000001</v>
      </c>
      <c r="AD1557">
        <v>-1.106793859133</v>
      </c>
      <c r="AE1557">
        <v>-2.85860000000002</v>
      </c>
      <c r="AF1557">
        <v>-1.83595805634637</v>
      </c>
      <c r="AG1557">
        <v>-1.106793859133</v>
      </c>
      <c r="AH1557">
        <v>16.308442200984199</v>
      </c>
      <c r="AI1557">
        <v>93.858202537849294</v>
      </c>
      <c r="AJ1557">
        <v>96.4231522061324</v>
      </c>
      <c r="AK1557">
        <v>16.448739211688</v>
      </c>
    </row>
    <row r="1558" spans="1:37" x14ac:dyDescent="0.2">
      <c r="A1558" t="str">
        <f>"20200111150619901"</f>
        <v>20200111150619901</v>
      </c>
      <c r="B1558" t="str">
        <f>"1578726379897818"</f>
        <v>1578726379897818</v>
      </c>
      <c r="C1558" t="s">
        <v>37</v>
      </c>
      <c r="D1558">
        <v>4.5755660000000002</v>
      </c>
      <c r="E1558">
        <v>0.45463490000000001</v>
      </c>
      <c r="F1558" t="s">
        <v>78</v>
      </c>
      <c r="G1558">
        <v>-406.66269999999997</v>
      </c>
      <c r="H1558" s="1">
        <v>-7.9765610000000008E-6</v>
      </c>
      <c r="I1558">
        <v>138.13059999999999</v>
      </c>
      <c r="J1558">
        <v>-390.61059999999998</v>
      </c>
      <c r="K1558">
        <v>1.106786</v>
      </c>
      <c r="L1558">
        <v>141.05199999999999</v>
      </c>
      <c r="M1558">
        <v>-0.99777320000000003</v>
      </c>
      <c r="N1558">
        <v>0</v>
      </c>
      <c r="O1558">
        <v>-6.5060989999999999E-2</v>
      </c>
      <c r="P1558">
        <v>-0.98225409999999902</v>
      </c>
      <c r="Q1558">
        <v>0.15885479999999999</v>
      </c>
      <c r="R1558">
        <v>-9.9710960000000001E-2</v>
      </c>
      <c r="S1558">
        <v>-3.0325929999999999</v>
      </c>
      <c r="T1558">
        <v>-0.20355470000000001</v>
      </c>
      <c r="U1558">
        <v>-0.5427246</v>
      </c>
      <c r="V1558">
        <v>-3.7010830000000002E-2</v>
      </c>
      <c r="W1558">
        <v>0.173037</v>
      </c>
      <c r="X1558">
        <v>0.98421970000000003</v>
      </c>
      <c r="Y1558">
        <v>-0.111639899999999</v>
      </c>
      <c r="Z1558">
        <v>6.0665980000000001E-4</v>
      </c>
      <c r="AA1558">
        <v>0.99374850000000003</v>
      </c>
      <c r="AB1558">
        <v>43</v>
      </c>
      <c r="AC1558">
        <v>-16.0520999999999</v>
      </c>
      <c r="AD1558">
        <v>-1.106793976561</v>
      </c>
      <c r="AE1558">
        <v>-2.92140000000003</v>
      </c>
      <c r="AF1558">
        <v>-1.8621617787561999</v>
      </c>
      <c r="AG1558">
        <v>-1.106793976561</v>
      </c>
      <c r="AH1558">
        <v>16.133929095094899</v>
      </c>
      <c r="AI1558">
        <v>93.898564083603105</v>
      </c>
      <c r="AJ1558">
        <v>96.583888213482595</v>
      </c>
      <c r="AK1558">
        <v>16.278707179698301</v>
      </c>
    </row>
    <row r="1559" spans="1:37" x14ac:dyDescent="0.2">
      <c r="A1559" t="str">
        <f>"20200111150619924"</f>
        <v>20200111150619924</v>
      </c>
      <c r="B1559" t="str">
        <f>"1578726379918331"</f>
        <v>1578726379918331</v>
      </c>
      <c r="C1559" t="s">
        <v>37</v>
      </c>
      <c r="D1559">
        <v>4.7207809999999997</v>
      </c>
      <c r="E1559">
        <v>0.44041530000000001</v>
      </c>
      <c r="F1559" t="s">
        <v>53</v>
      </c>
      <c r="G1559">
        <v>0</v>
      </c>
      <c r="H1559">
        <v>0</v>
      </c>
      <c r="I1559">
        <v>0</v>
      </c>
      <c r="J1559">
        <v>-391.04289999999997</v>
      </c>
      <c r="K1559">
        <v>1.1067899999999999</v>
      </c>
      <c r="L1559">
        <v>141.0215</v>
      </c>
      <c r="M1559">
        <v>-0.99758009999999997</v>
      </c>
      <c r="N1559">
        <v>0</v>
      </c>
      <c r="O1559">
        <v>-6.7960489999999998E-2</v>
      </c>
      <c r="P1559">
        <v>-0.98175699999999999</v>
      </c>
      <c r="Q1559">
        <v>0.15927179999999999</v>
      </c>
      <c r="R1559">
        <v>-0.1038563</v>
      </c>
      <c r="S1559">
        <v>-2.8973390000000001</v>
      </c>
      <c r="T1559">
        <v>0.55685810000000002</v>
      </c>
      <c r="U1559">
        <v>-0.65801999999999905</v>
      </c>
      <c r="V1559">
        <v>-3.8314630000000002E-2</v>
      </c>
      <c r="W1559">
        <v>0.17343520000000001</v>
      </c>
      <c r="X1559">
        <v>0.98409969999999902</v>
      </c>
      <c r="Y1559">
        <v>-0.15320010000000001</v>
      </c>
      <c r="Z1559">
        <v>1.655431E-3</v>
      </c>
      <c r="AA1559">
        <v>0.98819380000000001</v>
      </c>
      <c r="AB1559">
        <v>43</v>
      </c>
      <c r="AC1559">
        <v>-2.8973390000000001</v>
      </c>
      <c r="AD1559">
        <v>0.55685810000000002</v>
      </c>
      <c r="AE1559">
        <v>-0.65801999999999905</v>
      </c>
      <c r="AF1559">
        <v>-0.44397673059751303</v>
      </c>
      <c r="AG1559">
        <v>0.55685810000000002</v>
      </c>
      <c r="AH1559">
        <v>2.83575008612502</v>
      </c>
      <c r="AI1559">
        <v>79.020597105032806</v>
      </c>
      <c r="AJ1559">
        <v>98.898227404773806</v>
      </c>
      <c r="AK1559">
        <v>2.9238134057777598</v>
      </c>
    </row>
    <row r="1560" spans="1:37" x14ac:dyDescent="0.2">
      <c r="A1560" t="str">
        <f>"20200111150619946"</f>
        <v>20200111150619946</v>
      </c>
      <c r="B1560" t="str">
        <f>"1578726379937851"</f>
        <v>1578726379937851</v>
      </c>
      <c r="C1560" t="s">
        <v>37</v>
      </c>
      <c r="D1560">
        <v>4.2953089999999996</v>
      </c>
      <c r="E1560">
        <v>0.42773990000000001</v>
      </c>
      <c r="F1560" t="s">
        <v>81</v>
      </c>
      <c r="G1560">
        <v>-470.53980000000001</v>
      </c>
      <c r="H1560">
        <v>17.50217</v>
      </c>
      <c r="I1560">
        <v>119.395</v>
      </c>
      <c r="J1560">
        <v>-391.48480000000001</v>
      </c>
      <c r="K1560">
        <v>1.106792</v>
      </c>
      <c r="L1560">
        <v>140.989</v>
      </c>
      <c r="M1560">
        <v>-0.99737359999999897</v>
      </c>
      <c r="N1560">
        <v>0</v>
      </c>
      <c r="O1560">
        <v>-7.0925790000000002E-2</v>
      </c>
      <c r="P1560">
        <v>-0.98113059999999996</v>
      </c>
      <c r="Q1560">
        <v>0.1596186</v>
      </c>
      <c r="R1560">
        <v>-0.1091087</v>
      </c>
      <c r="S1560">
        <v>-2.8767399999999999</v>
      </c>
      <c r="T1560">
        <v>0.59329619999999905</v>
      </c>
      <c r="U1560">
        <v>-0.78259279999999998</v>
      </c>
      <c r="V1560">
        <v>-4.0666920000000002E-2</v>
      </c>
      <c r="W1560">
        <v>0.17375409999999999</v>
      </c>
      <c r="X1560">
        <v>0.98394910000000002</v>
      </c>
      <c r="Y1560">
        <v>-0.19104860000000001</v>
      </c>
      <c r="Z1560">
        <v>4.97413299999999E-3</v>
      </c>
      <c r="AA1560">
        <v>0.981568</v>
      </c>
      <c r="AB1560">
        <v>43</v>
      </c>
      <c r="AC1560">
        <v>-79.055000000000007</v>
      </c>
      <c r="AD1560">
        <v>16.395378000000001</v>
      </c>
      <c r="AE1560">
        <v>-21.594000000000001</v>
      </c>
      <c r="AF1560">
        <v>-15.3188256843428</v>
      </c>
      <c r="AG1560">
        <v>16.395378000000001</v>
      </c>
      <c r="AH1560">
        <v>77.293903741341197</v>
      </c>
      <c r="AI1560">
        <v>78.246155050205701</v>
      </c>
      <c r="AJ1560">
        <v>101.210143287892</v>
      </c>
      <c r="AK1560">
        <v>80.484920299928802</v>
      </c>
    </row>
    <row r="1561" spans="1:37" x14ac:dyDescent="0.2">
      <c r="A1561" t="str">
        <f>"20200111150619968"</f>
        <v>20200111150619968</v>
      </c>
      <c r="B1561" t="str">
        <f>"1578726379958347"</f>
        <v>1578726379958347</v>
      </c>
      <c r="C1561" t="s">
        <v>37</v>
      </c>
      <c r="D1561">
        <v>3.8474409999999999</v>
      </c>
      <c r="E1561">
        <v>0.42131400000000002</v>
      </c>
      <c r="F1561" t="s">
        <v>81</v>
      </c>
      <c r="G1561">
        <v>-460.37119999999999</v>
      </c>
      <c r="H1561">
        <v>14.35772</v>
      </c>
      <c r="I1561">
        <v>119.395</v>
      </c>
      <c r="J1561">
        <v>-391.89830000000001</v>
      </c>
      <c r="K1561">
        <v>1.1067990000000001</v>
      </c>
      <c r="L1561">
        <v>140.95740000000001</v>
      </c>
      <c r="M1561">
        <v>-0.99717239999999996</v>
      </c>
      <c r="N1561">
        <v>0</v>
      </c>
      <c r="O1561">
        <v>-7.3701779999999995E-2</v>
      </c>
      <c r="P1561">
        <v>-0.98008090000000003</v>
      </c>
      <c r="Q1561">
        <v>0.16130249999999999</v>
      </c>
      <c r="R1561">
        <v>-0.1158587</v>
      </c>
      <c r="S1561">
        <v>-2.8679809999999999</v>
      </c>
      <c r="T1561">
        <v>0.55168200000000001</v>
      </c>
      <c r="U1561">
        <v>-0.89903259999999996</v>
      </c>
      <c r="V1561">
        <v>-4.4742289999999997E-2</v>
      </c>
      <c r="W1561">
        <v>0.17539270000000001</v>
      </c>
      <c r="X1561">
        <v>0.9834813</v>
      </c>
      <c r="Y1561">
        <v>-0.22544939999999999</v>
      </c>
      <c r="Z1561">
        <v>7.3145399999999996E-3</v>
      </c>
      <c r="AA1561">
        <v>0.97422739999999997</v>
      </c>
      <c r="AB1561">
        <v>43</v>
      </c>
      <c r="AC1561">
        <v>-68.472899999999896</v>
      </c>
      <c r="AD1561">
        <v>13.250921</v>
      </c>
      <c r="AE1561">
        <v>-21.5624</v>
      </c>
      <c r="AF1561">
        <v>-15.9143985126278</v>
      </c>
      <c r="AG1561">
        <v>13.250921</v>
      </c>
      <c r="AH1561">
        <v>67.573654735667304</v>
      </c>
      <c r="AI1561">
        <v>79.193714051316107</v>
      </c>
      <c r="AJ1561">
        <v>103.252341718875</v>
      </c>
      <c r="AK1561">
        <v>70.675694561158394</v>
      </c>
    </row>
    <row r="1562" spans="1:37" x14ac:dyDescent="0.2">
      <c r="A1562" t="str">
        <f>"20200111150619991"</f>
        <v>20200111150619991</v>
      </c>
      <c r="B1562" t="str">
        <f>"1578726379987626"</f>
        <v>1578726379987626</v>
      </c>
      <c r="C1562" t="s">
        <v>37</v>
      </c>
      <c r="D1562">
        <v>6.2344080000000002</v>
      </c>
      <c r="E1562">
        <v>0.35906009999999999</v>
      </c>
      <c r="F1562" t="s">
        <v>81</v>
      </c>
      <c r="G1562">
        <v>-455.40589999999997</v>
      </c>
      <c r="H1562">
        <v>13.24607</v>
      </c>
      <c r="I1562">
        <v>119.395</v>
      </c>
      <c r="J1562">
        <v>-392.3306</v>
      </c>
      <c r="K1562">
        <v>1.1067990000000001</v>
      </c>
      <c r="L1562">
        <v>140.92320000000001</v>
      </c>
      <c r="M1562">
        <v>-0.9969538</v>
      </c>
      <c r="N1562">
        <v>0</v>
      </c>
      <c r="O1562">
        <v>-7.6605190000000004E-2</v>
      </c>
      <c r="P1562">
        <v>-0.97878509999999996</v>
      </c>
      <c r="Q1562">
        <v>0.16230839999999999</v>
      </c>
      <c r="R1562">
        <v>-0.12504389999999899</v>
      </c>
      <c r="S1562">
        <v>-2.8564449999999999</v>
      </c>
      <c r="T1562">
        <v>0.54600059999999995</v>
      </c>
      <c r="U1562">
        <v>-0.96983339999999996</v>
      </c>
      <c r="V1562">
        <v>-5.1134810000000003E-2</v>
      </c>
      <c r="W1562">
        <v>0.17633389999999999</v>
      </c>
      <c r="X1562">
        <v>0.98300140000000003</v>
      </c>
      <c r="Y1562">
        <v>-0.24528349999999999</v>
      </c>
      <c r="Z1562">
        <v>8.5419450000000004E-3</v>
      </c>
      <c r="AA1562">
        <v>0.96941379999999999</v>
      </c>
      <c r="AB1562">
        <v>43</v>
      </c>
      <c r="AC1562">
        <v>-63.075299999999899</v>
      </c>
      <c r="AD1562">
        <v>12.139271000000001</v>
      </c>
      <c r="AE1562">
        <v>-21.528199999999998</v>
      </c>
      <c r="AF1562">
        <v>-16.098445727725402</v>
      </c>
      <c r="AG1562">
        <v>12.139271000000001</v>
      </c>
      <c r="AH1562">
        <v>62.466922748467503</v>
      </c>
      <c r="AI1562">
        <v>79.342570904055904</v>
      </c>
      <c r="AJ1562">
        <v>104.45133023393601</v>
      </c>
      <c r="AK1562">
        <v>65.640218562425304</v>
      </c>
    </row>
    <row r="1563" spans="1:37" x14ac:dyDescent="0.2">
      <c r="A1563" t="str">
        <f>"20200111150620014"</f>
        <v>20200111150620014</v>
      </c>
      <c r="B1563" t="str">
        <f>"1578726380008123"</f>
        <v>1578726380008123</v>
      </c>
      <c r="C1563" t="s">
        <v>37</v>
      </c>
      <c r="D1563">
        <v>4.2610269999999897</v>
      </c>
      <c r="E1563">
        <v>0.41051549999999998</v>
      </c>
      <c r="F1563" t="s">
        <v>81</v>
      </c>
      <c r="G1563">
        <v>-440.75</v>
      </c>
      <c r="H1563">
        <v>13.5132799999999</v>
      </c>
      <c r="I1563">
        <v>114.81699999999999</v>
      </c>
      <c r="J1563">
        <v>-392.76499999999999</v>
      </c>
      <c r="K1563">
        <v>1.1067910000000001</v>
      </c>
      <c r="L1563">
        <v>140.88749999999999</v>
      </c>
      <c r="M1563">
        <v>-0.99672430000000001</v>
      </c>
      <c r="N1563">
        <v>0</v>
      </c>
      <c r="O1563">
        <v>-7.9535439999999999E-2</v>
      </c>
      <c r="P1563">
        <v>-0.97806939999999998</v>
      </c>
      <c r="Q1563">
        <v>0.160067299999999</v>
      </c>
      <c r="R1563">
        <v>-0.1332622</v>
      </c>
      <c r="S1563">
        <v>-2.7578740000000002</v>
      </c>
      <c r="T1563">
        <v>0.70664680000000002</v>
      </c>
      <c r="U1563">
        <v>-1.4869540000000001</v>
      </c>
      <c r="V1563">
        <v>-5.6469060000000001E-2</v>
      </c>
      <c r="W1563">
        <v>0.1740448</v>
      </c>
      <c r="X1563">
        <v>0.98311729999999997</v>
      </c>
      <c r="Y1563">
        <v>-0.3952135</v>
      </c>
      <c r="Z1563">
        <v>2.80579E-2</v>
      </c>
      <c r="AA1563">
        <v>0.91816070000000005</v>
      </c>
      <c r="AB1563">
        <v>43</v>
      </c>
      <c r="AC1563">
        <v>-47.984999999999999</v>
      </c>
      <c r="AD1563">
        <v>12.406489000000001</v>
      </c>
      <c r="AE1563">
        <v>-26.0704999999999</v>
      </c>
      <c r="AF1563">
        <v>-21.082832233246201</v>
      </c>
      <c r="AG1563">
        <v>12.406489000000001</v>
      </c>
      <c r="AH1563">
        <v>47.457304989010503</v>
      </c>
      <c r="AI1563">
        <v>76.563340428379803</v>
      </c>
      <c r="AJ1563">
        <v>113.95310898666099</v>
      </c>
      <c r="AK1563">
        <v>53.391034650981297</v>
      </c>
    </row>
    <row r="1564" spans="1:37" x14ac:dyDescent="0.2">
      <c r="A1564" t="str">
        <f>"20200111150620037"</f>
        <v>20200111150620037</v>
      </c>
      <c r="B1564" t="str">
        <f>"1578726380028309"</f>
        <v>1578726380028309</v>
      </c>
      <c r="C1564" t="s">
        <v>37</v>
      </c>
      <c r="D1564">
        <v>3.922418</v>
      </c>
      <c r="E1564">
        <v>0.40778120000000001</v>
      </c>
      <c r="F1564" t="s">
        <v>81</v>
      </c>
      <c r="G1564">
        <v>-448.1893</v>
      </c>
      <c r="H1564">
        <v>7.854438</v>
      </c>
      <c r="I1564">
        <v>119.395</v>
      </c>
      <c r="J1564">
        <v>-393.19959999999998</v>
      </c>
      <c r="K1564">
        <v>1.1067799999999901</v>
      </c>
      <c r="L1564">
        <v>140.85040000000001</v>
      </c>
      <c r="M1564">
        <v>-0.9964828</v>
      </c>
      <c r="N1564">
        <v>0</v>
      </c>
      <c r="O1564">
        <v>-8.2505190000000006E-2</v>
      </c>
      <c r="P1564">
        <v>-0.97752739999999905</v>
      </c>
      <c r="Q1564">
        <v>0.157964299999999</v>
      </c>
      <c r="R1564">
        <v>-0.13959830000000001</v>
      </c>
      <c r="S1564">
        <v>-2.85919199999999</v>
      </c>
      <c r="T1564">
        <v>0.34809329999999999</v>
      </c>
      <c r="U1564">
        <v>-1.1087340000000001</v>
      </c>
      <c r="V1564">
        <v>-5.9879439999999999E-2</v>
      </c>
      <c r="W1564">
        <v>0.17190929999999999</v>
      </c>
      <c r="X1564">
        <v>0.98329120000000003</v>
      </c>
      <c r="Y1564">
        <v>-0.28210930000000001</v>
      </c>
      <c r="Z1564">
        <v>6.8999319999999897E-3</v>
      </c>
      <c r="AA1564">
        <v>0.95935740000000003</v>
      </c>
      <c r="AB1564">
        <v>43</v>
      </c>
      <c r="AC1564">
        <v>-54.989699999999999</v>
      </c>
      <c r="AD1564">
        <v>6.7476580000000004</v>
      </c>
      <c r="AE1564">
        <v>-21.455400000000001</v>
      </c>
      <c r="AF1564">
        <v>-16.627526293619699</v>
      </c>
      <c r="AG1564">
        <v>6.7476580000000004</v>
      </c>
      <c r="AH1564">
        <v>55.842808438514901</v>
      </c>
      <c r="AI1564">
        <v>83.394095974830606</v>
      </c>
      <c r="AJ1564">
        <v>106.581211100357</v>
      </c>
      <c r="AK1564">
        <v>58.6551342461225</v>
      </c>
    </row>
    <row r="1565" spans="1:37" x14ac:dyDescent="0.2">
      <c r="A1565" t="str">
        <f>"20200111150620080"</f>
        <v>20200111150620080</v>
      </c>
      <c r="B1565" t="str">
        <f>"1578726380068325"</f>
        <v>1578726380068325</v>
      </c>
      <c r="C1565" t="s">
        <v>37</v>
      </c>
      <c r="D1565">
        <v>4.5583489999999998</v>
      </c>
      <c r="E1565">
        <v>0.44766220000000001</v>
      </c>
      <c r="F1565" t="s">
        <v>81</v>
      </c>
      <c r="G1565">
        <v>-446.2278</v>
      </c>
      <c r="H1565">
        <v>8.9340039999999998</v>
      </c>
      <c r="I1565">
        <v>119.395</v>
      </c>
      <c r="J1565">
        <v>-394.03339999999997</v>
      </c>
      <c r="K1565">
        <v>1.106865</v>
      </c>
      <c r="L1565">
        <v>140.77539999999999</v>
      </c>
      <c r="M1565">
        <v>-0.99597780000000002</v>
      </c>
      <c r="N1565">
        <v>0</v>
      </c>
      <c r="O1565">
        <v>-8.8393659999999999E-2</v>
      </c>
      <c r="P1565">
        <v>-0.97707949999999999</v>
      </c>
      <c r="Q1565">
        <v>0.15298239999999999</v>
      </c>
      <c r="R1565">
        <v>-0.14802689999999999</v>
      </c>
      <c r="S1565">
        <v>-2.8373110000000001</v>
      </c>
      <c r="T1565">
        <v>0.41880119999999998</v>
      </c>
      <c r="U1565">
        <v>-1.14798</v>
      </c>
      <c r="V1565">
        <v>-6.2481210000000002E-2</v>
      </c>
      <c r="W1565">
        <v>0.16689589999999899</v>
      </c>
      <c r="X1565">
        <v>0.9839928</v>
      </c>
      <c r="Y1565">
        <v>-0.28978530000000002</v>
      </c>
      <c r="Z1565">
        <v>8.0489930000000008E-3</v>
      </c>
      <c r="AA1565">
        <v>0.95705779999999996</v>
      </c>
      <c r="AB1565">
        <v>43</v>
      </c>
      <c r="AC1565">
        <v>-52.194400000000002</v>
      </c>
      <c r="AD1565">
        <v>7.8271389999999998</v>
      </c>
      <c r="AE1565">
        <v>-21.380399999999899</v>
      </c>
      <c r="AF1565">
        <v>-16.367353539990798</v>
      </c>
      <c r="AG1565">
        <v>7.8271389999999998</v>
      </c>
      <c r="AH1565">
        <v>52.862169779076098</v>
      </c>
      <c r="AI1565">
        <v>81.949357991229306</v>
      </c>
      <c r="AJ1565">
        <v>107.203737232653</v>
      </c>
      <c r="AK1565">
        <v>55.888848266718</v>
      </c>
    </row>
    <row r="1566" spans="1:37" x14ac:dyDescent="0.2">
      <c r="A1566" t="str">
        <f>"20200111150620102"</f>
        <v>20200111150620102</v>
      </c>
      <c r="B1566" t="str">
        <f>"1578726380098581"</f>
        <v>1578726380098581</v>
      </c>
      <c r="C1566" t="s">
        <v>37</v>
      </c>
      <c r="D1566">
        <v>4.4258199999999999</v>
      </c>
      <c r="E1566">
        <v>0.44338240000000001</v>
      </c>
      <c r="F1566" t="s">
        <v>78</v>
      </c>
      <c r="G1566">
        <v>-418.66079999999999</v>
      </c>
      <c r="H1566" s="1">
        <v>-7.3957589999999999E-6</v>
      </c>
      <c r="I1566">
        <v>133.53149999999999</v>
      </c>
      <c r="J1566">
        <v>-394.46039999999999</v>
      </c>
      <c r="K1566">
        <v>1.106995</v>
      </c>
      <c r="L1566">
        <v>140.73490000000001</v>
      </c>
      <c r="M1566">
        <v>-0.99568409999999996</v>
      </c>
      <c r="N1566">
        <v>0</v>
      </c>
      <c r="O1566">
        <v>-9.1643740000000001E-2</v>
      </c>
      <c r="P1566">
        <v>-0.97685270000000002</v>
      </c>
      <c r="Q1566">
        <v>0.15336340000000001</v>
      </c>
      <c r="R1566">
        <v>-0.149126799999999</v>
      </c>
      <c r="S1566">
        <v>-2.95932</v>
      </c>
      <c r="T1566">
        <v>-0.13300609999999999</v>
      </c>
      <c r="U1566">
        <v>-0.87045289999999997</v>
      </c>
      <c r="V1566">
        <v>-6.0428099999999901E-2</v>
      </c>
      <c r="W1566">
        <v>0.1672776</v>
      </c>
      <c r="X1566">
        <v>0.98405619999999905</v>
      </c>
      <c r="Y1566">
        <v>-0.19297549999999999</v>
      </c>
      <c r="Z1566">
        <v>-2.3012790000000001E-4</v>
      </c>
      <c r="AA1566">
        <v>0.98120359999999995</v>
      </c>
      <c r="AB1566">
        <v>43</v>
      </c>
      <c r="AC1566">
        <v>-24.200399999999998</v>
      </c>
      <c r="AD1566">
        <v>-1.1070023957590001</v>
      </c>
      <c r="AE1566">
        <v>-7.20340000000001</v>
      </c>
      <c r="AF1566">
        <v>-4.9455214158135803</v>
      </c>
      <c r="AG1566">
        <v>-1.1070023957590001</v>
      </c>
      <c r="AH1566">
        <v>24.711258354001799</v>
      </c>
      <c r="AI1566">
        <v>92.515182559290494</v>
      </c>
      <c r="AJ1566">
        <v>101.317221966039</v>
      </c>
      <c r="AK1566">
        <v>25.225580782545201</v>
      </c>
    </row>
    <row r="1567" spans="1:37" x14ac:dyDescent="0.2">
      <c r="A1567" t="str">
        <f>"20200111150620125"</f>
        <v>20200111150620125</v>
      </c>
      <c r="B1567" t="str">
        <f>"1578726380118101"</f>
        <v>1578726380118101</v>
      </c>
      <c r="C1567" t="s">
        <v>37</v>
      </c>
      <c r="D1567">
        <v>4.2322030000000002</v>
      </c>
      <c r="E1567">
        <v>0.44331549999999997</v>
      </c>
      <c r="F1567" t="s">
        <v>81</v>
      </c>
      <c r="G1567">
        <v>-462.14499999999998</v>
      </c>
      <c r="H1567">
        <v>1.932186</v>
      </c>
      <c r="I1567">
        <v>119.8177</v>
      </c>
      <c r="J1567">
        <v>-394.90179999999998</v>
      </c>
      <c r="K1567">
        <v>1.1072150000000001</v>
      </c>
      <c r="L1567">
        <v>140.69139999999999</v>
      </c>
      <c r="M1567">
        <v>-0.99534089999999997</v>
      </c>
      <c r="N1567">
        <v>0</v>
      </c>
      <c r="O1567">
        <v>-9.5298099999999997E-2</v>
      </c>
      <c r="P1567">
        <v>-0.97617710000000002</v>
      </c>
      <c r="Q1567">
        <v>0.157254</v>
      </c>
      <c r="R1567">
        <v>-0.14949770000000001</v>
      </c>
      <c r="S1567">
        <v>-2.9273989999999999</v>
      </c>
      <c r="T1567">
        <v>3.5691140000000003E-2</v>
      </c>
      <c r="U1567">
        <v>-0.90467830000000005</v>
      </c>
      <c r="V1567">
        <v>-5.7356289999999997E-2</v>
      </c>
      <c r="W1567">
        <v>0.17116519999999999</v>
      </c>
      <c r="X1567">
        <v>0.98357139999999998</v>
      </c>
      <c r="Y1567">
        <v>-0.202849799999999</v>
      </c>
      <c r="Z1567" s="1">
        <v>7.8222019999999999E-5</v>
      </c>
      <c r="AA1567">
        <v>0.97920980000000002</v>
      </c>
      <c r="AB1567">
        <v>43</v>
      </c>
      <c r="AC1567">
        <v>-67.243200000000002</v>
      </c>
      <c r="AD1567">
        <v>0.82497099999999901</v>
      </c>
      <c r="AE1567">
        <v>-20.8736999999999</v>
      </c>
      <c r="AF1567">
        <v>-14.367868787715199</v>
      </c>
      <c r="AG1567">
        <v>0.82497099999999901</v>
      </c>
      <c r="AH1567">
        <v>68.917071690384603</v>
      </c>
      <c r="AI1567">
        <v>89.328608472735297</v>
      </c>
      <c r="AJ1567">
        <v>101.776372541478</v>
      </c>
      <c r="AK1567">
        <v>70.403685990361794</v>
      </c>
    </row>
    <row r="1568" spans="1:37" x14ac:dyDescent="0.2">
      <c r="A1568" t="str">
        <f>"20200111150620147"</f>
        <v>20200111150620147</v>
      </c>
      <c r="B1568" t="str">
        <f>"1578726380137621"</f>
        <v>1578726380137621</v>
      </c>
      <c r="C1568" t="s">
        <v>37</v>
      </c>
      <c r="D1568">
        <v>4.528073</v>
      </c>
      <c r="E1568">
        <v>0.44467640000000003</v>
      </c>
      <c r="F1568" t="s">
        <v>81</v>
      </c>
      <c r="G1568">
        <v>-462.17070000000001</v>
      </c>
      <c r="H1568">
        <v>2.2472349999999999</v>
      </c>
      <c r="I1568">
        <v>119.8177</v>
      </c>
      <c r="J1568">
        <v>-395.31810000000002</v>
      </c>
      <c r="K1568">
        <v>1.1075109999999999</v>
      </c>
      <c r="L1568">
        <v>140.64850000000001</v>
      </c>
      <c r="M1568">
        <v>-0.99496870000000004</v>
      </c>
      <c r="N1568">
        <v>0</v>
      </c>
      <c r="O1568">
        <v>-9.9109169999999996E-2</v>
      </c>
      <c r="P1568">
        <v>-0.97500450000000005</v>
      </c>
      <c r="Q1568">
        <v>0.1642827</v>
      </c>
      <c r="R1568">
        <v>-0.14959149999999999</v>
      </c>
      <c r="S1568">
        <v>-2.9262079999999999</v>
      </c>
      <c r="T1568">
        <v>4.959214E-2</v>
      </c>
      <c r="U1568">
        <v>-0.90800479999999995</v>
      </c>
      <c r="V1568">
        <v>-5.3969940000000001E-2</v>
      </c>
      <c r="W1568">
        <v>0.17818429999999999</v>
      </c>
      <c r="X1568">
        <v>0.9825159</v>
      </c>
      <c r="Y1568">
        <v>-0.20022129999999999</v>
      </c>
      <c r="Z1568" s="1">
        <v>2.4548379999999999E-5</v>
      </c>
      <c r="AA1568">
        <v>0.97975069999999997</v>
      </c>
      <c r="AB1568">
        <v>43</v>
      </c>
      <c r="AC1568">
        <v>-66.852599999999995</v>
      </c>
      <c r="AD1568">
        <v>1.13972399999999</v>
      </c>
      <c r="AE1568">
        <v>-20.8308</v>
      </c>
      <c r="AF1568">
        <v>-14.0980670052523</v>
      </c>
      <c r="AG1568">
        <v>1.13972399999999</v>
      </c>
      <c r="AH1568">
        <v>68.569963924025103</v>
      </c>
      <c r="AI1568">
        <v>89.067262296231604</v>
      </c>
      <c r="AJ1568">
        <v>101.618179424994</v>
      </c>
      <c r="AK1568">
        <v>70.013530239681998</v>
      </c>
    </row>
    <row r="1569" spans="1:37" x14ac:dyDescent="0.2">
      <c r="A1569" t="str">
        <f>"20200111150620168"</f>
        <v>20200111150620168</v>
      </c>
      <c r="B1569" t="str">
        <f>"1578726380158117"</f>
        <v>1578726380158117</v>
      </c>
      <c r="C1569" t="s">
        <v>37</v>
      </c>
      <c r="D1569">
        <v>4.4873389999999898</v>
      </c>
      <c r="E1569">
        <v>0.44564709999999902</v>
      </c>
      <c r="F1569" t="s">
        <v>81</v>
      </c>
      <c r="G1569">
        <v>-463.33359999999999</v>
      </c>
      <c r="H1569">
        <v>1.5190079999999999</v>
      </c>
      <c r="I1569">
        <v>119.8177</v>
      </c>
      <c r="J1569">
        <v>-395.72910000000002</v>
      </c>
      <c r="K1569">
        <v>1.1078629999999901</v>
      </c>
      <c r="L1569">
        <v>140.60419999999999</v>
      </c>
      <c r="M1569">
        <v>-0.994542499999999</v>
      </c>
      <c r="N1569">
        <v>0</v>
      </c>
      <c r="O1569">
        <v>-0.103294699999999</v>
      </c>
      <c r="P1569">
        <v>-0.97408090000000003</v>
      </c>
      <c r="Q1569">
        <v>0.16800029999999999</v>
      </c>
      <c r="R1569">
        <v>-0.1514674</v>
      </c>
      <c r="S1569">
        <v>-2.9359739999999999</v>
      </c>
      <c r="T1569">
        <v>1.776397E-2</v>
      </c>
      <c r="U1569">
        <v>-0.89918519999999902</v>
      </c>
      <c r="V1569">
        <v>-5.1971469999999999E-2</v>
      </c>
      <c r="W1569">
        <v>0.18188689999999999</v>
      </c>
      <c r="X1569">
        <v>0.98194509999999902</v>
      </c>
      <c r="Y1569">
        <v>-0.1924932</v>
      </c>
      <c r="Z1569" s="1">
        <v>-3.8590400000000002E-5</v>
      </c>
      <c r="AA1569">
        <v>0.98129829999999996</v>
      </c>
      <c r="AB1569">
        <v>43</v>
      </c>
      <c r="AC1569">
        <v>-67.604499999999902</v>
      </c>
      <c r="AD1569">
        <v>0.41114499999999998</v>
      </c>
      <c r="AE1569">
        <v>-20.786499999999901</v>
      </c>
      <c r="AF1569">
        <v>-13.690883273271</v>
      </c>
      <c r="AG1569">
        <v>0.41114499999999998</v>
      </c>
      <c r="AH1569">
        <v>69.387813443076595</v>
      </c>
      <c r="AI1569">
        <v>89.666929491176703</v>
      </c>
      <c r="AJ1569">
        <v>101.161637542847</v>
      </c>
      <c r="AK1569">
        <v>70.726784031401905</v>
      </c>
    </row>
    <row r="1570" spans="1:37" x14ac:dyDescent="0.2">
      <c r="A1570" t="str">
        <f>"20200111150620192"</f>
        <v>20200111150620192</v>
      </c>
      <c r="B1570" t="str">
        <f>"1578726380188373"</f>
        <v>1578726380188373</v>
      </c>
      <c r="C1570" t="s">
        <v>37</v>
      </c>
      <c r="D1570">
        <v>4.2556820000000002</v>
      </c>
      <c r="E1570">
        <v>0.44653019999999999</v>
      </c>
      <c r="F1570" t="s">
        <v>81</v>
      </c>
      <c r="G1570">
        <v>-465.16739999999999</v>
      </c>
      <c r="H1570">
        <v>1.5184139999999999</v>
      </c>
      <c r="I1570">
        <v>119.395</v>
      </c>
      <c r="J1570">
        <v>-396.16309999999999</v>
      </c>
      <c r="K1570">
        <v>1.108274</v>
      </c>
      <c r="L1570">
        <v>140.55529999999999</v>
      </c>
      <c r="M1570">
        <v>-0.99401830000000002</v>
      </c>
      <c r="N1570">
        <v>0</v>
      </c>
      <c r="O1570">
        <v>-0.10821989999999899</v>
      </c>
      <c r="P1570">
        <v>-0.9736785</v>
      </c>
      <c r="Q1570">
        <v>0.16772679999999901</v>
      </c>
      <c r="R1570">
        <v>-0.15433189999999999</v>
      </c>
      <c r="S1570">
        <v>-2.93731699999999</v>
      </c>
      <c r="T1570">
        <v>1.7367960000000002E-2</v>
      </c>
      <c r="U1570">
        <v>-0.89717099999999905</v>
      </c>
      <c r="V1570">
        <v>-5.0167610000000001E-2</v>
      </c>
      <c r="W1570">
        <v>0.18160699999999999</v>
      </c>
      <c r="X1570">
        <v>0.98209069999999898</v>
      </c>
      <c r="Y1570">
        <v>-0.18688850000000001</v>
      </c>
      <c r="Z1570" s="1">
        <v>-8.2056269999999994E-5</v>
      </c>
      <c r="AA1570">
        <v>0.98238110000000001</v>
      </c>
      <c r="AB1570">
        <v>43</v>
      </c>
      <c r="AC1570">
        <v>-69.004300000000001</v>
      </c>
      <c r="AD1570">
        <v>0.41013999999999901</v>
      </c>
      <c r="AE1570">
        <v>-21.1602999999999</v>
      </c>
      <c r="AF1570">
        <v>-13.567114759927501</v>
      </c>
      <c r="AG1570">
        <v>0.41013999999999901</v>
      </c>
      <c r="AH1570">
        <v>70.886872538760599</v>
      </c>
      <c r="AI1570">
        <v>89.674409092594701</v>
      </c>
      <c r="AJ1570">
        <v>100.834873148876</v>
      </c>
      <c r="AK1570">
        <v>72.174673647028897</v>
      </c>
    </row>
    <row r="1571" spans="1:37" x14ac:dyDescent="0.2">
      <c r="A1571" t="str">
        <f>"20200111150620214"</f>
        <v>20200111150620214</v>
      </c>
      <c r="B1571" t="str">
        <f>"1578726380207895"</f>
        <v>1578726380207895</v>
      </c>
      <c r="C1571" t="s">
        <v>37</v>
      </c>
      <c r="D1571">
        <v>6.7947340000000001</v>
      </c>
      <c r="E1571">
        <v>0.40483219999999998</v>
      </c>
      <c r="F1571" t="s">
        <v>81</v>
      </c>
      <c r="G1571">
        <v>-465.3698</v>
      </c>
      <c r="H1571">
        <v>0.87056060000000002</v>
      </c>
      <c r="I1571">
        <v>119.395</v>
      </c>
      <c r="J1571">
        <v>-396.59050000000002</v>
      </c>
      <c r="K1571">
        <v>1.108716</v>
      </c>
      <c r="L1571">
        <v>140.5042</v>
      </c>
      <c r="M1571">
        <v>-0.99340839999999997</v>
      </c>
      <c r="N1571">
        <v>0</v>
      </c>
      <c r="O1571">
        <v>-0.113678399999999</v>
      </c>
      <c r="P1571">
        <v>-0.97314509999999899</v>
      </c>
      <c r="Q1571">
        <v>0.1661087</v>
      </c>
      <c r="R1571">
        <v>-0.15936310000000001</v>
      </c>
      <c r="S1571">
        <v>-2.9403380000000001</v>
      </c>
      <c r="T1571">
        <v>-1.009846E-2</v>
      </c>
      <c r="U1571">
        <v>-0.89901730000000002</v>
      </c>
      <c r="V1571">
        <v>-5.0000259999999998E-2</v>
      </c>
      <c r="W1571">
        <v>0.1799703</v>
      </c>
      <c r="X1571">
        <v>0.98240049999999901</v>
      </c>
      <c r="Y1571">
        <v>-0.18177279999999901</v>
      </c>
      <c r="Z1571" s="1">
        <v>7.4341719999999995E-5</v>
      </c>
      <c r="AA1571">
        <v>0.98334059999999901</v>
      </c>
      <c r="AB1571">
        <v>43</v>
      </c>
      <c r="AC1571">
        <v>-68.779299999999907</v>
      </c>
      <c r="AD1571">
        <v>-0.23815539999999999</v>
      </c>
      <c r="AE1571">
        <v>-21.109200000000001</v>
      </c>
      <c r="AF1571">
        <v>-13.1526186698598</v>
      </c>
      <c r="AG1571">
        <v>-0.23815539999999999</v>
      </c>
      <c r="AH1571">
        <v>70.732493389746793</v>
      </c>
      <c r="AI1571">
        <v>90.189662344722095</v>
      </c>
      <c r="AJ1571">
        <v>100.53376965170401</v>
      </c>
      <c r="AK1571">
        <v>71.945352296029995</v>
      </c>
    </row>
    <row r="1572" spans="1:37" x14ac:dyDescent="0.2">
      <c r="A1572" t="str">
        <f>"20200111150620237"</f>
        <v>20200111150620237</v>
      </c>
      <c r="B1572" t="str">
        <f>"1578726380228389"</f>
        <v>1578726380228389</v>
      </c>
      <c r="C1572" t="s">
        <v>37</v>
      </c>
      <c r="D1572">
        <v>4.6965149999999998</v>
      </c>
      <c r="E1572">
        <v>0.30672059999999901</v>
      </c>
      <c r="F1572" t="s">
        <v>81</v>
      </c>
      <c r="G1572">
        <v>-444.65170000000001</v>
      </c>
      <c r="H1572">
        <v>10.166839999999899</v>
      </c>
      <c r="I1572">
        <v>119.395</v>
      </c>
      <c r="J1572">
        <v>-397.01780000000002</v>
      </c>
      <c r="K1572">
        <v>1.109186</v>
      </c>
      <c r="L1572">
        <v>140.4503</v>
      </c>
      <c r="M1572">
        <v>-0.99269869999999905</v>
      </c>
      <c r="N1572">
        <v>0</v>
      </c>
      <c r="O1572">
        <v>-0.1197136</v>
      </c>
      <c r="P1572">
        <v>-0.97219290000000003</v>
      </c>
      <c r="Q1572">
        <v>0.16419619999999999</v>
      </c>
      <c r="R1572">
        <v>-0.16697419999999999</v>
      </c>
      <c r="S1572">
        <v>-2.79211399999999</v>
      </c>
      <c r="T1572">
        <v>0.52623160000000002</v>
      </c>
      <c r="U1572">
        <v>-1.226334</v>
      </c>
      <c r="V1572">
        <v>-5.1869779999999997E-2</v>
      </c>
      <c r="W1572">
        <v>0.17801210000000001</v>
      </c>
      <c r="X1572">
        <v>0.98266030000000004</v>
      </c>
      <c r="Y1572">
        <v>-0.28717379999999998</v>
      </c>
      <c r="Z1572">
        <v>4.4366140000000002E-3</v>
      </c>
      <c r="AA1572">
        <v>0.95786819999999895</v>
      </c>
      <c r="AB1572">
        <v>43</v>
      </c>
      <c r="AC1572">
        <v>-47.633899999999898</v>
      </c>
      <c r="AD1572">
        <v>9.0576539999999994</v>
      </c>
      <c r="AE1572">
        <v>-21.055299999999999</v>
      </c>
      <c r="AF1572">
        <v>-14.7545107395015</v>
      </c>
      <c r="AG1572">
        <v>9.0576539999999994</v>
      </c>
      <c r="AH1572">
        <v>48.349681141322698</v>
      </c>
      <c r="AI1572">
        <v>79.841590499460693</v>
      </c>
      <c r="AJ1572">
        <v>106.970224928805</v>
      </c>
      <c r="AK1572">
        <v>51.355898878447803</v>
      </c>
    </row>
    <row r="1573" spans="1:37" x14ac:dyDescent="0.2">
      <c r="A1573" t="str">
        <f>"20200111150620258"</f>
        <v>20200111150620258</v>
      </c>
      <c r="B1573" t="str">
        <f>"1578726380247908"</f>
        <v>1578726380247908</v>
      </c>
      <c r="C1573" t="s">
        <v>37</v>
      </c>
      <c r="D1573">
        <v>4.2606299999999999</v>
      </c>
      <c r="E1573">
        <v>0.38908209999999999</v>
      </c>
      <c r="F1573" t="s">
        <v>81</v>
      </c>
      <c r="G1573">
        <v>-440.20710000000003</v>
      </c>
      <c r="H1573">
        <v>11.819989999999899</v>
      </c>
      <c r="I1573">
        <v>107.3467</v>
      </c>
      <c r="J1573">
        <v>-397.4203</v>
      </c>
      <c r="K1573">
        <v>1.109621</v>
      </c>
      <c r="L1573">
        <v>140.39680000000001</v>
      </c>
      <c r="M1573">
        <v>-0.99193690000000001</v>
      </c>
      <c r="N1573">
        <v>0</v>
      </c>
      <c r="O1573">
        <v>-0.125866899999999</v>
      </c>
      <c r="P1573">
        <v>-0.97133939999999996</v>
      </c>
      <c r="Q1573">
        <v>0.16008900000000001</v>
      </c>
      <c r="R1573">
        <v>-0.1757029</v>
      </c>
      <c r="S1573">
        <v>-2.6295169999999999</v>
      </c>
      <c r="T1573">
        <v>0.65211019999999997</v>
      </c>
      <c r="U1573">
        <v>-2.0154570000000001</v>
      </c>
      <c r="V1573">
        <v>-5.4658520000000002E-2</v>
      </c>
      <c r="W1573">
        <v>0.173851799999999</v>
      </c>
      <c r="X1573">
        <v>0.98325379999999996</v>
      </c>
      <c r="Y1573">
        <v>-0.49662780000000001</v>
      </c>
      <c r="Z1573">
        <v>2.6923889999999999E-2</v>
      </c>
      <c r="AA1573">
        <v>0.86754599999999904</v>
      </c>
      <c r="AB1573">
        <v>43</v>
      </c>
      <c r="AC1573">
        <v>-42.786799999999999</v>
      </c>
      <c r="AD1573">
        <v>10.710368999999901</v>
      </c>
      <c r="AE1573">
        <v>-33.0501</v>
      </c>
      <c r="AF1573">
        <v>-26.366434801141398</v>
      </c>
      <c r="AG1573">
        <v>10.710368999999901</v>
      </c>
      <c r="AH1573">
        <v>44.846831459215103</v>
      </c>
      <c r="AI1573">
        <v>78.366701148561503</v>
      </c>
      <c r="AJ1573">
        <v>120.452203330003</v>
      </c>
      <c r="AK1573">
        <v>53.114397108225198</v>
      </c>
    </row>
    <row r="1574" spans="1:37" x14ac:dyDescent="0.2">
      <c r="A1574" t="str">
        <f>"20200111150620281"</f>
        <v>20200111150620281</v>
      </c>
      <c r="B1574" t="str">
        <f>"1578726380278165"</f>
        <v>1578726380278165</v>
      </c>
      <c r="C1574" t="s">
        <v>37</v>
      </c>
      <c r="D1574">
        <v>4.7689699999999897</v>
      </c>
      <c r="E1574">
        <v>0.33139190000000002</v>
      </c>
      <c r="F1574" t="s">
        <v>78</v>
      </c>
      <c r="G1574">
        <v>-429.59399999999999</v>
      </c>
      <c r="H1574" s="1">
        <v>-5.1989850000000003E-6</v>
      </c>
      <c r="I1574">
        <v>124.4046</v>
      </c>
      <c r="J1574">
        <v>-397.83920000000001</v>
      </c>
      <c r="K1574">
        <v>1.1100669999999999</v>
      </c>
      <c r="L1574">
        <v>140.3382</v>
      </c>
      <c r="M1574">
        <v>-0.99103829999999904</v>
      </c>
      <c r="N1574">
        <v>0</v>
      </c>
      <c r="O1574">
        <v>-0.1327525</v>
      </c>
      <c r="P1574">
        <v>-0.970470099999999</v>
      </c>
      <c r="Q1574">
        <v>0.15608279999999999</v>
      </c>
      <c r="R1574">
        <v>-0.183918</v>
      </c>
      <c r="S1574">
        <v>-2.8486020000000001</v>
      </c>
      <c r="T1574">
        <v>-9.8244429999999994E-2</v>
      </c>
      <c r="U1574">
        <v>-1.415924</v>
      </c>
      <c r="V1574">
        <v>-5.6199499999999999E-2</v>
      </c>
      <c r="W1574">
        <v>0.1698054</v>
      </c>
      <c r="X1574">
        <v>0.98387380000000002</v>
      </c>
      <c r="Y1574">
        <v>-0.32218619999999998</v>
      </c>
      <c r="Z1574">
        <v>-9.6562500000000001E-4</v>
      </c>
      <c r="AA1574">
        <v>0.94667579999999996</v>
      </c>
      <c r="AB1574">
        <v>43</v>
      </c>
      <c r="AC1574">
        <v>-31.7547999999999</v>
      </c>
      <c r="AD1574">
        <v>-1.110072198985</v>
      </c>
      <c r="AE1574">
        <v>-15.933599999999901</v>
      </c>
      <c r="AF1574">
        <v>-11.5652609497124</v>
      </c>
      <c r="AG1574">
        <v>-1.110072198985</v>
      </c>
      <c r="AH1574">
        <v>33.556381730712502</v>
      </c>
      <c r="AI1574">
        <v>91.791364342410105</v>
      </c>
      <c r="AJ1574">
        <v>109.016594281736</v>
      </c>
      <c r="AK1574">
        <v>35.510819139794499</v>
      </c>
    </row>
    <row r="1575" spans="1:37" x14ac:dyDescent="0.2">
      <c r="A1575" t="str">
        <f>"20200111150620303"</f>
        <v>20200111150620303</v>
      </c>
      <c r="B1575" t="str">
        <f>"1578726380297684"</f>
        <v>1578726380297684</v>
      </c>
      <c r="C1575" t="s">
        <v>37</v>
      </c>
      <c r="D1575">
        <v>4.3443889999999996</v>
      </c>
      <c r="E1575">
        <v>0.39736320000000003</v>
      </c>
      <c r="F1575" t="s">
        <v>81</v>
      </c>
      <c r="G1575">
        <v>-440.75</v>
      </c>
      <c r="H1575">
        <v>7.4799199999999999</v>
      </c>
      <c r="I1575">
        <v>110.2205</v>
      </c>
      <c r="J1575">
        <v>-398.25290000000001</v>
      </c>
      <c r="K1575">
        <v>1.110509</v>
      </c>
      <c r="L1575">
        <v>140.27709999999999</v>
      </c>
      <c r="M1575">
        <v>-0.990035199999999</v>
      </c>
      <c r="N1575">
        <v>0</v>
      </c>
      <c r="O1575">
        <v>-0.14003260000000001</v>
      </c>
      <c r="P1575">
        <v>-0.96911449999999999</v>
      </c>
      <c r="Q1575">
        <v>0.15538199999999999</v>
      </c>
      <c r="R1575">
        <v>-0.191502799999999</v>
      </c>
      <c r="S1575">
        <v>-2.6720890000000002</v>
      </c>
      <c r="T1575">
        <v>0.396655599999999</v>
      </c>
      <c r="U1575">
        <v>-1.875443</v>
      </c>
      <c r="V1575">
        <v>-5.6824649999999997E-2</v>
      </c>
      <c r="W1575">
        <v>0.16906949999999901</v>
      </c>
      <c r="X1575">
        <v>0.98396469999999903</v>
      </c>
      <c r="Y1575">
        <v>-0.4519473</v>
      </c>
      <c r="Z1575">
        <v>1.168315E-2</v>
      </c>
      <c r="AA1575">
        <v>0.89196810000000004</v>
      </c>
      <c r="AB1575">
        <v>43</v>
      </c>
      <c r="AC1575">
        <v>-42.497099999999897</v>
      </c>
      <c r="AD1575">
        <v>6.3694110000000004</v>
      </c>
      <c r="AE1575">
        <v>-30.0565999999999</v>
      </c>
      <c r="AF1575">
        <v>-23.4575033977172</v>
      </c>
      <c r="AG1575">
        <v>6.3694110000000004</v>
      </c>
      <c r="AH1575">
        <v>45.604782019093399</v>
      </c>
      <c r="AI1575">
        <v>82.920190127858703</v>
      </c>
      <c r="AJ1575">
        <v>117.219703683156</v>
      </c>
      <c r="AK1575">
        <v>51.678041808391498</v>
      </c>
    </row>
    <row r="1576" spans="1:37" x14ac:dyDescent="0.2">
      <c r="A1576" t="str">
        <f>"20200111150620325"</f>
        <v>20200111150620325</v>
      </c>
      <c r="B1576" t="str">
        <f>"1578726380318181"</f>
        <v>1578726380318181</v>
      </c>
      <c r="C1576" t="s">
        <v>37</v>
      </c>
      <c r="D1576">
        <v>5.9936590000000001</v>
      </c>
      <c r="E1576">
        <v>0.35191220000000001</v>
      </c>
      <c r="F1576" t="s">
        <v>78</v>
      </c>
      <c r="G1576">
        <v>-417.5369</v>
      </c>
      <c r="H1576" s="1">
        <v>-6.34068599999999E-6</v>
      </c>
      <c r="I1576">
        <v>130.78100000000001</v>
      </c>
      <c r="J1576">
        <v>-398.68049999999999</v>
      </c>
      <c r="K1576">
        <v>1.110989</v>
      </c>
      <c r="L1576">
        <v>140.2105</v>
      </c>
      <c r="M1576">
        <v>-0.98886779999999996</v>
      </c>
      <c r="N1576">
        <v>0</v>
      </c>
      <c r="O1576">
        <v>-0.1480495</v>
      </c>
      <c r="P1576">
        <v>-0.96724489999999996</v>
      </c>
      <c r="Q1576">
        <v>0.15667779999999901</v>
      </c>
      <c r="R1576">
        <v>-0.1997245</v>
      </c>
      <c r="S1576">
        <v>-2.8450319999999998</v>
      </c>
      <c r="T1576">
        <v>-0.1638385</v>
      </c>
      <c r="U1576">
        <v>-1.4010009999999999</v>
      </c>
      <c r="V1576">
        <v>-5.7459530000000002E-2</v>
      </c>
      <c r="W1576">
        <v>0.17032369999999999</v>
      </c>
      <c r="X1576">
        <v>0.98371149999999996</v>
      </c>
      <c r="Y1576">
        <v>-0.30386970000000002</v>
      </c>
      <c r="Z1576">
        <v>-3.0115200000000001E-4</v>
      </c>
      <c r="AA1576">
        <v>0.95271349999999999</v>
      </c>
      <c r="AB1576">
        <v>43</v>
      </c>
      <c r="AC1576">
        <v>-18.856400000000001</v>
      </c>
      <c r="AD1576">
        <v>-1.110995340686</v>
      </c>
      <c r="AE1576">
        <v>-9.4294999999999902</v>
      </c>
      <c r="AF1576">
        <v>-6.5154796413604199</v>
      </c>
      <c r="AG1576">
        <v>-1.110995340686</v>
      </c>
      <c r="AH1576">
        <v>19.989233101572701</v>
      </c>
      <c r="AI1576">
        <v>93.024890818396003</v>
      </c>
      <c r="AJ1576">
        <v>108.05335060749501</v>
      </c>
      <c r="AK1576">
        <v>21.053627373757202</v>
      </c>
    </row>
    <row r="1577" spans="1:37" x14ac:dyDescent="0.2">
      <c r="A1577" t="str">
        <f>"20200111150620348"</f>
        <v>20200111150620348</v>
      </c>
      <c r="B1577" t="str">
        <f>"1578726380337700"</f>
        <v>1578726380337700</v>
      </c>
      <c r="C1577" t="s">
        <v>37</v>
      </c>
      <c r="D1577">
        <v>4.6510629999999997</v>
      </c>
      <c r="E1577">
        <v>0.34717979999999998</v>
      </c>
      <c r="F1577" t="s">
        <v>81</v>
      </c>
      <c r="G1577">
        <v>-439.84660000000002</v>
      </c>
      <c r="H1577">
        <v>6.9742860000000002</v>
      </c>
      <c r="I1577">
        <v>113.1481</v>
      </c>
      <c r="J1577">
        <v>-399.09719999999999</v>
      </c>
      <c r="K1577">
        <v>1.111462</v>
      </c>
      <c r="L1577">
        <v>140.14189999999999</v>
      </c>
      <c r="M1577">
        <v>-0.98759169999999996</v>
      </c>
      <c r="N1577">
        <v>0</v>
      </c>
      <c r="O1577">
        <v>-0.15633089999999999</v>
      </c>
      <c r="P1577">
        <v>-0.96523799999999904</v>
      </c>
      <c r="Q1577">
        <v>0.1575483</v>
      </c>
      <c r="R1577">
        <v>-0.20855309999999999</v>
      </c>
      <c r="S1577">
        <v>-2.6764830000000002</v>
      </c>
      <c r="T1577">
        <v>0.38121319999999997</v>
      </c>
      <c r="U1577">
        <v>-1.759506</v>
      </c>
      <c r="V1577">
        <v>-5.8440770000000003E-2</v>
      </c>
      <c r="W1577">
        <v>0.1711482</v>
      </c>
      <c r="X1577">
        <v>0.98351060000000001</v>
      </c>
      <c r="Y1577">
        <v>-0.4101688</v>
      </c>
      <c r="Z1577">
        <v>6.58830599999999E-3</v>
      </c>
      <c r="AA1577">
        <v>0.91198579999999996</v>
      </c>
      <c r="AB1577">
        <v>43</v>
      </c>
      <c r="AC1577">
        <v>-40.749400000000001</v>
      </c>
      <c r="AD1577">
        <v>5.8628239999999998</v>
      </c>
      <c r="AE1577">
        <v>-26.9938</v>
      </c>
      <c r="AF1577">
        <v>-20.002948889662999</v>
      </c>
      <c r="AG1577">
        <v>5.8628239999999998</v>
      </c>
      <c r="AH1577">
        <v>43.8380092127273</v>
      </c>
      <c r="AI1577">
        <v>83.062878192225199</v>
      </c>
      <c r="AJ1577">
        <v>114.526851953044</v>
      </c>
      <c r="AK1577">
        <v>48.541340332469296</v>
      </c>
    </row>
    <row r="1578" spans="1:37" x14ac:dyDescent="0.2">
      <c r="A1578" t="str">
        <f>"20200111150620371"</f>
        <v>20200111150620371</v>
      </c>
      <c r="B1578" t="str">
        <f>"1578726380367956"</f>
        <v>1578726380367956</v>
      </c>
      <c r="C1578" t="s">
        <v>37</v>
      </c>
      <c r="D1578">
        <v>5.7933699999999897</v>
      </c>
      <c r="E1578">
        <v>0.38062800000000002</v>
      </c>
      <c r="F1578" t="s">
        <v>81</v>
      </c>
      <c r="G1578">
        <v>-440.75</v>
      </c>
      <c r="H1578">
        <v>7.1551259999999903</v>
      </c>
      <c r="I1578">
        <v>111.54049999999999</v>
      </c>
      <c r="J1578">
        <v>-399.52550000000002</v>
      </c>
      <c r="K1578">
        <v>1.111953</v>
      </c>
      <c r="L1578">
        <v>140.0675</v>
      </c>
      <c r="M1578">
        <v>-0.98612649999999902</v>
      </c>
      <c r="N1578">
        <v>0</v>
      </c>
      <c r="O1578">
        <v>-0.16531770000000001</v>
      </c>
      <c r="P1578">
        <v>-0.96298340000000004</v>
      </c>
      <c r="Q1578">
        <v>0.15815029999999999</v>
      </c>
      <c r="R1578">
        <v>-0.21829319999999999</v>
      </c>
      <c r="S1578">
        <v>-2.6518549999999999</v>
      </c>
      <c r="T1578">
        <v>0.384774</v>
      </c>
      <c r="U1578">
        <v>-1.8209229999999901</v>
      </c>
      <c r="V1578">
        <v>-5.965707E-2</v>
      </c>
      <c r="W1578">
        <v>0.17169879999999901</v>
      </c>
      <c r="X1578">
        <v>0.98334149999999998</v>
      </c>
      <c r="Y1578">
        <v>-0.42019449999999903</v>
      </c>
      <c r="Z1578">
        <v>6.1906130000000002E-3</v>
      </c>
      <c r="AA1578">
        <v>0.90741289999999997</v>
      </c>
      <c r="AB1578">
        <v>43</v>
      </c>
      <c r="AC1578">
        <v>-41.2244999999999</v>
      </c>
      <c r="AD1578">
        <v>6.0431730000000003</v>
      </c>
      <c r="AE1578">
        <v>-28.527000000000001</v>
      </c>
      <c r="AF1578">
        <v>-21.013143874201401</v>
      </c>
      <c r="AG1578">
        <v>6.0431730000000003</v>
      </c>
      <c r="AH1578">
        <v>44.723805183829199</v>
      </c>
      <c r="AI1578">
        <v>83.027573399556303</v>
      </c>
      <c r="AJ1578">
        <v>115.166132147106</v>
      </c>
      <c r="AK1578">
        <v>49.7824357128789</v>
      </c>
    </row>
    <row r="1579" spans="1:37" x14ac:dyDescent="0.2">
      <c r="A1579" t="str">
        <f>"20200111150620394"</f>
        <v>20200111150620394</v>
      </c>
      <c r="B1579" t="str">
        <f>"1578726380388454"</f>
        <v>1578726380388454</v>
      </c>
      <c r="C1579" t="s">
        <v>37</v>
      </c>
      <c r="D1579">
        <v>4.4459869999999997</v>
      </c>
      <c r="E1579">
        <v>0.303172</v>
      </c>
      <c r="F1579" t="s">
        <v>81</v>
      </c>
      <c r="G1579">
        <v>-440.75</v>
      </c>
      <c r="H1579">
        <v>2.6280199999999998</v>
      </c>
      <c r="I1579">
        <v>115.9593</v>
      </c>
      <c r="J1579">
        <v>-399.93860000000001</v>
      </c>
      <c r="K1579">
        <v>1.112428</v>
      </c>
      <c r="L1579">
        <v>139.9914</v>
      </c>
      <c r="M1579">
        <v>-0.98454609999999998</v>
      </c>
      <c r="N1579">
        <v>0</v>
      </c>
      <c r="O1579">
        <v>-0.17447979999999999</v>
      </c>
      <c r="P1579">
        <v>-0.96034459999999999</v>
      </c>
      <c r="Q1579">
        <v>0.15968289999999999</v>
      </c>
      <c r="R1579">
        <v>-0.22856089999999901</v>
      </c>
      <c r="S1579">
        <v>-2.7361149999999999</v>
      </c>
      <c r="T1579">
        <v>0.1006242</v>
      </c>
      <c r="U1579">
        <v>-1.600082</v>
      </c>
      <c r="V1579">
        <v>-6.1293799999999898E-2</v>
      </c>
      <c r="W1579">
        <v>0.1731704</v>
      </c>
      <c r="X1579">
        <v>0.98298280000000005</v>
      </c>
      <c r="Y1579">
        <v>-0.34635290000000002</v>
      </c>
      <c r="Z1579" s="1">
        <v>4.6517229999999998E-5</v>
      </c>
      <c r="AA1579">
        <v>0.9381043</v>
      </c>
      <c r="AB1579">
        <v>42</v>
      </c>
      <c r="AC1579">
        <v>-40.8113999999999</v>
      </c>
      <c r="AD1579">
        <v>1.5155920000000001</v>
      </c>
      <c r="AE1579">
        <v>-24.0321</v>
      </c>
      <c r="AF1579">
        <v>-16.524890880429702</v>
      </c>
      <c r="AG1579">
        <v>1.5155920000000001</v>
      </c>
      <c r="AH1579">
        <v>44.333431973859597</v>
      </c>
      <c r="AI1579">
        <v>88.165256067221506</v>
      </c>
      <c r="AJ1579">
        <v>110.44249066387501</v>
      </c>
      <c r="AK1579">
        <v>47.337323839665999</v>
      </c>
    </row>
    <row r="1580" spans="1:37" x14ac:dyDescent="0.2">
      <c r="A1580" t="str">
        <f>"20200111150620443"</f>
        <v>20200111150620443</v>
      </c>
      <c r="B1580" t="str">
        <f>"1578726380438230"</f>
        <v>1578726380438230</v>
      </c>
      <c r="C1580" t="s">
        <v>37</v>
      </c>
      <c r="D1580">
        <v>5.4196470000000003</v>
      </c>
      <c r="E1580">
        <v>0.31412040000000002</v>
      </c>
      <c r="F1580" t="s">
        <v>81</v>
      </c>
      <c r="G1580">
        <v>-440.75</v>
      </c>
      <c r="H1580">
        <v>10.4978</v>
      </c>
      <c r="I1580">
        <v>103.9789</v>
      </c>
      <c r="J1580">
        <v>-400.83260000000001</v>
      </c>
      <c r="K1580">
        <v>1.113437</v>
      </c>
      <c r="L1580">
        <v>139.81200000000001</v>
      </c>
      <c r="M1580">
        <v>-0.98052450000000002</v>
      </c>
      <c r="N1580">
        <v>0</v>
      </c>
      <c r="O1580">
        <v>-0.19581279999999901</v>
      </c>
      <c r="P1580">
        <v>-0.95386459999999995</v>
      </c>
      <c r="Q1580">
        <v>0.16066279999999999</v>
      </c>
      <c r="R1580">
        <v>-0.25363400000000003</v>
      </c>
      <c r="S1580">
        <v>-2.5026250000000001</v>
      </c>
      <c r="T1580">
        <v>0.57552639999999999</v>
      </c>
      <c r="U1580">
        <v>-2.2083439999999999</v>
      </c>
      <c r="V1580">
        <v>-6.6195039999999997E-2</v>
      </c>
      <c r="W1580">
        <v>0.17399120000000001</v>
      </c>
      <c r="X1580">
        <v>0.9825199</v>
      </c>
      <c r="Y1580">
        <v>-0.4976872</v>
      </c>
      <c r="Z1580">
        <v>1.1226099999999999E-2</v>
      </c>
      <c r="AA1580">
        <v>0.8672839</v>
      </c>
      <c r="AB1580">
        <v>42</v>
      </c>
      <c r="AC1580">
        <v>-39.917400000000001</v>
      </c>
      <c r="AD1580">
        <v>9.3843630000000005</v>
      </c>
      <c r="AE1580">
        <v>-35.833100000000002</v>
      </c>
      <c r="AF1580">
        <v>-26.5106368946877</v>
      </c>
      <c r="AG1580">
        <v>9.3843630000000005</v>
      </c>
      <c r="AH1580">
        <v>44.790978589416099</v>
      </c>
      <c r="AI1580">
        <v>79.779356851462296</v>
      </c>
      <c r="AJ1580">
        <v>120.62020676920601</v>
      </c>
      <c r="AK1580">
        <v>52.887729205131102</v>
      </c>
    </row>
    <row r="1581" spans="1:37" x14ac:dyDescent="0.2">
      <c r="A1581" t="str">
        <f>"20200111150620461"</f>
        <v>20200111150620461</v>
      </c>
      <c r="B1581" t="str">
        <f>"1578726380457749"</f>
        <v>1578726380457749</v>
      </c>
      <c r="C1581" t="s">
        <v>37</v>
      </c>
      <c r="D1581">
        <v>4.6925660000000002</v>
      </c>
      <c r="E1581">
        <v>0.34773899999999902</v>
      </c>
      <c r="F1581" t="s">
        <v>81</v>
      </c>
      <c r="G1581">
        <v>-440.75</v>
      </c>
      <c r="H1581">
        <v>11.21386</v>
      </c>
      <c r="I1581">
        <v>104.3155</v>
      </c>
      <c r="J1581">
        <v>-401.18119999999999</v>
      </c>
      <c r="K1581">
        <v>1.113818</v>
      </c>
      <c r="L1581">
        <v>139.7363</v>
      </c>
      <c r="M1581">
        <v>-0.97871969999999997</v>
      </c>
      <c r="N1581">
        <v>0</v>
      </c>
      <c r="O1581">
        <v>-0.204639299999999</v>
      </c>
      <c r="P1581">
        <v>-0.9510516</v>
      </c>
      <c r="Q1581">
        <v>0.1612141</v>
      </c>
      <c r="R1581">
        <v>-0.26364959999999998</v>
      </c>
      <c r="S1581">
        <v>-2.4588930000000002</v>
      </c>
      <c r="T1581">
        <v>0.62217889999999998</v>
      </c>
      <c r="U1581">
        <v>-2.1865540000000001</v>
      </c>
      <c r="V1581">
        <v>-6.7869449999999998E-2</v>
      </c>
      <c r="W1581">
        <v>0.17448329999999901</v>
      </c>
      <c r="X1581">
        <v>0.98231829999999998</v>
      </c>
      <c r="Y1581">
        <v>-0.49257679999999998</v>
      </c>
      <c r="Z1581">
        <v>9.9686380000000002E-3</v>
      </c>
      <c r="AA1581">
        <v>0.87021190000000004</v>
      </c>
      <c r="AB1581">
        <v>42</v>
      </c>
      <c r="AC1581">
        <v>-39.568800000000003</v>
      </c>
      <c r="AD1581">
        <v>10.100042</v>
      </c>
      <c r="AE1581">
        <v>-35.4208</v>
      </c>
      <c r="AF1581">
        <v>-25.645181885389398</v>
      </c>
      <c r="AG1581">
        <v>10.100042</v>
      </c>
      <c r="AH1581">
        <v>44.375493569307999</v>
      </c>
      <c r="AI1581">
        <v>78.851972931898402</v>
      </c>
      <c r="AJ1581">
        <v>120.024182719883</v>
      </c>
      <c r="AK1581">
        <v>52.238593318122298</v>
      </c>
    </row>
    <row r="1582" spans="1:37" x14ac:dyDescent="0.2">
      <c r="A1582" t="str">
        <f>"20200111150620485"</f>
        <v>20200111150620485</v>
      </c>
      <c r="B1582" t="str">
        <f>"1578726380478245"</f>
        <v>1578726380478245</v>
      </c>
      <c r="C1582" t="s">
        <v>37</v>
      </c>
      <c r="D1582">
        <v>6.2245809999999997</v>
      </c>
      <c r="E1582">
        <v>0.33565089999999997</v>
      </c>
      <c r="F1582" t="s">
        <v>81</v>
      </c>
      <c r="G1582">
        <v>-439.84660000000002</v>
      </c>
      <c r="H1582">
        <v>6.7922380000000002</v>
      </c>
      <c r="I1582">
        <v>109.8642</v>
      </c>
      <c r="J1582">
        <v>-401.58980000000003</v>
      </c>
      <c r="K1582">
        <v>1.114252</v>
      </c>
      <c r="L1582">
        <v>139.64330000000001</v>
      </c>
      <c r="M1582">
        <v>-0.97641719999999899</v>
      </c>
      <c r="N1582">
        <v>0</v>
      </c>
      <c r="O1582">
        <v>-0.2153552</v>
      </c>
      <c r="P1582">
        <v>-0.94738299999999998</v>
      </c>
      <c r="Q1582">
        <v>0.1634504</v>
      </c>
      <c r="R1582">
        <v>-0.27522779999999902</v>
      </c>
      <c r="S1582">
        <v>-2.545776</v>
      </c>
      <c r="T1582">
        <v>0.37387490000000001</v>
      </c>
      <c r="U1582">
        <v>-1.966812</v>
      </c>
      <c r="V1582">
        <v>-6.9408890000000001E-2</v>
      </c>
      <c r="W1582">
        <v>0.17665439999999999</v>
      </c>
      <c r="X1582">
        <v>0.98182259999999999</v>
      </c>
      <c r="Y1582">
        <v>-0.42521009999999998</v>
      </c>
      <c r="Z1582">
        <v>2.9862859999999999E-4</v>
      </c>
      <c r="AA1582">
        <v>0.90509459999999997</v>
      </c>
      <c r="AB1582">
        <v>42</v>
      </c>
      <c r="AC1582">
        <v>-38.256799999999998</v>
      </c>
      <c r="AD1582">
        <v>5.6779859999999998</v>
      </c>
      <c r="AE1582">
        <v>-29.7791</v>
      </c>
      <c r="AF1582">
        <v>-20.558443093851601</v>
      </c>
      <c r="AG1582">
        <v>5.6779859999999998</v>
      </c>
      <c r="AH1582">
        <v>43.180455305138402</v>
      </c>
      <c r="AI1582">
        <v>83.229253375470606</v>
      </c>
      <c r="AJ1582">
        <v>115.45936619414201</v>
      </c>
      <c r="AK1582">
        <v>48.1605733751</v>
      </c>
    </row>
    <row r="1583" spans="1:37" x14ac:dyDescent="0.2">
      <c r="A1583" t="str">
        <f>"20200111150620504"</f>
        <v>20200111150620504</v>
      </c>
      <c r="B1583" t="str">
        <f>"1578726380497765"</f>
        <v>1578726380497765</v>
      </c>
      <c r="C1583" t="s">
        <v>37</v>
      </c>
      <c r="D1583">
        <v>4.24871</v>
      </c>
      <c r="E1583">
        <v>0.34585189999999999</v>
      </c>
      <c r="F1583" t="s">
        <v>81</v>
      </c>
      <c r="G1583">
        <v>-440.20710000000003</v>
      </c>
      <c r="H1583">
        <v>8.1496289999999991</v>
      </c>
      <c r="I1583">
        <v>107.1879</v>
      </c>
      <c r="J1583">
        <v>-401.95690000000002</v>
      </c>
      <c r="K1583">
        <v>1.114627</v>
      </c>
      <c r="L1583">
        <v>139.5556</v>
      </c>
      <c r="M1583">
        <v>-0.97416259999999999</v>
      </c>
      <c r="N1583">
        <v>0</v>
      </c>
      <c r="O1583">
        <v>-0.22533110000000001</v>
      </c>
      <c r="P1583">
        <v>-0.94378669999999998</v>
      </c>
      <c r="Q1583">
        <v>0.16602129999999901</v>
      </c>
      <c r="R1583">
        <v>-0.28583900000000001</v>
      </c>
      <c r="S1583">
        <v>-2.4824830000000002</v>
      </c>
      <c r="T1583">
        <v>0.45226339999999998</v>
      </c>
      <c r="U1583">
        <v>-2.0863649999999998</v>
      </c>
      <c r="V1583">
        <v>-7.0720259999999993E-2</v>
      </c>
      <c r="W1583">
        <v>0.17916899999999999</v>
      </c>
      <c r="X1583">
        <v>0.98127319999999996</v>
      </c>
      <c r="Y1583">
        <v>-0.45218700000000001</v>
      </c>
      <c r="Z1583">
        <v>1.0417810000000001E-3</v>
      </c>
      <c r="AA1583">
        <v>0.89192249999999995</v>
      </c>
      <c r="AB1583">
        <v>42</v>
      </c>
      <c r="AC1583">
        <v>-38.2502</v>
      </c>
      <c r="AD1583">
        <v>7.0350019999999898</v>
      </c>
      <c r="AE1583">
        <v>-32.367699999999999</v>
      </c>
      <c r="AF1583">
        <v>-22.4721484307453</v>
      </c>
      <c r="AG1583">
        <v>7.0350019999999898</v>
      </c>
      <c r="AH1583">
        <v>43.6991699517245</v>
      </c>
      <c r="AI1583">
        <v>81.852548796200097</v>
      </c>
      <c r="AJ1583">
        <v>117.21433802495299</v>
      </c>
      <c r="AK1583">
        <v>49.639763926746802</v>
      </c>
    </row>
    <row r="1584" spans="1:37" x14ac:dyDescent="0.2">
      <c r="A1584" t="str">
        <f>"20200111150620528"</f>
        <v>20200111150620528</v>
      </c>
      <c r="B1584" t="str">
        <f>"1578726380518261"</f>
        <v>1578726380518261</v>
      </c>
      <c r="C1584" t="s">
        <v>37</v>
      </c>
      <c r="D1584">
        <v>4.1036010000000003</v>
      </c>
      <c r="E1584">
        <v>0.38924740000000002</v>
      </c>
      <c r="F1584" t="s">
        <v>81</v>
      </c>
      <c r="G1584">
        <v>-440.20710000000003</v>
      </c>
      <c r="H1584">
        <v>7.3250449999999896</v>
      </c>
      <c r="I1584">
        <v>108.2303</v>
      </c>
      <c r="J1584">
        <v>-402.37740000000002</v>
      </c>
      <c r="K1584">
        <v>1.115049</v>
      </c>
      <c r="L1584">
        <v>139.4502</v>
      </c>
      <c r="M1584">
        <v>-0.97135479999999996</v>
      </c>
      <c r="N1584">
        <v>0</v>
      </c>
      <c r="O1584">
        <v>-0.2371386</v>
      </c>
      <c r="P1584">
        <v>-0.94004200000000004</v>
      </c>
      <c r="Q1584">
        <v>0.16658239999999999</v>
      </c>
      <c r="R1584">
        <v>-0.29760999999999999</v>
      </c>
      <c r="S1584">
        <v>-2.4899900000000001</v>
      </c>
      <c r="T1584">
        <v>0.40428249999999999</v>
      </c>
      <c r="U1584">
        <v>-2.0391849999999998</v>
      </c>
      <c r="V1584">
        <v>-7.1300459999999996E-2</v>
      </c>
      <c r="W1584">
        <v>0.1796982</v>
      </c>
      <c r="X1584">
        <v>0.98113449999999902</v>
      </c>
      <c r="Y1584">
        <v>-0.43055079999999901</v>
      </c>
      <c r="Z1584">
        <v>-2.167843E-3</v>
      </c>
      <c r="AA1584">
        <v>0.90256380000000003</v>
      </c>
      <c r="AB1584">
        <v>42</v>
      </c>
      <c r="AC1584">
        <v>-37.829700000000003</v>
      </c>
      <c r="AD1584">
        <v>6.2099959999999896</v>
      </c>
      <c r="AE1584">
        <v>-31.219899999999999</v>
      </c>
      <c r="AF1584">
        <v>-21.020277301724999</v>
      </c>
      <c r="AG1584">
        <v>6.2099959999999896</v>
      </c>
      <c r="AH1584">
        <v>43.458070217566799</v>
      </c>
      <c r="AI1584">
        <v>82.669814519202802</v>
      </c>
      <c r="AJ1584">
        <v>115.81263605158701</v>
      </c>
      <c r="AK1584">
        <v>48.672579294674797</v>
      </c>
    </row>
    <row r="1585" spans="1:37" x14ac:dyDescent="0.2">
      <c r="A1585" t="str">
        <f>"20200111150620549"</f>
        <v>20200111150620549</v>
      </c>
      <c r="B1585" t="str">
        <f>"1578726380537780"</f>
        <v>1578726380537780</v>
      </c>
      <c r="C1585" t="s">
        <v>37</v>
      </c>
      <c r="D1585">
        <v>4.6405940000000001</v>
      </c>
      <c r="E1585">
        <v>0.38943699999999998</v>
      </c>
      <c r="F1585" t="s">
        <v>81</v>
      </c>
      <c r="G1585">
        <v>-440.75</v>
      </c>
      <c r="H1585">
        <v>1.088786</v>
      </c>
      <c r="I1585">
        <v>113.7799</v>
      </c>
      <c r="J1585">
        <v>-402.76350000000002</v>
      </c>
      <c r="K1585">
        <v>1.1154170000000001</v>
      </c>
      <c r="L1585">
        <v>139.3484</v>
      </c>
      <c r="M1585">
        <v>-0.96855000000000002</v>
      </c>
      <c r="N1585">
        <v>0</v>
      </c>
      <c r="O1585">
        <v>-0.24834299999999901</v>
      </c>
      <c r="P1585">
        <v>-0.93644259999999901</v>
      </c>
      <c r="Q1585">
        <v>0.1658647</v>
      </c>
      <c r="R1585">
        <v>-0.30913469999999998</v>
      </c>
      <c r="S1585">
        <v>-2.6338200000000001</v>
      </c>
      <c r="T1585">
        <v>-1.8008950000000001E-3</v>
      </c>
      <c r="U1585">
        <v>-1.7619479999999901</v>
      </c>
      <c r="V1585">
        <v>-7.2139010000000003E-2</v>
      </c>
      <c r="W1585">
        <v>0.1789481</v>
      </c>
      <c r="X1585">
        <v>0.98121019999999903</v>
      </c>
      <c r="Y1585">
        <v>-0.33216329999999999</v>
      </c>
      <c r="Z1585" s="1">
        <v>4.7053399999999999E-5</v>
      </c>
      <c r="AA1585">
        <v>0.94322189999999995</v>
      </c>
      <c r="AB1585">
        <v>42</v>
      </c>
      <c r="AC1585">
        <v>-37.9864999999999</v>
      </c>
      <c r="AD1585">
        <v>-2.6630999999999998E-2</v>
      </c>
      <c r="AE1585">
        <v>-25.5685</v>
      </c>
      <c r="AF1585">
        <v>-15.3324984593597</v>
      </c>
      <c r="AG1585">
        <v>-2.6630999999999998E-2</v>
      </c>
      <c r="AH1585">
        <v>43.146673650168196</v>
      </c>
      <c r="AI1585">
        <v>90.033322665999805</v>
      </c>
      <c r="AJ1585">
        <v>109.563056189208</v>
      </c>
      <c r="AK1585">
        <v>45.789973414390097</v>
      </c>
    </row>
    <row r="1586" spans="1:37" x14ac:dyDescent="0.2">
      <c r="A1586" t="str">
        <f>"20200111150620571"</f>
        <v>20200111150620571</v>
      </c>
      <c r="B1586" t="str">
        <f>"1578726380568037"</f>
        <v>1578726380568037</v>
      </c>
      <c r="C1586" t="s">
        <v>37</v>
      </c>
      <c r="D1586">
        <v>4.694858</v>
      </c>
      <c r="E1586">
        <v>0.388078599999999</v>
      </c>
      <c r="F1586" t="s">
        <v>81</v>
      </c>
      <c r="G1586">
        <v>-440.75</v>
      </c>
      <c r="H1586">
        <v>1.0647739999999899</v>
      </c>
      <c r="I1586">
        <v>113.2835</v>
      </c>
      <c r="J1586">
        <v>-403.16140000000001</v>
      </c>
      <c r="K1586">
        <v>1.1157859999999999</v>
      </c>
      <c r="L1586">
        <v>139.23859999999999</v>
      </c>
      <c r="M1586">
        <v>-0.9654199</v>
      </c>
      <c r="N1586">
        <v>0</v>
      </c>
      <c r="O1586">
        <v>-0.26024160000000002</v>
      </c>
      <c r="P1586">
        <v>-0.932361199999999</v>
      </c>
      <c r="Q1586">
        <v>0.1650055</v>
      </c>
      <c r="R1586">
        <v>-0.32167649999999998</v>
      </c>
      <c r="S1586">
        <v>-2.6124879999999999</v>
      </c>
      <c r="T1586">
        <v>-3.4811500000000001E-3</v>
      </c>
      <c r="U1586">
        <v>-1.7925869999999999</v>
      </c>
      <c r="V1586">
        <v>-7.3344720000000002E-2</v>
      </c>
      <c r="W1586">
        <v>0.17804489999999901</v>
      </c>
      <c r="X1586">
        <v>0.98128519999999897</v>
      </c>
      <c r="Y1586">
        <v>-0.33166970000000001</v>
      </c>
      <c r="Z1586">
        <v>1.049168E-4</v>
      </c>
      <c r="AA1586">
        <v>0.9433956</v>
      </c>
      <c r="AB1586">
        <v>42</v>
      </c>
      <c r="AC1586">
        <v>-37.5885999999999</v>
      </c>
      <c r="AD1586">
        <v>-5.1012000000000203E-2</v>
      </c>
      <c r="AE1586">
        <v>-25.955099999999899</v>
      </c>
      <c r="AF1586">
        <v>-15.2772572407734</v>
      </c>
      <c r="AG1586">
        <v>-5.1012000000000203E-2</v>
      </c>
      <c r="AH1586">
        <v>43.048464231963898</v>
      </c>
      <c r="AI1586">
        <v>90.063985100756497</v>
      </c>
      <c r="AJ1586">
        <v>109.539014104229</v>
      </c>
      <c r="AK1586">
        <v>45.678960843648603</v>
      </c>
    </row>
    <row r="1587" spans="1:37" x14ac:dyDescent="0.2">
      <c r="A1587" t="str">
        <f>"20200111150620594"</f>
        <v>20200111150620594</v>
      </c>
      <c r="B1587" t="str">
        <f>"1578726380588533"</f>
        <v>1578726380588533</v>
      </c>
      <c r="C1587" t="s">
        <v>37</v>
      </c>
      <c r="D1587">
        <v>4.6881740000000001</v>
      </c>
      <c r="E1587">
        <v>0.3897294</v>
      </c>
      <c r="F1587" t="s">
        <v>81</v>
      </c>
      <c r="G1587">
        <v>-440.75</v>
      </c>
      <c r="H1587">
        <v>1.2009729999999901</v>
      </c>
      <c r="I1587">
        <v>112.53299999999901</v>
      </c>
      <c r="J1587">
        <v>-403.56220000000002</v>
      </c>
      <c r="K1587">
        <v>1.1161430000000001</v>
      </c>
      <c r="L1587">
        <v>139.1223</v>
      </c>
      <c r="M1587">
        <v>-0.96200319999999995</v>
      </c>
      <c r="N1587">
        <v>0</v>
      </c>
      <c r="O1587">
        <v>-0.27259829999999902</v>
      </c>
      <c r="P1587">
        <v>-0.9276605</v>
      </c>
      <c r="Q1587">
        <v>0.164662</v>
      </c>
      <c r="R1587">
        <v>-0.33516089999999998</v>
      </c>
      <c r="S1587">
        <v>-2.5833740000000001</v>
      </c>
      <c r="T1587">
        <v>5.8563950000000004E-3</v>
      </c>
      <c r="U1587">
        <v>-1.8354029999999999</v>
      </c>
      <c r="V1587">
        <v>-7.5133480000000002E-2</v>
      </c>
      <c r="W1587">
        <v>0.17763519999999999</v>
      </c>
      <c r="X1587">
        <v>0.98122410000000004</v>
      </c>
      <c r="Y1587">
        <v>-0.3349857</v>
      </c>
      <c r="Z1587">
        <v>-1.9716469999999999E-4</v>
      </c>
      <c r="AA1587">
        <v>0.94222320000000004</v>
      </c>
      <c r="AB1587">
        <v>42</v>
      </c>
      <c r="AC1587">
        <v>-37.187799999999903</v>
      </c>
      <c r="AD1587">
        <v>8.4829999999999697E-2</v>
      </c>
      <c r="AE1587">
        <v>-26.589300000000001</v>
      </c>
      <c r="AF1587">
        <v>-15.443460859646001</v>
      </c>
      <c r="AG1587">
        <v>8.4829999999999697E-2</v>
      </c>
      <c r="AH1587">
        <v>43.027996325916803</v>
      </c>
      <c r="AI1587">
        <v>89.893681725908607</v>
      </c>
      <c r="AJ1587">
        <v>109.74390345893001</v>
      </c>
      <c r="AK1587">
        <v>45.715600699054903</v>
      </c>
    </row>
    <row r="1588" spans="1:37" x14ac:dyDescent="0.2">
      <c r="A1588" t="str">
        <f>"20200111150620618"</f>
        <v>20200111150620618</v>
      </c>
      <c r="B1588" t="str">
        <f>"1578726380608053"</f>
        <v>1578726380608053</v>
      </c>
      <c r="C1588" t="s">
        <v>37</v>
      </c>
      <c r="D1588">
        <v>4.6698550000000001</v>
      </c>
      <c r="E1588">
        <v>0.39127610000000002</v>
      </c>
      <c r="F1588" t="s">
        <v>81</v>
      </c>
      <c r="G1588">
        <v>-440.75</v>
      </c>
      <c r="H1588">
        <v>0.85361180000000003</v>
      </c>
      <c r="I1588">
        <v>112.14149999999999</v>
      </c>
      <c r="J1588">
        <v>-403.99169999999998</v>
      </c>
      <c r="K1588">
        <v>1.1165240000000001</v>
      </c>
      <c r="L1588">
        <v>138.99109999999999</v>
      </c>
      <c r="M1588">
        <v>-0.958036</v>
      </c>
      <c r="N1588">
        <v>0</v>
      </c>
      <c r="O1588">
        <v>-0.28622550000000002</v>
      </c>
      <c r="P1588">
        <v>-0.92229550000000005</v>
      </c>
      <c r="Q1588">
        <v>0.16596159999999999</v>
      </c>
      <c r="R1588">
        <v>-0.34903869999999998</v>
      </c>
      <c r="S1588">
        <v>-2.564819</v>
      </c>
      <c r="T1588">
        <v>-1.8104550000000001E-2</v>
      </c>
      <c r="U1588">
        <v>-1.86084</v>
      </c>
      <c r="V1588">
        <v>-7.6205540000000002E-2</v>
      </c>
      <c r="W1588">
        <v>0.17888850000000001</v>
      </c>
      <c r="X1588">
        <v>0.98091360000000005</v>
      </c>
      <c r="Y1588">
        <v>-0.3309687</v>
      </c>
      <c r="Z1588">
        <v>7.0333959999999997E-4</v>
      </c>
      <c r="AA1588">
        <v>0.94364150000000002</v>
      </c>
      <c r="AB1588">
        <v>42</v>
      </c>
      <c r="AC1588">
        <v>-36.758299999999998</v>
      </c>
      <c r="AD1588">
        <v>-0.26291219999999998</v>
      </c>
      <c r="AE1588">
        <v>-26.849599999999899</v>
      </c>
      <c r="AF1588">
        <v>-15.2030530610332</v>
      </c>
      <c r="AG1588">
        <v>-0.26291219999999998</v>
      </c>
      <c r="AH1588">
        <v>42.904575256503101</v>
      </c>
      <c r="AI1588">
        <v>90.330933274726107</v>
      </c>
      <c r="AJ1588">
        <v>109.51156412200901</v>
      </c>
      <c r="AK1588">
        <v>45.5192763908044</v>
      </c>
    </row>
    <row r="1589" spans="1:37" x14ac:dyDescent="0.2">
      <c r="A1589" t="str">
        <f>"20200111150620639"</f>
        <v>20200111150620639</v>
      </c>
      <c r="B1589" t="str">
        <f>"1578726380628549"</f>
        <v>1578726380628549</v>
      </c>
      <c r="C1589" t="s">
        <v>37</v>
      </c>
      <c r="D1589">
        <v>4.609299</v>
      </c>
      <c r="E1589">
        <v>0.39239859999999999</v>
      </c>
      <c r="F1589" t="s">
        <v>81</v>
      </c>
      <c r="G1589">
        <v>-440.75</v>
      </c>
      <c r="H1589">
        <v>0.68415809999999999</v>
      </c>
      <c r="I1589">
        <v>111.6904</v>
      </c>
      <c r="J1589">
        <v>-404.361999999999</v>
      </c>
      <c r="K1589">
        <v>1.1168340000000001</v>
      </c>
      <c r="L1589">
        <v>138.87280000000001</v>
      </c>
      <c r="M1589">
        <v>-0.9543623</v>
      </c>
      <c r="N1589">
        <v>0</v>
      </c>
      <c r="O1589">
        <v>-0.298243599999999</v>
      </c>
      <c r="P1589">
        <v>-0.91734519999999997</v>
      </c>
      <c r="Q1589">
        <v>0.1680711</v>
      </c>
      <c r="R1589">
        <v>-0.36087379999999902</v>
      </c>
      <c r="S1589">
        <v>-2.5432739999999998</v>
      </c>
      <c r="T1589">
        <v>-2.9912950000000001E-2</v>
      </c>
      <c r="U1589">
        <v>-1.8889009999999999</v>
      </c>
      <c r="V1589">
        <v>-7.681897E-2</v>
      </c>
      <c r="W1589">
        <v>0.1809664</v>
      </c>
      <c r="X1589">
        <v>0.98048459999999904</v>
      </c>
      <c r="Y1589">
        <v>-0.32964159999999998</v>
      </c>
      <c r="Z1589">
        <v>1.2882600000000001E-3</v>
      </c>
      <c r="AA1589">
        <v>0.94410530000000004</v>
      </c>
      <c r="AB1589">
        <v>42</v>
      </c>
      <c r="AC1589">
        <v>-36.387999999999998</v>
      </c>
      <c r="AD1589">
        <v>-0.4326759</v>
      </c>
      <c r="AE1589">
        <v>-27.182400000000001</v>
      </c>
      <c r="AF1589">
        <v>-15.089836683174299</v>
      </c>
      <c r="AG1589">
        <v>-0.4326759</v>
      </c>
      <c r="AH1589">
        <v>42.835637928317702</v>
      </c>
      <c r="AI1589">
        <v>90.545839818576198</v>
      </c>
      <c r="AJ1589">
        <v>109.405982279106</v>
      </c>
      <c r="AK1589">
        <v>45.4178627445771</v>
      </c>
    </row>
    <row r="1590" spans="1:37" x14ac:dyDescent="0.2">
      <c r="A1590" t="str">
        <f>"20200111150620660"</f>
        <v>20200111150620660</v>
      </c>
      <c r="B1590" t="str">
        <f>"1578726380657829"</f>
        <v>1578726380657829</v>
      </c>
      <c r="C1590" t="s">
        <v>37</v>
      </c>
      <c r="D1590">
        <v>4.6094689999999998</v>
      </c>
      <c r="E1590">
        <v>0.39351789999999998</v>
      </c>
      <c r="F1590" t="s">
        <v>81</v>
      </c>
      <c r="G1590">
        <v>-440.75</v>
      </c>
      <c r="H1590">
        <v>0.63192969999999904</v>
      </c>
      <c r="I1590">
        <v>111.2752</v>
      </c>
      <c r="J1590">
        <v>-404.73869999999999</v>
      </c>
      <c r="K1590">
        <v>1.1171219999999999</v>
      </c>
      <c r="L1590">
        <v>138.74709999999999</v>
      </c>
      <c r="M1590">
        <v>-0.95037079999999996</v>
      </c>
      <c r="N1590">
        <v>0</v>
      </c>
      <c r="O1590">
        <v>-0.31072539999999998</v>
      </c>
      <c r="P1590">
        <v>-0.91202349999999999</v>
      </c>
      <c r="Q1590">
        <v>0.169128799999999</v>
      </c>
      <c r="R1590">
        <v>-0.37364199999999997</v>
      </c>
      <c r="S1590">
        <v>-2.5235289999999999</v>
      </c>
      <c r="T1590">
        <v>-3.362644E-2</v>
      </c>
      <c r="U1590">
        <v>-1.9138949999999999</v>
      </c>
      <c r="V1590">
        <v>-7.7887869999999998E-2</v>
      </c>
      <c r="W1590">
        <v>0.181978799999999</v>
      </c>
      <c r="X1590">
        <v>0.9802128</v>
      </c>
      <c r="Y1590">
        <v>-0.32675729999999997</v>
      </c>
      <c r="Z1590">
        <v>1.6041039999999901E-3</v>
      </c>
      <c r="AA1590">
        <v>0.94510689999999997</v>
      </c>
      <c r="AB1590">
        <v>42</v>
      </c>
      <c r="AC1590">
        <v>-36.011299999999999</v>
      </c>
      <c r="AD1590">
        <v>-0.48519230000000002</v>
      </c>
      <c r="AE1590">
        <v>-27.471899999999899</v>
      </c>
      <c r="AF1590">
        <v>-14.918982438653901</v>
      </c>
      <c r="AG1590">
        <v>-0.48519230000000002</v>
      </c>
      <c r="AH1590">
        <v>42.760638888902498</v>
      </c>
      <c r="AI1590">
        <v>90.613807197229903</v>
      </c>
      <c r="AJ1590">
        <v>109.23363541978399</v>
      </c>
      <c r="AK1590">
        <v>45.291099420967598</v>
      </c>
    </row>
    <row r="1591" spans="1:37" x14ac:dyDescent="0.2">
      <c r="A1591" t="str">
        <f>"20200111150620684"</f>
        <v>20200111150620684</v>
      </c>
      <c r="B1591" t="str">
        <f>"1578726380678325"</f>
        <v>1578726380678325</v>
      </c>
      <c r="C1591" t="s">
        <v>37</v>
      </c>
      <c r="D1591">
        <v>5.5565449999999998</v>
      </c>
      <c r="E1591">
        <v>0.3940034</v>
      </c>
      <c r="F1591" t="s">
        <v>81</v>
      </c>
      <c r="G1591">
        <v>-440.75</v>
      </c>
      <c r="H1591">
        <v>0.55733809999999995</v>
      </c>
      <c r="I1591">
        <v>110.8045</v>
      </c>
      <c r="J1591">
        <v>-405.12970000000001</v>
      </c>
      <c r="K1591">
        <v>1.1174109999999999</v>
      </c>
      <c r="L1591">
        <v>138.61089999999999</v>
      </c>
      <c r="M1591">
        <v>-0.94594750000000005</v>
      </c>
      <c r="N1591">
        <v>0</v>
      </c>
      <c r="O1591">
        <v>-0.32393959999999999</v>
      </c>
      <c r="P1591">
        <v>-0.90616509999999995</v>
      </c>
      <c r="Q1591">
        <v>0.16974059999999999</v>
      </c>
      <c r="R1591">
        <v>-0.38736670000000001</v>
      </c>
      <c r="S1591">
        <v>-2.5014340000000002</v>
      </c>
      <c r="T1591">
        <v>-3.8881779999999998E-2</v>
      </c>
      <c r="U1591">
        <v>-1.9409479999999999</v>
      </c>
      <c r="V1591">
        <v>-7.9219040000000004E-2</v>
      </c>
      <c r="W1591">
        <v>0.1825368</v>
      </c>
      <c r="X1591">
        <v>0.98000239999999905</v>
      </c>
      <c r="Y1591">
        <v>-0.32400499999999999</v>
      </c>
      <c r="Z1591">
        <v>2.0442049999999999E-3</v>
      </c>
      <c r="AA1591">
        <v>0.94605309999999898</v>
      </c>
      <c r="AB1591">
        <v>42</v>
      </c>
      <c r="AC1591">
        <v>-35.620299999999901</v>
      </c>
      <c r="AD1591">
        <v>-0.56007289999999998</v>
      </c>
      <c r="AE1591">
        <v>-27.806399999999901</v>
      </c>
      <c r="AF1591">
        <v>-14.7641206376871</v>
      </c>
      <c r="AG1591">
        <v>-0.56007289999999998</v>
      </c>
      <c r="AH1591">
        <v>42.701231552122799</v>
      </c>
      <c r="AI1591">
        <v>90.710204815154299</v>
      </c>
      <c r="AJ1591">
        <v>109.073030151623</v>
      </c>
      <c r="AK1591">
        <v>45.185043055479099</v>
      </c>
    </row>
    <row r="1592" spans="1:37" x14ac:dyDescent="0.2">
      <c r="A1592" t="str">
        <f>"20200111150620706"</f>
        <v>20200111150620706</v>
      </c>
      <c r="B1592" t="str">
        <f>"1578726380697845"</f>
        <v>1578726380697845</v>
      </c>
      <c r="C1592" t="s">
        <v>37</v>
      </c>
      <c r="D1592">
        <v>4.8262460000000003</v>
      </c>
      <c r="E1592">
        <v>0.39457690000000001</v>
      </c>
      <c r="F1592" t="s">
        <v>81</v>
      </c>
      <c r="G1592">
        <v>-440.75</v>
      </c>
      <c r="H1592">
        <v>0.55595419999999995</v>
      </c>
      <c r="I1592">
        <v>110.17140000000001</v>
      </c>
      <c r="J1592">
        <v>-405.52420000000001</v>
      </c>
      <c r="K1592">
        <v>1.1176919999999999</v>
      </c>
      <c r="L1592">
        <v>138.46729999999999</v>
      </c>
      <c r="M1592">
        <v>-0.94118440000000003</v>
      </c>
      <c r="N1592">
        <v>0</v>
      </c>
      <c r="O1592">
        <v>-0.3375263</v>
      </c>
      <c r="P1592">
        <v>-0.90008729999999904</v>
      </c>
      <c r="Q1592">
        <v>0.1706994</v>
      </c>
      <c r="R1592">
        <v>-0.40088020000000002</v>
      </c>
      <c r="S1592">
        <v>-2.4736940000000001</v>
      </c>
      <c r="T1592">
        <v>-3.8988950000000001E-2</v>
      </c>
      <c r="U1592">
        <v>-1.975006</v>
      </c>
      <c r="V1592">
        <v>-7.9996650000000002E-2</v>
      </c>
      <c r="W1592">
        <v>0.18345980000000001</v>
      </c>
      <c r="X1592">
        <v>0.97976679999999905</v>
      </c>
      <c r="Y1592">
        <v>-0.32350839999999997</v>
      </c>
      <c r="Z1592">
        <v>2.2305739999999999E-3</v>
      </c>
      <c r="AA1592">
        <v>0.94622269999999897</v>
      </c>
      <c r="AB1592">
        <v>42</v>
      </c>
      <c r="AC1592">
        <v>-35.2257999999999</v>
      </c>
      <c r="AD1592">
        <v>-0.56173779999999995</v>
      </c>
      <c r="AE1592">
        <v>-28.2958999999999</v>
      </c>
      <c r="AF1592">
        <v>-14.7415749512753</v>
      </c>
      <c r="AG1592">
        <v>-0.56173779999999995</v>
      </c>
      <c r="AH1592">
        <v>42.703278070702503</v>
      </c>
      <c r="AI1592">
        <v>90.712401361632999</v>
      </c>
      <c r="AJ1592">
        <v>109.045157598912</v>
      </c>
      <c r="AK1592">
        <v>45.1796363352314</v>
      </c>
    </row>
    <row r="1593" spans="1:37" x14ac:dyDescent="0.2">
      <c r="A1593" t="str">
        <f>"20200111150620730"</f>
        <v>20200111150620730</v>
      </c>
      <c r="B1593" t="str">
        <f>"1578726380718341"</f>
        <v>1578726380718341</v>
      </c>
      <c r="C1593" t="s">
        <v>37</v>
      </c>
      <c r="D1593">
        <v>4.7198000000000002</v>
      </c>
      <c r="E1593">
        <v>0.39569130000000002</v>
      </c>
      <c r="F1593" t="s">
        <v>81</v>
      </c>
      <c r="G1593">
        <v>-440.52229999999997</v>
      </c>
      <c r="H1593">
        <v>0.58000209999999996</v>
      </c>
      <c r="I1593">
        <v>109.7255</v>
      </c>
      <c r="J1593">
        <v>-405.92509999999999</v>
      </c>
      <c r="K1593">
        <v>1.117961</v>
      </c>
      <c r="L1593">
        <v>138.315</v>
      </c>
      <c r="M1593">
        <v>-0.93602399999999997</v>
      </c>
      <c r="N1593">
        <v>0</v>
      </c>
      <c r="O1593">
        <v>-0.3515819</v>
      </c>
      <c r="P1593">
        <v>-0.89340580000000003</v>
      </c>
      <c r="Q1593">
        <v>0.1726057</v>
      </c>
      <c r="R1593">
        <v>-0.41476990000000002</v>
      </c>
      <c r="S1593">
        <v>-2.4456180000000001</v>
      </c>
      <c r="T1593">
        <v>-3.7570949999999999E-2</v>
      </c>
      <c r="U1593">
        <v>-2.0084230000000001</v>
      </c>
      <c r="V1593">
        <v>-8.0821340000000005E-2</v>
      </c>
      <c r="W1593">
        <v>0.18532789999999999</v>
      </c>
      <c r="X1593">
        <v>0.97934750000000004</v>
      </c>
      <c r="Y1593">
        <v>-0.322385799999999</v>
      </c>
      <c r="Z1593">
        <v>2.3338349999999998E-3</v>
      </c>
      <c r="AA1593">
        <v>0.94660549999999999</v>
      </c>
      <c r="AB1593">
        <v>42</v>
      </c>
      <c r="AC1593">
        <v>-34.597199999999901</v>
      </c>
      <c r="AD1593">
        <v>-0.53795890000000002</v>
      </c>
      <c r="AE1593">
        <v>-28.589500000000001</v>
      </c>
      <c r="AF1593">
        <v>-14.596431131269201</v>
      </c>
      <c r="AG1593">
        <v>-0.53795890000000002</v>
      </c>
      <c r="AH1593">
        <v>42.434552919465602</v>
      </c>
      <c r="AI1593">
        <v>90.686828746705402</v>
      </c>
      <c r="AJ1593">
        <v>108.981943214369</v>
      </c>
      <c r="AK1593">
        <v>44.878017815216602</v>
      </c>
    </row>
    <row r="1594" spans="1:37" x14ac:dyDescent="0.2">
      <c r="A1594" t="str">
        <f>"20200111150620755"</f>
        <v>20200111150620755</v>
      </c>
      <c r="B1594" t="str">
        <f>"1578726380747621"</f>
        <v>1578726380747621</v>
      </c>
      <c r="C1594" t="s">
        <v>37</v>
      </c>
      <c r="D1594">
        <v>4.6592339999999997</v>
      </c>
      <c r="E1594">
        <v>0.3971769</v>
      </c>
      <c r="F1594" t="s">
        <v>81</v>
      </c>
      <c r="G1594">
        <v>-440.20710000000003</v>
      </c>
      <c r="H1594">
        <v>0.51264520000000002</v>
      </c>
      <c r="I1594">
        <v>109.4278</v>
      </c>
      <c r="J1594">
        <v>-406.34589999999997</v>
      </c>
      <c r="K1594">
        <v>1.118225</v>
      </c>
      <c r="L1594">
        <v>138.14750000000001</v>
      </c>
      <c r="M1594">
        <v>-0.93024370000000001</v>
      </c>
      <c r="N1594">
        <v>0</v>
      </c>
      <c r="O1594">
        <v>-0.36659979999999998</v>
      </c>
      <c r="P1594">
        <v>-0.88590249999999904</v>
      </c>
      <c r="Q1594">
        <v>0.17447860000000001</v>
      </c>
      <c r="R1594">
        <v>-0.42980689999999999</v>
      </c>
      <c r="S1594">
        <v>-2.4196469999999999</v>
      </c>
      <c r="T1594">
        <v>-4.2721629999999997E-2</v>
      </c>
      <c r="U1594">
        <v>-2.0388639999999998</v>
      </c>
      <c r="V1594">
        <v>-8.1941689999999998E-2</v>
      </c>
      <c r="W1594">
        <v>0.18715309999999999</v>
      </c>
      <c r="X1594">
        <v>0.97890719999999998</v>
      </c>
      <c r="Y1594">
        <v>-0.31911999999999902</v>
      </c>
      <c r="Z1594">
        <v>2.892127E-3</v>
      </c>
      <c r="AA1594">
        <v>0.94770989999999999</v>
      </c>
      <c r="AB1594">
        <v>42</v>
      </c>
      <c r="AC1594">
        <v>-33.861199999999997</v>
      </c>
      <c r="AD1594">
        <v>-0.6055798</v>
      </c>
      <c r="AE1594">
        <v>-28.7197</v>
      </c>
      <c r="AF1594">
        <v>-14.301947441633899</v>
      </c>
      <c r="AG1594">
        <v>-0.6055798</v>
      </c>
      <c r="AH1594">
        <v>42.025267205896498</v>
      </c>
      <c r="AI1594">
        <v>90.781556278816097</v>
      </c>
      <c r="AJ1594">
        <v>108.794354615161</v>
      </c>
      <c r="AK1594">
        <v>44.396345696965</v>
      </c>
    </row>
    <row r="1595" spans="1:37" x14ac:dyDescent="0.2">
      <c r="A1595" t="str">
        <f>"20200111150620775"</f>
        <v>20200111150620775</v>
      </c>
      <c r="B1595" t="str">
        <f>"1578726380768118"</f>
        <v>1578726380768118</v>
      </c>
      <c r="C1595" t="s">
        <v>37</v>
      </c>
      <c r="D1595">
        <v>4.6385379999999996</v>
      </c>
      <c r="E1595">
        <v>0.39868429999999999</v>
      </c>
      <c r="F1595" t="s">
        <v>81</v>
      </c>
      <c r="G1595">
        <v>-440.20710000000003</v>
      </c>
      <c r="H1595">
        <v>0.38457209999999997</v>
      </c>
      <c r="I1595">
        <v>108.8357</v>
      </c>
      <c r="J1595">
        <v>-406.71199999999999</v>
      </c>
      <c r="K1595">
        <v>1.1184350000000001</v>
      </c>
      <c r="L1595">
        <v>137.99520000000001</v>
      </c>
      <c r="M1595">
        <v>-0.92490260000000002</v>
      </c>
      <c r="N1595">
        <v>0</v>
      </c>
      <c r="O1595">
        <v>-0.37987209999999899</v>
      </c>
      <c r="P1595">
        <v>-0.87869909999999996</v>
      </c>
      <c r="Q1595">
        <v>0.174542</v>
      </c>
      <c r="R1595">
        <v>-0.44432339999999998</v>
      </c>
      <c r="S1595">
        <v>-2.3919980000000001</v>
      </c>
      <c r="T1595">
        <v>-5.1824210000000002E-2</v>
      </c>
      <c r="U1595">
        <v>-2.0706180000000001</v>
      </c>
      <c r="V1595">
        <v>-8.4158090000000005E-2</v>
      </c>
      <c r="W1595">
        <v>0.18713250000000001</v>
      </c>
      <c r="X1595">
        <v>0.97872300000000001</v>
      </c>
      <c r="Y1595">
        <v>-0.3181735</v>
      </c>
      <c r="Z1595">
        <v>3.74823E-3</v>
      </c>
      <c r="AA1595">
        <v>0.94802509999999995</v>
      </c>
      <c r="AB1595">
        <v>42</v>
      </c>
      <c r="AC1595">
        <v>-33.495100000000001</v>
      </c>
      <c r="AD1595">
        <v>-0.73386289999999998</v>
      </c>
      <c r="AE1595">
        <v>-29.159500000000001</v>
      </c>
      <c r="AF1595">
        <v>-14.243751737931101</v>
      </c>
      <c r="AG1595">
        <v>-0.73386289999999998</v>
      </c>
      <c r="AH1595">
        <v>42.050410606918597</v>
      </c>
      <c r="AI1595">
        <v>90.946981118352497</v>
      </c>
      <c r="AJ1595">
        <v>108.71280217416199</v>
      </c>
      <c r="AK1595">
        <v>44.4033788189398</v>
      </c>
    </row>
    <row r="1596" spans="1:37" x14ac:dyDescent="0.2">
      <c r="A1596" t="str">
        <f>"20200111150620797"</f>
        <v>20200111150620797</v>
      </c>
      <c r="B1596" t="str">
        <f>"1578726380788613"</f>
        <v>1578726380788613</v>
      </c>
      <c r="C1596" t="s">
        <v>37</v>
      </c>
      <c r="D1596">
        <v>4.6816849999999999</v>
      </c>
      <c r="E1596">
        <v>0.39959060000000002</v>
      </c>
      <c r="F1596" t="s">
        <v>81</v>
      </c>
      <c r="G1596">
        <v>-440.20710000000003</v>
      </c>
      <c r="H1596">
        <v>0.21224709999999999</v>
      </c>
      <c r="I1596">
        <v>108.262</v>
      </c>
      <c r="J1596">
        <v>-407.07170000000002</v>
      </c>
      <c r="K1596">
        <v>1.1186240000000001</v>
      </c>
      <c r="L1596">
        <v>137.83959999999999</v>
      </c>
      <c r="M1596">
        <v>-0.91936709999999999</v>
      </c>
      <c r="N1596">
        <v>0</v>
      </c>
      <c r="O1596">
        <v>-0.39307819999999999</v>
      </c>
      <c r="P1596">
        <v>-0.87116360000000004</v>
      </c>
      <c r="Q1596">
        <v>0.173333399999999</v>
      </c>
      <c r="R1596">
        <v>-0.45937990000000001</v>
      </c>
      <c r="S1596">
        <v>-2.3652039999999999</v>
      </c>
      <c r="T1596">
        <v>-6.3986899999999999E-2</v>
      </c>
      <c r="U1596">
        <v>-2.099548</v>
      </c>
      <c r="V1596">
        <v>-8.6949579999999999E-2</v>
      </c>
      <c r="W1596">
        <v>0.18581979999999901</v>
      </c>
      <c r="X1596">
        <v>0.97872909999999902</v>
      </c>
      <c r="Y1596">
        <v>-0.31641540000000001</v>
      </c>
      <c r="Z1596">
        <v>4.9324750000000004E-3</v>
      </c>
      <c r="AA1596">
        <v>0.94860789999999995</v>
      </c>
      <c r="AB1596">
        <v>41</v>
      </c>
      <c r="AC1596">
        <v>-33.135399999999997</v>
      </c>
      <c r="AD1596">
        <v>-0.90637690000000004</v>
      </c>
      <c r="AE1596">
        <v>-29.577599999999901</v>
      </c>
      <c r="AF1596">
        <v>-14.1637680809228</v>
      </c>
      <c r="AG1596">
        <v>-0.90637690000000004</v>
      </c>
      <c r="AH1596">
        <v>42.077723515350499</v>
      </c>
      <c r="AI1596">
        <v>91.169530670520203</v>
      </c>
      <c r="AJ1596">
        <v>108.603730007593</v>
      </c>
      <c r="AK1596">
        <v>44.406853767963597</v>
      </c>
    </row>
    <row r="1597" spans="1:37" x14ac:dyDescent="0.2">
      <c r="A1597" t="str">
        <f>"20200111150620820"</f>
        <v>20200111150620820</v>
      </c>
      <c r="B1597" t="str">
        <f>"1578726380808133"</f>
        <v>1578726380808133</v>
      </c>
      <c r="C1597" t="s">
        <v>37</v>
      </c>
      <c r="D1597">
        <v>4.6901699999999904</v>
      </c>
      <c r="E1597">
        <v>0.4216415</v>
      </c>
      <c r="F1597" t="s">
        <v>46</v>
      </c>
      <c r="G1597">
        <v>-443.28750000000002</v>
      </c>
      <c r="H1597">
        <v>-0.05</v>
      </c>
      <c r="I1597">
        <v>104.7199</v>
      </c>
      <c r="J1597">
        <v>-407.45350000000002</v>
      </c>
      <c r="K1597">
        <v>1.1188</v>
      </c>
      <c r="L1597">
        <v>137.6678</v>
      </c>
      <c r="M1597">
        <v>-0.91317559999999998</v>
      </c>
      <c r="N1597">
        <v>0</v>
      </c>
      <c r="O1597">
        <v>-0.40725299999999998</v>
      </c>
      <c r="P1597">
        <v>-0.86213419999999896</v>
      </c>
      <c r="Q1597">
        <v>0.173782399999999</v>
      </c>
      <c r="R1597">
        <v>-0.47594570000000003</v>
      </c>
      <c r="S1597">
        <v>-2.3333740000000001</v>
      </c>
      <c r="T1597">
        <v>-7.5294260000000002E-2</v>
      </c>
      <c r="U1597">
        <v>-2.133896</v>
      </c>
      <c r="V1597">
        <v>-9.0671639999999998E-2</v>
      </c>
      <c r="W1597">
        <v>0.1861216</v>
      </c>
      <c r="X1597">
        <v>0.97833400000000004</v>
      </c>
      <c r="Y1597">
        <v>-0.31579370000000001</v>
      </c>
      <c r="Z1597">
        <v>6.1738219999999998E-3</v>
      </c>
      <c r="AA1597">
        <v>0.94880779999999998</v>
      </c>
      <c r="AB1597">
        <v>41</v>
      </c>
      <c r="AC1597">
        <v>-35.834000000000003</v>
      </c>
      <c r="AD1597">
        <v>-1.1688000000000001</v>
      </c>
      <c r="AE1597">
        <v>-32.947899999999997</v>
      </c>
      <c r="AF1597">
        <v>-15.4867645419768</v>
      </c>
      <c r="AG1597">
        <v>-1.1688000000000001</v>
      </c>
      <c r="AH1597">
        <v>46.120168781007003</v>
      </c>
      <c r="AI1597">
        <v>91.376221839006107</v>
      </c>
      <c r="AJ1597">
        <v>108.561617864629</v>
      </c>
      <c r="AK1597">
        <v>48.664935403298301</v>
      </c>
    </row>
    <row r="1598" spans="1:37" x14ac:dyDescent="0.2">
      <c r="A1598" t="str">
        <f>"20200111150620843"</f>
        <v>20200111150620843</v>
      </c>
      <c r="B1598" t="str">
        <f>"1578726380838389"</f>
        <v>1578726380838389</v>
      </c>
      <c r="C1598" t="s">
        <v>37</v>
      </c>
      <c r="D1598">
        <v>4.63361</v>
      </c>
      <c r="E1598">
        <v>0.4210026</v>
      </c>
      <c r="F1598" t="s">
        <v>78</v>
      </c>
      <c r="G1598">
        <v>-418.38099999999997</v>
      </c>
      <c r="H1598" s="1">
        <v>-5.1995820000000001E-6</v>
      </c>
      <c r="I1598">
        <v>128.40389999999999</v>
      </c>
      <c r="J1598">
        <v>-407.82080000000002</v>
      </c>
      <c r="K1598">
        <v>1.118965</v>
      </c>
      <c r="L1598">
        <v>137.49590000000001</v>
      </c>
      <c r="M1598">
        <v>-0.90690349999999997</v>
      </c>
      <c r="N1598">
        <v>0</v>
      </c>
      <c r="O1598">
        <v>-0.42103409999999902</v>
      </c>
      <c r="P1598">
        <v>-0.85268960000000005</v>
      </c>
      <c r="Q1598">
        <v>0.17486350000000001</v>
      </c>
      <c r="R1598">
        <v>-0.49228359999999899</v>
      </c>
      <c r="S1598">
        <v>-2.404175</v>
      </c>
      <c r="T1598">
        <v>-0.24615029999999899</v>
      </c>
      <c r="U1598">
        <v>-2.0381469999999999</v>
      </c>
      <c r="V1598">
        <v>-9.4722929999999997E-2</v>
      </c>
      <c r="W1598">
        <v>0.18703789999999901</v>
      </c>
      <c r="X1598">
        <v>0.97777519999999996</v>
      </c>
      <c r="Y1598">
        <v>-0.26570270000000001</v>
      </c>
      <c r="Z1598">
        <v>2.3261E-2</v>
      </c>
      <c r="AA1598">
        <v>0.96377429999999997</v>
      </c>
      <c r="AB1598">
        <v>41</v>
      </c>
      <c r="AC1598">
        <v>-10.560199999999901</v>
      </c>
      <c r="AD1598">
        <v>-1.1189701995819901</v>
      </c>
      <c r="AE1598">
        <v>-9.0920000000000094</v>
      </c>
      <c r="AF1598">
        <v>-3.77550476573807</v>
      </c>
      <c r="AG1598">
        <v>-1.1189701995819901</v>
      </c>
      <c r="AH1598">
        <v>13.320948812535301</v>
      </c>
      <c r="AI1598">
        <v>94.620456039000302</v>
      </c>
      <c r="AJ1598">
        <v>105.824114765186</v>
      </c>
      <c r="AK1598">
        <v>13.8907957946926</v>
      </c>
    </row>
    <row r="1599" spans="1:37" x14ac:dyDescent="0.2">
      <c r="A1599" t="str">
        <f>"20200111150620864"</f>
        <v>20200111150620864</v>
      </c>
      <c r="B1599" t="str">
        <f>"1578726380857908"</f>
        <v>1578726380857908</v>
      </c>
      <c r="C1599" t="s">
        <v>37</v>
      </c>
      <c r="D1599">
        <v>4.5718019999999999</v>
      </c>
      <c r="E1599">
        <v>0.42333119999999902</v>
      </c>
      <c r="F1599" t="s">
        <v>78</v>
      </c>
      <c r="G1599">
        <v>-419.214</v>
      </c>
      <c r="H1599" s="1">
        <v>-4.651375E-6</v>
      </c>
      <c r="I1599">
        <v>127.4229</v>
      </c>
      <c r="J1599">
        <v>-408.1739</v>
      </c>
      <c r="K1599">
        <v>1.1191180000000001</v>
      </c>
      <c r="L1599">
        <v>137.32429999999999</v>
      </c>
      <c r="M1599">
        <v>-0.90057559999999903</v>
      </c>
      <c r="N1599">
        <v>0</v>
      </c>
      <c r="O1599">
        <v>-0.43440379999999901</v>
      </c>
      <c r="P1599">
        <v>-0.84299579999999996</v>
      </c>
      <c r="Q1599">
        <v>0.174928799999999</v>
      </c>
      <c r="R1599">
        <v>-0.508683</v>
      </c>
      <c r="S1599">
        <v>-2.360779</v>
      </c>
      <c r="T1599">
        <v>-0.23186079999999901</v>
      </c>
      <c r="U1599">
        <v>-2.0872039999999998</v>
      </c>
      <c r="V1599">
        <v>-9.9263519999999994E-2</v>
      </c>
      <c r="W1599">
        <v>0.18691749999999999</v>
      </c>
      <c r="X1599">
        <v>0.97734769999999904</v>
      </c>
      <c r="Y1599">
        <v>-0.27144059999999998</v>
      </c>
      <c r="Z1599">
        <v>2.2763990000000001E-2</v>
      </c>
      <c r="AA1599">
        <v>0.96218590000000004</v>
      </c>
      <c r="AB1599">
        <v>41</v>
      </c>
      <c r="AC1599">
        <v>-11.040099999999899</v>
      </c>
      <c r="AD1599">
        <v>-1.1191226513750001</v>
      </c>
      <c r="AE1599">
        <v>-9.90139999999999</v>
      </c>
      <c r="AF1599">
        <v>-4.0982879448407497</v>
      </c>
      <c r="AG1599">
        <v>-1.1191226513750001</v>
      </c>
      <c r="AH1599">
        <v>14.1648131334541</v>
      </c>
      <c r="AI1599">
        <v>94.340111968574504</v>
      </c>
      <c r="AJ1599">
        <v>106.136677405219</v>
      </c>
      <c r="AK1599">
        <v>14.788182129434301</v>
      </c>
    </row>
    <row r="1600" spans="1:37" x14ac:dyDescent="0.2">
      <c r="A1600" t="str">
        <f>"20200111150620887"</f>
        <v>20200111150620887</v>
      </c>
      <c r="B1600" t="str">
        <f>"1578726380878404"</f>
        <v>1578726380878404</v>
      </c>
      <c r="C1600" t="s">
        <v>37</v>
      </c>
      <c r="D1600">
        <v>4.662007</v>
      </c>
      <c r="E1600">
        <v>0.42411959999999999</v>
      </c>
      <c r="F1600" t="s">
        <v>78</v>
      </c>
      <c r="G1600">
        <v>-418.3664</v>
      </c>
      <c r="H1600" s="1">
        <v>-5.0279489999999996E-6</v>
      </c>
      <c r="I1600">
        <v>128.06540000000001</v>
      </c>
      <c r="J1600">
        <v>-408.54239999999999</v>
      </c>
      <c r="K1600">
        <v>1.1192580000000001</v>
      </c>
      <c r="L1600">
        <v>137.13839999999999</v>
      </c>
      <c r="M1600">
        <v>-0.893652</v>
      </c>
      <c r="N1600">
        <v>0</v>
      </c>
      <c r="O1600">
        <v>-0.4484728</v>
      </c>
      <c r="P1600">
        <v>-0.8329223</v>
      </c>
      <c r="Q1600">
        <v>0.17327400000000001</v>
      </c>
      <c r="R1600">
        <v>-0.52556349999999996</v>
      </c>
      <c r="S1600">
        <v>-2.3330380000000002</v>
      </c>
      <c r="T1600">
        <v>-0.25616250000000002</v>
      </c>
      <c r="U1600">
        <v>-2.1193080000000002</v>
      </c>
      <c r="V1600">
        <v>-0.1034915</v>
      </c>
      <c r="W1600">
        <v>0.18508929999999901</v>
      </c>
      <c r="X1600">
        <v>0.97725709999999999</v>
      </c>
      <c r="Y1600">
        <v>-0.26941559999999998</v>
      </c>
      <c r="Z1600">
        <v>2.6430929999999998E-2</v>
      </c>
      <c r="AA1600">
        <v>0.962661199999999</v>
      </c>
      <c r="AB1600">
        <v>41</v>
      </c>
      <c r="AC1600">
        <v>-9.8240000000000105</v>
      </c>
      <c r="AD1600">
        <v>-1.1192630279489999</v>
      </c>
      <c r="AE1600">
        <v>-9.0729999999999809</v>
      </c>
      <c r="AF1600">
        <v>-3.6770274921800001</v>
      </c>
      <c r="AG1600">
        <v>-1.1192630279489999</v>
      </c>
      <c r="AH1600">
        <v>12.7604999136838</v>
      </c>
      <c r="AI1600">
        <v>94.817711003965101</v>
      </c>
      <c r="AJ1600">
        <v>106.074707145712</v>
      </c>
      <c r="AK1600">
        <v>13.3268015274148</v>
      </c>
    </row>
    <row r="1601" spans="1:37" x14ac:dyDescent="0.2">
      <c r="A1601" t="str">
        <f>"20200111150620908"</f>
        <v>20200111150620908</v>
      </c>
      <c r="B1601" t="str">
        <f>"1578726380897925"</f>
        <v>1578726380897925</v>
      </c>
      <c r="C1601" t="s">
        <v>37</v>
      </c>
      <c r="D1601">
        <v>4.6495579999999999</v>
      </c>
      <c r="E1601">
        <v>0.42498799999999998</v>
      </c>
      <c r="F1601" t="s">
        <v>78</v>
      </c>
      <c r="G1601">
        <v>-418.5016</v>
      </c>
      <c r="H1601" s="1">
        <v>-4.8612990000000001E-6</v>
      </c>
      <c r="I1601">
        <v>127.7538</v>
      </c>
      <c r="J1601">
        <v>-408.88749999999999</v>
      </c>
      <c r="K1601">
        <v>1.119378</v>
      </c>
      <c r="L1601">
        <v>136.9579</v>
      </c>
      <c r="M1601">
        <v>-0.88686679999999996</v>
      </c>
      <c r="N1601">
        <v>0</v>
      </c>
      <c r="O1601">
        <v>-0.46174470000000001</v>
      </c>
      <c r="P1601">
        <v>-0.82336309999999902</v>
      </c>
      <c r="Q1601">
        <v>0.1719243</v>
      </c>
      <c r="R1601">
        <v>-0.54084759999999998</v>
      </c>
      <c r="S1601">
        <v>-2.292389</v>
      </c>
      <c r="T1601">
        <v>-0.2576311</v>
      </c>
      <c r="U1601">
        <v>-2.1601560000000002</v>
      </c>
      <c r="V1601">
        <v>-0.106848</v>
      </c>
      <c r="W1601">
        <v>0.18359900000000001</v>
      </c>
      <c r="X1601">
        <v>0.97717699999999996</v>
      </c>
      <c r="Y1601">
        <v>-0.27268500000000001</v>
      </c>
      <c r="Z1601">
        <v>2.7633069999999999E-2</v>
      </c>
      <c r="AA1601">
        <v>0.96170650000000002</v>
      </c>
      <c r="AB1601">
        <v>41</v>
      </c>
      <c r="AC1601">
        <v>-9.6141000000000005</v>
      </c>
      <c r="AD1601">
        <v>-1.119382861299</v>
      </c>
      <c r="AE1601">
        <v>-9.2040999999999897</v>
      </c>
      <c r="AF1601">
        <v>-3.6978771216996602</v>
      </c>
      <c r="AG1601">
        <v>-1.119382861299</v>
      </c>
      <c r="AH1601">
        <v>12.6882774624147</v>
      </c>
      <c r="AI1601">
        <v>94.841288434580505</v>
      </c>
      <c r="AJ1601">
        <v>106.248258170125</v>
      </c>
      <c r="AK1601">
        <v>13.263472326679</v>
      </c>
    </row>
    <row r="1602" spans="1:37" x14ac:dyDescent="0.2">
      <c r="A1602" t="str">
        <f>"20200111150620953"</f>
        <v>20200111150620953</v>
      </c>
      <c r="B1602" t="str">
        <f>"1578726380947701"</f>
        <v>1578726380947701</v>
      </c>
      <c r="C1602" t="s">
        <v>37</v>
      </c>
      <c r="D1602">
        <v>4.7176229999999997</v>
      </c>
      <c r="E1602">
        <v>0.42711949999999999</v>
      </c>
      <c r="F1602" t="s">
        <v>78</v>
      </c>
      <c r="G1602">
        <v>-418.4495</v>
      </c>
      <c r="H1602" s="1">
        <v>-4.8106729999999998E-6</v>
      </c>
      <c r="I1602">
        <v>127.6485</v>
      </c>
      <c r="J1602">
        <v>-409.5641</v>
      </c>
      <c r="K1602">
        <v>1.1196269999999999</v>
      </c>
      <c r="L1602">
        <v>136.58449999999999</v>
      </c>
      <c r="M1602">
        <v>-0.87267879999999998</v>
      </c>
      <c r="N1602">
        <v>0</v>
      </c>
      <c r="O1602">
        <v>-0.48802719999999999</v>
      </c>
      <c r="P1602">
        <v>-0.80331960000000002</v>
      </c>
      <c r="Q1602">
        <v>0.17433070000000001</v>
      </c>
      <c r="R1602">
        <v>-0.56946160000000001</v>
      </c>
      <c r="S1602">
        <v>-2.2560119999999899</v>
      </c>
      <c r="T1602">
        <v>-0.26410050000000002</v>
      </c>
      <c r="U1602">
        <v>-2.196396</v>
      </c>
      <c r="V1602">
        <v>-0.11249239999999899</v>
      </c>
      <c r="W1602">
        <v>0.1857529</v>
      </c>
      <c r="X1602">
        <v>0.97613589999999995</v>
      </c>
      <c r="Y1602">
        <v>-0.25972719999999999</v>
      </c>
      <c r="Z1602">
        <v>3.119837E-2</v>
      </c>
      <c r="AA1602">
        <v>0.96517799999999998</v>
      </c>
      <c r="AB1602">
        <v>41</v>
      </c>
      <c r="AC1602">
        <v>-8.8854000000000006</v>
      </c>
      <c r="AD1602">
        <v>-1.1196318106730001</v>
      </c>
      <c r="AE1602">
        <v>-8.9359999999999893</v>
      </c>
      <c r="AF1602">
        <v>-3.43527520495637</v>
      </c>
      <c r="AG1602">
        <v>-1.1196318106730001</v>
      </c>
      <c r="AH1602">
        <v>12.021794381368499</v>
      </c>
      <c r="AI1602">
        <v>95.117139522295503</v>
      </c>
      <c r="AJ1602">
        <v>105.947496845553</v>
      </c>
      <c r="AK1602">
        <v>12.553016819600099</v>
      </c>
    </row>
    <row r="1603" spans="1:37" x14ac:dyDescent="0.2">
      <c r="A1603" t="str">
        <f>"20200111150620995"</f>
        <v>20200111150620995</v>
      </c>
      <c r="B1603" t="str">
        <f>"1578726380987716"</f>
        <v>1578726380987716</v>
      </c>
      <c r="C1603" t="s">
        <v>37</v>
      </c>
      <c r="D1603">
        <v>4.72133</v>
      </c>
      <c r="E1603">
        <v>0.38101109999999999</v>
      </c>
      <c r="F1603" t="s">
        <v>78</v>
      </c>
      <c r="G1603">
        <v>-418.89280000000002</v>
      </c>
      <c r="H1603" s="1">
        <v>-4.4216570000000002E-6</v>
      </c>
      <c r="I1603">
        <v>126.9355</v>
      </c>
      <c r="J1603">
        <v>-410.25029999999998</v>
      </c>
      <c r="K1603">
        <v>1.119839</v>
      </c>
      <c r="L1603">
        <v>136.1781</v>
      </c>
      <c r="M1603">
        <v>-0.85703499999999999</v>
      </c>
      <c r="N1603">
        <v>0</v>
      </c>
      <c r="O1603">
        <v>-0.5150034</v>
      </c>
      <c r="P1603">
        <v>-0.78270200000000001</v>
      </c>
      <c r="Q1603">
        <v>0.17763870000000001</v>
      </c>
      <c r="R1603">
        <v>-0.59650800000000004</v>
      </c>
      <c r="S1603">
        <v>-2.1875309999999999</v>
      </c>
      <c r="T1603">
        <v>-0.26255020000000001</v>
      </c>
      <c r="U1603">
        <v>-2.2626650000000001</v>
      </c>
      <c r="V1603">
        <v>-0.11594400000000001</v>
      </c>
      <c r="W1603">
        <v>0.18889439999999999</v>
      </c>
      <c r="X1603">
        <v>0.97512869999999996</v>
      </c>
      <c r="Y1603">
        <v>-0.25889059999999903</v>
      </c>
      <c r="Z1603">
        <v>3.3477350000000003E-2</v>
      </c>
      <c r="AA1603">
        <v>0.96532629999999997</v>
      </c>
      <c r="AB1603">
        <v>41</v>
      </c>
      <c r="AC1603">
        <v>-8.6425000000000392</v>
      </c>
      <c r="AD1603">
        <v>-1.1198434216569999</v>
      </c>
      <c r="AE1603">
        <v>-9.2425999999999906</v>
      </c>
      <c r="AF1603">
        <v>-3.44379852439423</v>
      </c>
      <c r="AG1603">
        <v>-1.1198434216569999</v>
      </c>
      <c r="AH1603">
        <v>12.0739295435086</v>
      </c>
      <c r="AI1603">
        <v>95.096824755503306</v>
      </c>
      <c r="AJ1603">
        <v>105.919526850791</v>
      </c>
      <c r="AK1603">
        <v>12.605299369204101</v>
      </c>
    </row>
    <row r="1604" spans="1:37" x14ac:dyDescent="0.2">
      <c r="A1604" t="str">
        <f>"20200111150621021"</f>
        <v>20200111150621021</v>
      </c>
      <c r="B1604" t="str">
        <f>"1578726381017973"</f>
        <v>1578726381017973</v>
      </c>
      <c r="C1604" t="s">
        <v>37</v>
      </c>
      <c r="D1604">
        <v>4.3349769999999896</v>
      </c>
      <c r="E1604">
        <v>0.37899460000000001</v>
      </c>
      <c r="F1604" t="s">
        <v>81</v>
      </c>
      <c r="G1604">
        <v>-440.75</v>
      </c>
      <c r="H1604">
        <v>1.337159</v>
      </c>
      <c r="I1604">
        <v>93.289689999999993</v>
      </c>
      <c r="J1604">
        <v>-410.63659999999999</v>
      </c>
      <c r="K1604">
        <v>1.119945</v>
      </c>
      <c r="L1604">
        <v>135.93610000000001</v>
      </c>
      <c r="M1604">
        <v>-0.84763809999999995</v>
      </c>
      <c r="N1604">
        <v>0</v>
      </c>
      <c r="O1604">
        <v>-0.53032699999999999</v>
      </c>
      <c r="P1604">
        <v>-0.77046510000000001</v>
      </c>
      <c r="Q1604">
        <v>0.1798371</v>
      </c>
      <c r="R1604">
        <v>-0.61158999999999997</v>
      </c>
      <c r="S1604">
        <v>-1.848724</v>
      </c>
      <c r="T1604">
        <v>1.317394E-2</v>
      </c>
      <c r="U1604">
        <v>-2.59964</v>
      </c>
      <c r="V1604">
        <v>-0.117758399999999</v>
      </c>
      <c r="W1604">
        <v>0.19100339999999999</v>
      </c>
      <c r="X1604">
        <v>0.97450020000000004</v>
      </c>
      <c r="Y1604">
        <v>-0.38347959999999998</v>
      </c>
      <c r="Z1604">
        <v>-1.4924560000000001E-3</v>
      </c>
      <c r="AA1604">
        <v>0.92354820000000004</v>
      </c>
      <c r="AB1604">
        <v>41</v>
      </c>
      <c r="AC1604">
        <v>-30.113399999999999</v>
      </c>
      <c r="AD1604">
        <v>0.21721399999999999</v>
      </c>
      <c r="AE1604">
        <v>-42.646410000000003</v>
      </c>
      <c r="AF1604">
        <v>-20.1810767762856</v>
      </c>
      <c r="AG1604">
        <v>0.21721399999999999</v>
      </c>
      <c r="AH1604">
        <v>48.147304433419897</v>
      </c>
      <c r="AI1604">
        <v>89.761609072345706</v>
      </c>
      <c r="AJ1604">
        <v>112.741130242979</v>
      </c>
      <c r="AK1604">
        <v>52.206187046906102</v>
      </c>
    </row>
    <row r="1605" spans="1:37" x14ac:dyDescent="0.2">
      <c r="A1605" t="str">
        <f>"20200111150621044"</f>
        <v>20200111150621044</v>
      </c>
      <c r="B1605" t="str">
        <f>"1578726381038469"</f>
        <v>1578726381038469</v>
      </c>
      <c r="C1605" t="s">
        <v>37</v>
      </c>
      <c r="D1605">
        <v>4.3843430000000003</v>
      </c>
      <c r="E1605">
        <v>0.3784651</v>
      </c>
      <c r="F1605" t="s">
        <v>81</v>
      </c>
      <c r="G1605">
        <v>-440.75</v>
      </c>
      <c r="H1605">
        <v>1.573383</v>
      </c>
      <c r="I1605">
        <v>91.334879999999998</v>
      </c>
      <c r="J1605">
        <v>-410.97620000000001</v>
      </c>
      <c r="K1605">
        <v>1.1200270000000001</v>
      </c>
      <c r="L1605">
        <v>135.71549999999999</v>
      </c>
      <c r="M1605">
        <v>-0.83901539999999997</v>
      </c>
      <c r="N1605">
        <v>0</v>
      </c>
      <c r="O1605">
        <v>-0.5438653</v>
      </c>
      <c r="P1605">
        <v>-0.75900599999999996</v>
      </c>
      <c r="Q1605">
        <v>0.18098989999999901</v>
      </c>
      <c r="R1605">
        <v>-0.62542209999999998</v>
      </c>
      <c r="S1605">
        <v>-1.7867740000000001</v>
      </c>
      <c r="T1605">
        <v>2.6905780000000001E-2</v>
      </c>
      <c r="U1605">
        <v>-2.6463930000000002</v>
      </c>
      <c r="V1605">
        <v>-0.1199798</v>
      </c>
      <c r="W1605">
        <v>0.19205220000000001</v>
      </c>
      <c r="X1605">
        <v>0.97402299999999997</v>
      </c>
      <c r="Y1605">
        <v>-0.39108399999999999</v>
      </c>
      <c r="Z1605">
        <v>-3.1432970000000002E-3</v>
      </c>
      <c r="AA1605">
        <v>0.92034959999999899</v>
      </c>
      <c r="AB1605">
        <v>41</v>
      </c>
      <c r="AC1605">
        <v>-29.773799999999898</v>
      </c>
      <c r="AD1605">
        <v>0.45335599999999898</v>
      </c>
      <c r="AE1605">
        <v>-44.380619999999901</v>
      </c>
      <c r="AF1605">
        <v>-21.044347598513301</v>
      </c>
      <c r="AG1605">
        <v>0.45335599999999898</v>
      </c>
      <c r="AH1605">
        <v>49.120698419494701</v>
      </c>
      <c r="AI1605">
        <v>89.513934592155096</v>
      </c>
      <c r="AJ1605">
        <v>113.191317346575</v>
      </c>
      <c r="AK1605">
        <v>53.440743920053499</v>
      </c>
    </row>
    <row r="1606" spans="1:37" x14ac:dyDescent="0.2">
      <c r="A1606" t="str">
        <f>"20200111150621066"</f>
        <v>20200111150621066</v>
      </c>
      <c r="B1606" t="str">
        <f>"1578726381057988"</f>
        <v>1578726381057988</v>
      </c>
      <c r="C1606" t="s">
        <v>37</v>
      </c>
      <c r="D1606">
        <v>4.3601150000000004</v>
      </c>
      <c r="E1606">
        <v>0.37691779999999903</v>
      </c>
      <c r="F1606" t="s">
        <v>81</v>
      </c>
      <c r="G1606">
        <v>-440.75</v>
      </c>
      <c r="H1606">
        <v>1.744777</v>
      </c>
      <c r="I1606">
        <v>89.695059999999998</v>
      </c>
      <c r="J1606">
        <v>-411.32170000000002</v>
      </c>
      <c r="K1606">
        <v>1.120099</v>
      </c>
      <c r="L1606">
        <v>135.48339999999999</v>
      </c>
      <c r="M1606">
        <v>-0.82988799999999996</v>
      </c>
      <c r="N1606">
        <v>0</v>
      </c>
      <c r="O1606">
        <v>-0.55769299999999999</v>
      </c>
      <c r="P1606">
        <v>-0.747453699999999</v>
      </c>
      <c r="Q1606">
        <v>0.18007139999999999</v>
      </c>
      <c r="R1606">
        <v>-0.63944290000000004</v>
      </c>
      <c r="S1606">
        <v>-1.7346189999999999</v>
      </c>
      <c r="T1606">
        <v>3.6399010000000002E-2</v>
      </c>
      <c r="U1606">
        <v>-2.6811370000000001</v>
      </c>
      <c r="V1606">
        <v>-0.1218547</v>
      </c>
      <c r="W1606">
        <v>0.19104979999999999</v>
      </c>
      <c r="X1606">
        <v>0.97398739999999995</v>
      </c>
      <c r="Y1606">
        <v>-0.39389619999999997</v>
      </c>
      <c r="Z1606">
        <v>-4.4157210000000001E-3</v>
      </c>
      <c r="AA1606">
        <v>0.91914430000000003</v>
      </c>
      <c r="AB1606">
        <v>41</v>
      </c>
      <c r="AC1606">
        <v>-29.428299999999901</v>
      </c>
      <c r="AD1606">
        <v>0.62467799999999996</v>
      </c>
      <c r="AE1606">
        <v>-45.788339999999899</v>
      </c>
      <c r="AF1606">
        <v>-21.587248270325802</v>
      </c>
      <c r="AG1606">
        <v>0.62467799999999996</v>
      </c>
      <c r="AH1606">
        <v>49.958055826088902</v>
      </c>
      <c r="AI1606">
        <v>89.342371406225595</v>
      </c>
      <c r="AJ1606">
        <v>113.36953261869699</v>
      </c>
      <c r="AK1606">
        <v>54.426159633130297</v>
      </c>
    </row>
    <row r="1607" spans="1:37" x14ac:dyDescent="0.2">
      <c r="A1607" t="str">
        <f>"20200111150621088"</f>
        <v>20200111150621088</v>
      </c>
      <c r="B1607" t="str">
        <f>"1578726381078485"</f>
        <v>1578726381078485</v>
      </c>
      <c r="C1607" t="s">
        <v>37</v>
      </c>
      <c r="D1607">
        <v>4.537884</v>
      </c>
      <c r="E1607">
        <v>0.38031549999999997</v>
      </c>
      <c r="F1607" t="s">
        <v>81</v>
      </c>
      <c r="G1607">
        <v>-440.20710000000003</v>
      </c>
      <c r="H1607">
        <v>1.932563</v>
      </c>
      <c r="I1607">
        <v>88.57902</v>
      </c>
      <c r="J1607">
        <v>-411.64210000000003</v>
      </c>
      <c r="K1607">
        <v>1.1201459999999901</v>
      </c>
      <c r="L1607">
        <v>135.26050000000001</v>
      </c>
      <c r="M1607">
        <v>-0.82108320000000001</v>
      </c>
      <c r="N1607">
        <v>0</v>
      </c>
      <c r="O1607">
        <v>-0.57057650000000004</v>
      </c>
      <c r="P1607">
        <v>-0.73578719999999997</v>
      </c>
      <c r="Q1607">
        <v>0.1785457</v>
      </c>
      <c r="R1607">
        <v>-0.65325269999999902</v>
      </c>
      <c r="S1607">
        <v>-1.675171</v>
      </c>
      <c r="T1607">
        <v>4.711866E-2</v>
      </c>
      <c r="U1607">
        <v>-2.7201390000000001</v>
      </c>
      <c r="V1607">
        <v>-0.12455819999999999</v>
      </c>
      <c r="W1607">
        <v>0.18940570000000001</v>
      </c>
      <c r="X1607">
        <v>0.97396649999999996</v>
      </c>
      <c r="Y1607">
        <v>-0.40000459999999999</v>
      </c>
      <c r="Z1607">
        <v>-5.8884369999999998E-3</v>
      </c>
      <c r="AA1607">
        <v>0.91649429999999998</v>
      </c>
      <c r="AB1607">
        <v>41</v>
      </c>
      <c r="AC1607">
        <v>-28.565000000000001</v>
      </c>
      <c r="AD1607">
        <v>0.81241699999999994</v>
      </c>
      <c r="AE1607">
        <v>-46.681480000000001</v>
      </c>
      <c r="AF1607">
        <v>-22.028924705103702</v>
      </c>
      <c r="AG1607">
        <v>0.81241699999999994</v>
      </c>
      <c r="AH1607">
        <v>50.085194117357197</v>
      </c>
      <c r="AI1607">
        <v>89.149335485280702</v>
      </c>
      <c r="AJ1607">
        <v>113.74128925015199</v>
      </c>
      <c r="AK1607">
        <v>54.721661294393897</v>
      </c>
    </row>
    <row r="1608" spans="1:37" x14ac:dyDescent="0.2">
      <c r="A1608" t="str">
        <f>"20200111150621112"</f>
        <v>20200111150621112</v>
      </c>
      <c r="B1608" t="str">
        <f>"1578726381107766"</f>
        <v>1578726381107766</v>
      </c>
      <c r="C1608" t="s">
        <v>37</v>
      </c>
      <c r="D1608">
        <v>4.4926089999999999</v>
      </c>
      <c r="E1608">
        <v>0.38345990000000002</v>
      </c>
      <c r="F1608" t="s">
        <v>81</v>
      </c>
      <c r="G1608">
        <v>-440.20710000000003</v>
      </c>
      <c r="H1608">
        <v>1.415367</v>
      </c>
      <c r="I1608">
        <v>87.855559999999997</v>
      </c>
      <c r="J1608">
        <v>-411.9803</v>
      </c>
      <c r="K1608">
        <v>1.1201939999999999</v>
      </c>
      <c r="L1608">
        <v>135.01730000000001</v>
      </c>
      <c r="M1608">
        <v>-0.81143279999999995</v>
      </c>
      <c r="N1608">
        <v>0</v>
      </c>
      <c r="O1608">
        <v>-0.58421899999999904</v>
      </c>
      <c r="P1608">
        <v>-0.72319609999999901</v>
      </c>
      <c r="Q1608">
        <v>0.17696909999999999</v>
      </c>
      <c r="R1608">
        <v>-0.66758490000000004</v>
      </c>
      <c r="S1608">
        <v>-1.64679</v>
      </c>
      <c r="T1608">
        <v>1.7020819999999999E-2</v>
      </c>
      <c r="U1608">
        <v>-2.73291</v>
      </c>
      <c r="V1608">
        <v>-0.12716479999999999</v>
      </c>
      <c r="W1608">
        <v>0.18771379999999999</v>
      </c>
      <c r="X1608">
        <v>0.97395719999999997</v>
      </c>
      <c r="Y1608">
        <v>-0.39353399999999999</v>
      </c>
      <c r="Z1608">
        <v>-2.2292470000000002E-3</v>
      </c>
      <c r="AA1608">
        <v>0.9193074</v>
      </c>
      <c r="AB1608">
        <v>41</v>
      </c>
      <c r="AC1608">
        <v>-28.226800000000001</v>
      </c>
      <c r="AD1608">
        <v>0.29517299999999902</v>
      </c>
      <c r="AE1608">
        <v>-47.161740000000002</v>
      </c>
      <c r="AF1608">
        <v>-21.780207553838299</v>
      </c>
      <c r="AG1608">
        <v>0.29517299999999902</v>
      </c>
      <c r="AH1608">
        <v>50.462166722383003</v>
      </c>
      <c r="AI1608">
        <v>89.692295713863999</v>
      </c>
      <c r="AJ1608">
        <v>113.34573260728</v>
      </c>
      <c r="AK1608">
        <v>54.962667680033398</v>
      </c>
    </row>
    <row r="1609" spans="1:37" x14ac:dyDescent="0.2">
      <c r="A1609" t="str">
        <f>"20200111150621136"</f>
        <v>20200111150621136</v>
      </c>
      <c r="B1609" t="str">
        <f>"1578726381128261"</f>
        <v>1578726381128261</v>
      </c>
      <c r="C1609" t="s">
        <v>37</v>
      </c>
      <c r="D1609">
        <v>4.3469300000000004</v>
      </c>
      <c r="E1609">
        <v>0.38334649999999998</v>
      </c>
      <c r="F1609" t="s">
        <v>81</v>
      </c>
      <c r="G1609">
        <v>-440.20710000000003</v>
      </c>
      <c r="H1609">
        <v>0.93768009999999902</v>
      </c>
      <c r="I1609">
        <v>86.929819999999907</v>
      </c>
      <c r="J1609">
        <v>-412.32389999999998</v>
      </c>
      <c r="K1609">
        <v>1.120234</v>
      </c>
      <c r="L1609">
        <v>134.76050000000001</v>
      </c>
      <c r="M1609">
        <v>-0.8012205</v>
      </c>
      <c r="N1609">
        <v>0</v>
      </c>
      <c r="O1609">
        <v>-0.59814699999999998</v>
      </c>
      <c r="P1609">
        <v>-0.70971879999999998</v>
      </c>
      <c r="Q1609">
        <v>0.17589179999999999</v>
      </c>
      <c r="R1609">
        <v>-0.68217419999999995</v>
      </c>
      <c r="S1609">
        <v>-1.613464</v>
      </c>
      <c r="T1609">
        <v>-1.043141E-2</v>
      </c>
      <c r="U1609">
        <v>-2.7487029999999999</v>
      </c>
      <c r="V1609">
        <v>-0.13000529999999999</v>
      </c>
      <c r="W1609">
        <v>0.18651039999999999</v>
      </c>
      <c r="X1609">
        <v>0.97381340000000005</v>
      </c>
      <c r="Y1609">
        <v>-0.3882314</v>
      </c>
      <c r="Z1609">
        <v>1.428024E-3</v>
      </c>
      <c r="AA1609">
        <v>0.92156079999999996</v>
      </c>
      <c r="AB1609">
        <v>41</v>
      </c>
      <c r="AC1609">
        <v>-27.883199999999999</v>
      </c>
      <c r="AD1609">
        <v>-0.18255389999999999</v>
      </c>
      <c r="AE1609">
        <v>-47.830680000000001</v>
      </c>
      <c r="AF1609">
        <v>-21.647311542232298</v>
      </c>
      <c r="AG1609">
        <v>-0.18255389999999999</v>
      </c>
      <c r="AH1609">
        <v>50.956589796905398</v>
      </c>
      <c r="AI1609">
        <v>90.188922712477705</v>
      </c>
      <c r="AJ1609">
        <v>113.016692279053</v>
      </c>
      <c r="AK1609">
        <v>55.364370010530799</v>
      </c>
    </row>
    <row r="1610" spans="1:37" x14ac:dyDescent="0.2">
      <c r="A1610" t="str">
        <f>"20200111150621156"</f>
        <v>20200111150621156</v>
      </c>
      <c r="B1610" t="str">
        <f>"1578726381147781"</f>
        <v>1578726381147781</v>
      </c>
      <c r="C1610" t="s">
        <v>37</v>
      </c>
      <c r="D1610">
        <v>4.366269</v>
      </c>
      <c r="E1610">
        <v>0.38347140000000002</v>
      </c>
      <c r="F1610" t="s">
        <v>83</v>
      </c>
      <c r="G1610">
        <v>-451.709</v>
      </c>
      <c r="H1610">
        <v>0.7422955</v>
      </c>
      <c r="I1610">
        <v>64.450009999999907</v>
      </c>
      <c r="J1610">
        <v>-412.60829999999999</v>
      </c>
      <c r="K1610">
        <v>1.1202719999999999</v>
      </c>
      <c r="L1610">
        <v>134.5412</v>
      </c>
      <c r="M1610">
        <v>-0.79246450000000002</v>
      </c>
      <c r="N1610">
        <v>0</v>
      </c>
      <c r="O1610">
        <v>-0.60969980000000001</v>
      </c>
      <c r="P1610">
        <v>-0.69786479999999995</v>
      </c>
      <c r="Q1610">
        <v>0.174036</v>
      </c>
      <c r="R1610">
        <v>-0.69476349999999998</v>
      </c>
      <c r="S1610">
        <v>-1.557739</v>
      </c>
      <c r="T1610">
        <v>-1.49472999999999E-2</v>
      </c>
      <c r="U1610">
        <v>-2.7808839999999999</v>
      </c>
      <c r="V1610">
        <v>-0.1329766</v>
      </c>
      <c r="W1610">
        <v>0.1845242</v>
      </c>
      <c r="X1610">
        <v>0.9737905</v>
      </c>
      <c r="Y1610">
        <v>-0.3934704</v>
      </c>
      <c r="Z1610">
        <v>2.0975659999999999E-3</v>
      </c>
      <c r="AA1610">
        <v>0.91933489999999995</v>
      </c>
      <c r="AB1610">
        <v>41</v>
      </c>
      <c r="AC1610">
        <v>-39.100700000000003</v>
      </c>
      <c r="AD1610">
        <v>-0.37797649999999999</v>
      </c>
      <c r="AE1610">
        <v>-70.091189999999997</v>
      </c>
      <c r="AF1610">
        <v>-31.708607933338399</v>
      </c>
      <c r="AG1610">
        <v>-0.37797649999999999</v>
      </c>
      <c r="AH1610">
        <v>73.728679060947798</v>
      </c>
      <c r="AI1610">
        <v>90.269833358785405</v>
      </c>
      <c r="AJ1610">
        <v>113.271164943222</v>
      </c>
      <c r="AK1610">
        <v>80.258935947201294</v>
      </c>
    </row>
    <row r="1611" spans="1:37" x14ac:dyDescent="0.2">
      <c r="A1611" t="str">
        <f>"20200111150621177"</f>
        <v>20200111150621177</v>
      </c>
      <c r="B1611" t="str">
        <f>"1578726381168277"</f>
        <v>1578726381168277</v>
      </c>
      <c r="C1611" t="s">
        <v>37</v>
      </c>
      <c r="D1611">
        <v>4.3310389999999996</v>
      </c>
      <c r="E1611">
        <v>0.38409280000000001</v>
      </c>
      <c r="F1611" t="s">
        <v>83</v>
      </c>
      <c r="G1611">
        <v>-450.33359999999999</v>
      </c>
      <c r="H1611">
        <v>0.54715119999999995</v>
      </c>
      <c r="I1611">
        <v>64.450009999999907</v>
      </c>
      <c r="J1611">
        <v>-412.90449999999998</v>
      </c>
      <c r="K1611">
        <v>1.120309</v>
      </c>
      <c r="L1611">
        <v>134.30549999999999</v>
      </c>
      <c r="M1611">
        <v>-0.78302989999999995</v>
      </c>
      <c r="N1611">
        <v>0</v>
      </c>
      <c r="O1611">
        <v>-0.62176980000000004</v>
      </c>
      <c r="P1611">
        <v>-0.6858786</v>
      </c>
      <c r="Q1611">
        <v>0.17380860000000001</v>
      </c>
      <c r="R1611">
        <v>-0.70665529999999999</v>
      </c>
      <c r="S1611">
        <v>-1.510529</v>
      </c>
      <c r="T1611">
        <v>-2.294707E-2</v>
      </c>
      <c r="U1611">
        <v>-2.8064580000000001</v>
      </c>
      <c r="V1611">
        <v>-0.13477020000000001</v>
      </c>
      <c r="W1611">
        <v>0.18421489999999999</v>
      </c>
      <c r="X1611">
        <v>0.97360249999999904</v>
      </c>
      <c r="Y1611">
        <v>-0.39487230000000001</v>
      </c>
      <c r="Z1611">
        <v>3.3168170000000001E-3</v>
      </c>
      <c r="AA1611">
        <v>0.91872999999999905</v>
      </c>
      <c r="AB1611">
        <v>40</v>
      </c>
      <c r="AC1611">
        <v>-37.429099999999998</v>
      </c>
      <c r="AD1611">
        <v>-0.57315780000000005</v>
      </c>
      <c r="AE1611">
        <v>-69.855490000000003</v>
      </c>
      <c r="AF1611">
        <v>-31.429197746951399</v>
      </c>
      <c r="AG1611">
        <v>-0.57315780000000005</v>
      </c>
      <c r="AH1611">
        <v>72.748027950932695</v>
      </c>
      <c r="AI1611">
        <v>90.414387859523103</v>
      </c>
      <c r="AJ1611">
        <v>113.365704881075</v>
      </c>
      <c r="AK1611">
        <v>79.248965618677701</v>
      </c>
    </row>
    <row r="1612" spans="1:37" x14ac:dyDescent="0.2">
      <c r="A1612" t="str">
        <f>"20200111150621199"</f>
        <v>20200111150621199</v>
      </c>
      <c r="B1612" t="str">
        <f>"1578726381187798"</f>
        <v>1578726381187798</v>
      </c>
      <c r="C1612" t="s">
        <v>37</v>
      </c>
      <c r="D1612">
        <v>4.3813969999999998</v>
      </c>
      <c r="E1612">
        <v>0.38478200000000001</v>
      </c>
      <c r="F1612" t="s">
        <v>83</v>
      </c>
      <c r="G1612">
        <v>-449.09980000000002</v>
      </c>
      <c r="H1612">
        <v>0.46735979999999999</v>
      </c>
      <c r="I1612">
        <v>64.450009999999907</v>
      </c>
      <c r="J1612">
        <v>-413.20949999999999</v>
      </c>
      <c r="K1612">
        <v>1.1203459999999901</v>
      </c>
      <c r="L1612">
        <v>134.0549</v>
      </c>
      <c r="M1612">
        <v>-0.7729743</v>
      </c>
      <c r="N1612">
        <v>0</v>
      </c>
      <c r="O1612">
        <v>-0.63422709999999904</v>
      </c>
      <c r="P1612">
        <v>-0.67375850000000004</v>
      </c>
      <c r="Q1612">
        <v>0.174678799999999</v>
      </c>
      <c r="R1612">
        <v>-0.71800909999999996</v>
      </c>
      <c r="S1612">
        <v>-1.465881</v>
      </c>
      <c r="T1612">
        <v>-2.6443120000000001E-2</v>
      </c>
      <c r="U1612">
        <v>-2.8290860000000002</v>
      </c>
      <c r="V1612">
        <v>-0.13563549999999999</v>
      </c>
      <c r="W1612">
        <v>0.18504200000000001</v>
      </c>
      <c r="X1612">
        <v>0.97332549999999995</v>
      </c>
      <c r="Y1612">
        <v>-0.3945919</v>
      </c>
      <c r="Z1612">
        <v>3.9447199999999997E-3</v>
      </c>
      <c r="AA1612">
        <v>0.918848</v>
      </c>
      <c r="AB1612">
        <v>40</v>
      </c>
      <c r="AC1612">
        <v>-35.890300000000003</v>
      </c>
      <c r="AD1612">
        <v>-0.65298619999999896</v>
      </c>
      <c r="AE1612">
        <v>-69.604889999999997</v>
      </c>
      <c r="AF1612">
        <v>-31.0421723477047</v>
      </c>
      <c r="AG1612">
        <v>-0.65298619999999896</v>
      </c>
      <c r="AH1612">
        <v>71.892177522373103</v>
      </c>
      <c r="AI1612">
        <v>90.477762322147001</v>
      </c>
      <c r="AJ1612">
        <v>113.354102493761</v>
      </c>
      <c r="AK1612">
        <v>78.3104593521862</v>
      </c>
    </row>
    <row r="1613" spans="1:37" x14ac:dyDescent="0.2">
      <c r="A1613" t="str">
        <f>"20200111150621221"</f>
        <v>20200111150621221</v>
      </c>
      <c r="B1613" t="str">
        <f>"1578726381218054"</f>
        <v>1578726381218054</v>
      </c>
      <c r="C1613" t="s">
        <v>37</v>
      </c>
      <c r="D1613">
        <v>4.3689849999999897</v>
      </c>
      <c r="E1613">
        <v>0.38585049999999999</v>
      </c>
      <c r="F1613" t="s">
        <v>83</v>
      </c>
      <c r="G1613">
        <v>-447.95420000000001</v>
      </c>
      <c r="H1613">
        <v>0.44666620000000001</v>
      </c>
      <c r="I1613">
        <v>64.450009999999907</v>
      </c>
      <c r="J1613">
        <v>-413.5077</v>
      </c>
      <c r="K1613">
        <v>1.1203829999999999</v>
      </c>
      <c r="L1613">
        <v>133.80189999999999</v>
      </c>
      <c r="M1613">
        <v>-0.76279469999999905</v>
      </c>
      <c r="N1613">
        <v>0</v>
      </c>
      <c r="O1613">
        <v>-0.64643419999999996</v>
      </c>
      <c r="P1613">
        <v>-0.66118739999999998</v>
      </c>
      <c r="Q1613">
        <v>0.176388299999999</v>
      </c>
      <c r="R1613">
        <v>-0.72919029999999996</v>
      </c>
      <c r="S1613">
        <v>-1.4226379999999901</v>
      </c>
      <c r="T1613">
        <v>-2.7583239999999998E-2</v>
      </c>
      <c r="U1613">
        <v>-2.8499910000000002</v>
      </c>
      <c r="V1613">
        <v>-0.13684179999999899</v>
      </c>
      <c r="W1613">
        <v>0.1866912</v>
      </c>
      <c r="X1613">
        <v>0.97284159999999997</v>
      </c>
      <c r="Y1613">
        <v>-0.39383570000000001</v>
      </c>
      <c r="Z1613">
        <v>4.2427250000000001E-3</v>
      </c>
      <c r="AA1613">
        <v>0.91917099999999996</v>
      </c>
      <c r="AB1613">
        <v>40</v>
      </c>
      <c r="AC1613">
        <v>-34.4465</v>
      </c>
      <c r="AD1613">
        <v>-0.67371679999999901</v>
      </c>
      <c r="AE1613">
        <v>-69.351889999999997</v>
      </c>
      <c r="AF1613">
        <v>-30.635630972160399</v>
      </c>
      <c r="AG1613">
        <v>-0.67371679999999901</v>
      </c>
      <c r="AH1613">
        <v>71.111155511428805</v>
      </c>
      <c r="AI1613">
        <v>90.498519559045107</v>
      </c>
      <c r="AJ1613">
        <v>113.307019872274</v>
      </c>
      <c r="AK1613">
        <v>77.432501041614401</v>
      </c>
    </row>
    <row r="1614" spans="1:37" x14ac:dyDescent="0.2">
      <c r="A1614" t="str">
        <f>"20200111150621243"</f>
        <v>20200111150621243</v>
      </c>
      <c r="B1614" t="str">
        <f>"1578726381238549"</f>
        <v>1578726381238549</v>
      </c>
      <c r="C1614" t="s">
        <v>37</v>
      </c>
      <c r="D1614">
        <v>4.3870699999999996</v>
      </c>
      <c r="E1614">
        <v>0.38657399999999997</v>
      </c>
      <c r="F1614" t="s">
        <v>83</v>
      </c>
      <c r="G1614">
        <v>-446.92970000000003</v>
      </c>
      <c r="H1614">
        <v>0.41150059999999899</v>
      </c>
      <c r="I1614">
        <v>64.450009999999907</v>
      </c>
      <c r="J1614">
        <v>-413.8023</v>
      </c>
      <c r="K1614">
        <v>1.120406</v>
      </c>
      <c r="L1614">
        <v>133.5437</v>
      </c>
      <c r="M1614">
        <v>-0.75238070000000001</v>
      </c>
      <c r="N1614">
        <v>0</v>
      </c>
      <c r="O1614">
        <v>-0.65852580000000005</v>
      </c>
      <c r="P1614">
        <v>-0.6486982</v>
      </c>
      <c r="Q1614">
        <v>0.17693299999999901</v>
      </c>
      <c r="R1614">
        <v>-0.74019309999999905</v>
      </c>
      <c r="S1614">
        <v>-1.3821410000000001</v>
      </c>
      <c r="T1614">
        <v>-2.9314400000000001E-2</v>
      </c>
      <c r="U1614">
        <v>-2.8679809999999999</v>
      </c>
      <c r="V1614">
        <v>-0.13778959999999901</v>
      </c>
      <c r="W1614">
        <v>0.18718969999999999</v>
      </c>
      <c r="X1614">
        <v>0.97261200000000003</v>
      </c>
      <c r="Y1614">
        <v>-0.39194679999999998</v>
      </c>
      <c r="Z1614">
        <v>4.6498109999999898E-3</v>
      </c>
      <c r="AA1614">
        <v>0.91997619999999902</v>
      </c>
      <c r="AB1614">
        <v>40</v>
      </c>
      <c r="AC1614">
        <v>-33.127400000000002</v>
      </c>
      <c r="AD1614">
        <v>-0.70890540000000002</v>
      </c>
      <c r="AE1614">
        <v>-69.093689999999995</v>
      </c>
      <c r="AF1614">
        <v>-30.1709580778247</v>
      </c>
      <c r="AG1614">
        <v>-0.70890540000000002</v>
      </c>
      <c r="AH1614">
        <v>70.427771174008598</v>
      </c>
      <c r="AI1614">
        <v>90.530110300811103</v>
      </c>
      <c r="AJ1614">
        <v>113.19008639643999</v>
      </c>
      <c r="AK1614">
        <v>76.621538817349006</v>
      </c>
    </row>
    <row r="1615" spans="1:37" x14ac:dyDescent="0.2">
      <c r="A1615" t="str">
        <f>"20200111150621265"</f>
        <v>20200111150621265</v>
      </c>
      <c r="B1615" t="str">
        <f>"1578726381258069"</f>
        <v>1578726381258069</v>
      </c>
      <c r="C1615" t="s">
        <v>37</v>
      </c>
      <c r="D1615">
        <v>4.1246859999999996</v>
      </c>
      <c r="E1615">
        <v>0.38679259999999999</v>
      </c>
      <c r="F1615" t="s">
        <v>83</v>
      </c>
      <c r="G1615">
        <v>-445.82749999999999</v>
      </c>
      <c r="H1615">
        <v>0.37934859999999998</v>
      </c>
      <c r="I1615">
        <v>64.450009999999907</v>
      </c>
      <c r="J1615">
        <v>-414.09660000000002</v>
      </c>
      <c r="K1615">
        <v>1.120422</v>
      </c>
      <c r="L1615">
        <v>133.2775</v>
      </c>
      <c r="M1615">
        <v>-0.74161999999999995</v>
      </c>
      <c r="N1615">
        <v>0</v>
      </c>
      <c r="O1615">
        <v>-0.67062089999999996</v>
      </c>
      <c r="P1615">
        <v>-0.63630059999999999</v>
      </c>
      <c r="Q1615">
        <v>0.17718729999999999</v>
      </c>
      <c r="R1615">
        <v>-0.75081719999999996</v>
      </c>
      <c r="S1615">
        <v>-1.3383479999999901</v>
      </c>
      <c r="T1615">
        <v>-3.0968309999999999E-2</v>
      </c>
      <c r="U1615">
        <v>-2.887451</v>
      </c>
      <c r="V1615">
        <v>-0.13819139999999999</v>
      </c>
      <c r="W1615">
        <v>0.1874229</v>
      </c>
      <c r="X1615">
        <v>0.97250999999999999</v>
      </c>
      <c r="Y1615">
        <v>-0.39089950000000001</v>
      </c>
      <c r="Z1615">
        <v>5.0572070000000002E-3</v>
      </c>
      <c r="AA1615">
        <v>0.92041949999999995</v>
      </c>
      <c r="AB1615">
        <v>40</v>
      </c>
      <c r="AC1615">
        <v>-31.730899999999899</v>
      </c>
      <c r="AD1615">
        <v>-0.74107339999999999</v>
      </c>
      <c r="AE1615">
        <v>-68.827489999999997</v>
      </c>
      <c r="AF1615">
        <v>-29.7655726038656</v>
      </c>
      <c r="AG1615">
        <v>-0.74107339999999999</v>
      </c>
      <c r="AH1615">
        <v>69.692078889996097</v>
      </c>
      <c r="AI1615">
        <v>90.560275388018894</v>
      </c>
      <c r="AJ1615">
        <v>113.1273875973</v>
      </c>
      <c r="AK1615">
        <v>75.786043320849103</v>
      </c>
    </row>
    <row r="1616" spans="1:37" x14ac:dyDescent="0.2">
      <c r="A1616" t="str">
        <f>"20200111150621288"</f>
        <v>20200111150621288</v>
      </c>
      <c r="B1616" t="str">
        <f>"1578726381278565"</f>
        <v>1578726381278565</v>
      </c>
      <c r="C1616" t="s">
        <v>37</v>
      </c>
      <c r="D1616">
        <v>4.1139150000000004</v>
      </c>
      <c r="E1616">
        <v>0.38584099999999999</v>
      </c>
      <c r="F1616" t="s">
        <v>83</v>
      </c>
      <c r="G1616">
        <v>-444.1293</v>
      </c>
      <c r="H1616">
        <v>0.43830419999999998</v>
      </c>
      <c r="I1616">
        <v>65.675449999999998</v>
      </c>
      <c r="J1616">
        <v>-414.3818</v>
      </c>
      <c r="K1616">
        <v>1.12043</v>
      </c>
      <c r="L1616">
        <v>133.011</v>
      </c>
      <c r="M1616">
        <v>-0.73082290000000005</v>
      </c>
      <c r="N1616">
        <v>0</v>
      </c>
      <c r="O1616">
        <v>-0.68237169999999903</v>
      </c>
      <c r="P1616">
        <v>-0.62370930000000002</v>
      </c>
      <c r="Q1616">
        <v>0.17686089999999999</v>
      </c>
      <c r="R1616">
        <v>-0.76138569999999905</v>
      </c>
      <c r="S1616">
        <v>-1.291809</v>
      </c>
      <c r="T1616">
        <v>-2.9339190000000001E-2</v>
      </c>
      <c r="U1616">
        <v>-2.9077759999999899</v>
      </c>
      <c r="V1616">
        <v>-0.1389166</v>
      </c>
      <c r="W1616">
        <v>0.18706320000000001</v>
      </c>
      <c r="X1616">
        <v>0.97247600000000001</v>
      </c>
      <c r="Y1616">
        <v>-0.39089629999999997</v>
      </c>
      <c r="Z1616">
        <v>4.9209190000000002E-3</v>
      </c>
      <c r="AA1616">
        <v>0.92042159999999995</v>
      </c>
      <c r="AB1616">
        <v>40</v>
      </c>
      <c r="AC1616">
        <v>-29.747499999999999</v>
      </c>
      <c r="AD1616">
        <v>-0.6821258</v>
      </c>
      <c r="AE1616">
        <v>-67.335549999999998</v>
      </c>
      <c r="AF1616">
        <v>-28.9128840767806</v>
      </c>
      <c r="AG1616">
        <v>-0.6821258</v>
      </c>
      <c r="AH1616">
        <v>67.691245468255701</v>
      </c>
      <c r="AI1616">
        <v>90.530948977308199</v>
      </c>
      <c r="AJ1616">
        <v>113.12872613712899</v>
      </c>
      <c r="AK1616">
        <v>73.610630171789893</v>
      </c>
    </row>
    <row r="1617" spans="1:37" x14ac:dyDescent="0.2">
      <c r="A1617" t="str">
        <f>"20200111150621310"</f>
        <v>20200111150621310</v>
      </c>
      <c r="B1617" t="str">
        <f>"1578726381307844"</f>
        <v>1578726381307844</v>
      </c>
      <c r="C1617" t="s">
        <v>37</v>
      </c>
      <c r="D1617">
        <v>3.8127749999999998</v>
      </c>
      <c r="E1617">
        <v>0.38550400000000001</v>
      </c>
      <c r="F1617" t="s">
        <v>83</v>
      </c>
      <c r="G1617">
        <v>-442.78100000000001</v>
      </c>
      <c r="H1617">
        <v>0.51992459999999996</v>
      </c>
      <c r="I1617">
        <v>65.675449999999998</v>
      </c>
      <c r="J1617">
        <v>-414.66460000000001</v>
      </c>
      <c r="K1617">
        <v>1.120433</v>
      </c>
      <c r="L1617">
        <v>132.73820000000001</v>
      </c>
      <c r="M1617">
        <v>-0.71974719999999903</v>
      </c>
      <c r="N1617">
        <v>0</v>
      </c>
      <c r="O1617">
        <v>-0.69404379999999999</v>
      </c>
      <c r="P1617">
        <v>-0.6103613</v>
      </c>
      <c r="Q1617">
        <v>0.17641009999999999</v>
      </c>
      <c r="R1617">
        <v>-0.77222950000000001</v>
      </c>
      <c r="S1617">
        <v>-1.2370000000000001</v>
      </c>
      <c r="T1617">
        <v>-2.6155589999999999E-2</v>
      </c>
      <c r="U1617">
        <v>-2.9329529999999999</v>
      </c>
      <c r="V1617">
        <v>-0.14025839999999901</v>
      </c>
      <c r="W1617">
        <v>0.18655160000000001</v>
      </c>
      <c r="X1617">
        <v>0.97238169999999902</v>
      </c>
      <c r="Y1617">
        <v>-0.39352150000000002</v>
      </c>
      <c r="Z1617">
        <v>4.4908020000000003E-3</v>
      </c>
      <c r="AA1617">
        <v>0.91930449999999997</v>
      </c>
      <c r="AB1617">
        <v>40</v>
      </c>
      <c r="AC1617">
        <v>-28.116399999999999</v>
      </c>
      <c r="AD1617">
        <v>-0.60050839999999905</v>
      </c>
      <c r="AE1617">
        <v>-67.062749999999994</v>
      </c>
      <c r="AF1617">
        <v>-28.756094349182501</v>
      </c>
      <c r="AG1617">
        <v>-0.60050839999999905</v>
      </c>
      <c r="AH1617">
        <v>66.785554406585604</v>
      </c>
      <c r="AI1617">
        <v>90.4731708938303</v>
      </c>
      <c r="AJ1617">
        <v>113.295433813553</v>
      </c>
      <c r="AK1617">
        <v>72.715774423109707</v>
      </c>
    </row>
    <row r="1618" spans="1:37" x14ac:dyDescent="0.2">
      <c r="A1618" t="str">
        <f>"20200111150621337"</f>
        <v>20200111150621337</v>
      </c>
      <c r="B1618" t="str">
        <f>"1578726381328341"</f>
        <v>1578726381328341</v>
      </c>
      <c r="C1618" t="s">
        <v>37</v>
      </c>
      <c r="D1618">
        <v>4.4037350000000002</v>
      </c>
      <c r="E1618">
        <v>0.3856675</v>
      </c>
      <c r="F1618" t="s">
        <v>83</v>
      </c>
      <c r="G1618">
        <v>-441.51639999999998</v>
      </c>
      <c r="H1618">
        <v>0.51765749999999999</v>
      </c>
      <c r="I1618">
        <v>65.675449999999998</v>
      </c>
      <c r="J1618">
        <v>-414.98329999999999</v>
      </c>
      <c r="K1618">
        <v>1.1204339999999999</v>
      </c>
      <c r="L1618">
        <v>132.41919999999999</v>
      </c>
      <c r="M1618">
        <v>-0.70678090000000005</v>
      </c>
      <c r="N1618">
        <v>0</v>
      </c>
      <c r="O1618">
        <v>-0.70724359999999997</v>
      </c>
      <c r="P1618">
        <v>-0.59535649999999996</v>
      </c>
      <c r="Q1618">
        <v>0.17543829999999999</v>
      </c>
      <c r="R1618">
        <v>-0.78407419999999906</v>
      </c>
      <c r="S1618">
        <v>-1.183411</v>
      </c>
      <c r="T1618">
        <v>-2.65645999999999E-2</v>
      </c>
      <c r="U1618">
        <v>-2.9555660000000001</v>
      </c>
      <c r="V1618">
        <v>-0.1411348</v>
      </c>
      <c r="W1618">
        <v>0.18554100000000001</v>
      </c>
      <c r="X1618">
        <v>0.97244819999999998</v>
      </c>
      <c r="Y1618">
        <v>-0.39330549999999997</v>
      </c>
      <c r="Z1618">
        <v>4.6933019999999999E-3</v>
      </c>
      <c r="AA1618">
        <v>0.91939590000000004</v>
      </c>
      <c r="AB1618">
        <v>40</v>
      </c>
      <c r="AC1618">
        <v>-26.533099999999902</v>
      </c>
      <c r="AD1618">
        <v>-0.60277649999999905</v>
      </c>
      <c r="AE1618">
        <v>-66.743749999999906</v>
      </c>
      <c r="AF1618">
        <v>-28.409638339917301</v>
      </c>
      <c r="AG1618">
        <v>-0.60277649999999905</v>
      </c>
      <c r="AH1618">
        <v>65.961347824423498</v>
      </c>
      <c r="AI1618">
        <v>90.480870113216994</v>
      </c>
      <c r="AJ1618">
        <v>113.301607564021</v>
      </c>
      <c r="AK1618">
        <v>71.821795417048904</v>
      </c>
    </row>
    <row r="1619" spans="1:37" x14ac:dyDescent="0.2">
      <c r="A1619" t="str">
        <f>"20200111150621356"</f>
        <v>20200111150621356</v>
      </c>
      <c r="B1619" t="str">
        <f>"1578726381347861"</f>
        <v>1578726381347861</v>
      </c>
      <c r="C1619" t="s">
        <v>37</v>
      </c>
      <c r="D1619">
        <v>4.4002790000000003</v>
      </c>
      <c r="E1619">
        <v>0.38595170000000001</v>
      </c>
      <c r="F1619" t="s">
        <v>83</v>
      </c>
      <c r="G1619">
        <v>-441.45870000000002</v>
      </c>
      <c r="H1619">
        <v>0.39720229999999901</v>
      </c>
      <c r="I1619">
        <v>62.480369999999901</v>
      </c>
      <c r="J1619">
        <v>-415.23079999999999</v>
      </c>
      <c r="K1619">
        <v>1.1204350000000001</v>
      </c>
      <c r="L1619">
        <v>132.16329999999999</v>
      </c>
      <c r="M1619">
        <v>-0.69635809999999998</v>
      </c>
      <c r="N1619">
        <v>0</v>
      </c>
      <c r="O1619">
        <v>-0.71750800000000003</v>
      </c>
      <c r="P1619">
        <v>-0.58298240000000001</v>
      </c>
      <c r="Q1619">
        <v>0.17408940000000001</v>
      </c>
      <c r="R1619">
        <v>-0.79361470000000001</v>
      </c>
      <c r="S1619">
        <v>-1.1270450000000001</v>
      </c>
      <c r="T1619">
        <v>-3.0786750000000002E-2</v>
      </c>
      <c r="U1619">
        <v>-2.977249</v>
      </c>
      <c r="V1619">
        <v>-0.1423172</v>
      </c>
      <c r="W1619">
        <v>0.18414169999999999</v>
      </c>
      <c r="X1619">
        <v>0.97254180000000001</v>
      </c>
      <c r="Y1619">
        <v>-0.39729320000000001</v>
      </c>
      <c r="Z1619">
        <v>5.5443189999999998E-3</v>
      </c>
      <c r="AA1619">
        <v>0.91767500000000002</v>
      </c>
      <c r="AB1619">
        <v>40</v>
      </c>
      <c r="AC1619">
        <v>-26.227900000000002</v>
      </c>
      <c r="AD1619">
        <v>-0.72323269999999995</v>
      </c>
      <c r="AE1619">
        <v>-69.682929999999999</v>
      </c>
      <c r="AF1619">
        <v>-29.706718085827401</v>
      </c>
      <c r="AG1619">
        <v>-0.72323269999999995</v>
      </c>
      <c r="AH1619">
        <v>68.264766822495602</v>
      </c>
      <c r="AI1619">
        <v>90.556585041308693</v>
      </c>
      <c r="AJ1619">
        <v>113.517187472082</v>
      </c>
      <c r="AK1619">
        <v>74.451934523549298</v>
      </c>
    </row>
    <row r="1620" spans="1:37" x14ac:dyDescent="0.2">
      <c r="A1620" t="str">
        <f>"20200111150621381"</f>
        <v>20200111150621381</v>
      </c>
      <c r="B1620" t="str">
        <f>"1578726381378117"</f>
        <v>1578726381378117</v>
      </c>
      <c r="C1620" t="s">
        <v>37</v>
      </c>
      <c r="D1620">
        <v>4.2795769999999997</v>
      </c>
      <c r="E1620">
        <v>0.38546950000000002</v>
      </c>
      <c r="F1620" t="s">
        <v>83</v>
      </c>
      <c r="G1620">
        <v>-442.3252</v>
      </c>
      <c r="H1620">
        <v>0.1777726</v>
      </c>
      <c r="I1620">
        <v>57.167729999999999</v>
      </c>
      <c r="J1620">
        <v>-415.51909999999998</v>
      </c>
      <c r="K1620">
        <v>1.12043</v>
      </c>
      <c r="L1620">
        <v>131.85499999999999</v>
      </c>
      <c r="M1620">
        <v>-0.68378539999999999</v>
      </c>
      <c r="N1620">
        <v>0</v>
      </c>
      <c r="O1620">
        <v>-0.72950000000000004</v>
      </c>
      <c r="P1620">
        <v>-0.56748759999999998</v>
      </c>
      <c r="Q1620">
        <v>0.1737263</v>
      </c>
      <c r="R1620">
        <v>-0.8048459</v>
      </c>
      <c r="S1620">
        <v>-1.0816349999999999</v>
      </c>
      <c r="T1620">
        <v>-3.7631150000000002E-2</v>
      </c>
      <c r="U1620">
        <v>-2.993881</v>
      </c>
      <c r="V1620">
        <v>-0.14431559999999999</v>
      </c>
      <c r="W1620">
        <v>0.18368989999999999</v>
      </c>
      <c r="X1620">
        <v>0.9723328</v>
      </c>
      <c r="Y1620">
        <v>-0.39528930000000001</v>
      </c>
      <c r="Z1620">
        <v>6.9588799999999998E-3</v>
      </c>
      <c r="AA1620">
        <v>0.91853030000000002</v>
      </c>
      <c r="AB1620">
        <v>40</v>
      </c>
      <c r="AC1620">
        <v>-26.806100000000001</v>
      </c>
      <c r="AD1620">
        <v>-0.94265739999999998</v>
      </c>
      <c r="AE1620">
        <v>-74.687269999999899</v>
      </c>
      <c r="AF1620">
        <v>-31.5147799115217</v>
      </c>
      <c r="AG1620">
        <v>-0.94265739999999998</v>
      </c>
      <c r="AH1620">
        <v>72.8134404802707</v>
      </c>
      <c r="AI1620">
        <v>90.680705022913898</v>
      </c>
      <c r="AJ1620">
        <v>113.403705150948</v>
      </c>
      <c r="AK1620">
        <v>79.346500051478998</v>
      </c>
    </row>
    <row r="1621" spans="1:37" x14ac:dyDescent="0.2">
      <c r="A1621" t="str">
        <f>"20200111150621405"</f>
        <v>20200111150621405</v>
      </c>
      <c r="B1621" t="str">
        <f>"1578726381398614"</f>
        <v>1578726381398614</v>
      </c>
      <c r="C1621" t="s">
        <v>37</v>
      </c>
      <c r="D1621">
        <v>4.3017199999999898</v>
      </c>
      <c r="E1621">
        <v>0.38547029999999999</v>
      </c>
      <c r="F1621" t="s">
        <v>51</v>
      </c>
      <c r="G1621">
        <v>-434.22609999999997</v>
      </c>
      <c r="H1621">
        <v>0.43760539999999998</v>
      </c>
      <c r="I1621">
        <v>76.535129999999995</v>
      </c>
      <c r="J1621">
        <v>-415.80799999999999</v>
      </c>
      <c r="K1621">
        <v>1.1204240000000001</v>
      </c>
      <c r="L1621">
        <v>131.53530000000001</v>
      </c>
      <c r="M1621">
        <v>-0.67071320000000001</v>
      </c>
      <c r="N1621">
        <v>0</v>
      </c>
      <c r="O1621">
        <v>-0.74153639999999998</v>
      </c>
      <c r="P1621">
        <v>-0.55157769999999995</v>
      </c>
      <c r="Q1621">
        <v>0.17334559999999999</v>
      </c>
      <c r="R1621">
        <v>-0.81591279999999999</v>
      </c>
      <c r="S1621">
        <v>-1.019989</v>
      </c>
      <c r="T1621">
        <v>-3.7230609999999997E-2</v>
      </c>
      <c r="U1621">
        <v>-3.0162810000000002</v>
      </c>
      <c r="V1621">
        <v>-0.14616560000000001</v>
      </c>
      <c r="W1621">
        <v>0.183226799999999</v>
      </c>
      <c r="X1621">
        <v>0.9721438</v>
      </c>
      <c r="Y1621">
        <v>-0.3978853</v>
      </c>
      <c r="Z1621">
        <v>7.0437750000000004E-3</v>
      </c>
      <c r="AA1621">
        <v>0.91740809999999995</v>
      </c>
      <c r="AB1621">
        <v>40</v>
      </c>
      <c r="AC1621">
        <v>-18.4180999999999</v>
      </c>
      <c r="AD1621">
        <v>-0.68281859999999905</v>
      </c>
      <c r="AE1621">
        <v>-55.000169999999997</v>
      </c>
      <c r="AF1621">
        <v>-23.231537538622099</v>
      </c>
      <c r="AG1621">
        <v>-0.68281859999999905</v>
      </c>
      <c r="AH1621">
        <v>53.137637156339899</v>
      </c>
      <c r="AI1621">
        <v>90.674565734803906</v>
      </c>
      <c r="AJ1621">
        <v>113.61473395204099</v>
      </c>
      <c r="AK1621">
        <v>57.998095315344202</v>
      </c>
    </row>
    <row r="1622" spans="1:37" x14ac:dyDescent="0.2">
      <c r="A1622" t="str">
        <f>"20200111150621425"</f>
        <v>20200111150621425</v>
      </c>
      <c r="B1622" t="str">
        <f>"1578726381418132"</f>
        <v>1578726381418132</v>
      </c>
      <c r="C1622" t="s">
        <v>37</v>
      </c>
      <c r="D1622">
        <v>4.1820089999999999</v>
      </c>
      <c r="E1622">
        <v>0.38562829999999998</v>
      </c>
      <c r="F1622" t="s">
        <v>83</v>
      </c>
      <c r="G1622">
        <v>-442.3252</v>
      </c>
      <c r="H1622">
        <v>2.102619E-2</v>
      </c>
      <c r="I1622">
        <v>47.787089999999999</v>
      </c>
      <c r="J1622">
        <v>-416.04090000000002</v>
      </c>
      <c r="K1622">
        <v>1.120422</v>
      </c>
      <c r="L1622">
        <v>131.2689</v>
      </c>
      <c r="M1622">
        <v>-0.65980019999999995</v>
      </c>
      <c r="N1622">
        <v>0</v>
      </c>
      <c r="O1622">
        <v>-0.75126329999999997</v>
      </c>
      <c r="P1622">
        <v>-0.53917700000000002</v>
      </c>
      <c r="Q1622">
        <v>0.1730825</v>
      </c>
      <c r="R1622">
        <v>-0.82421549999999999</v>
      </c>
      <c r="S1622">
        <v>-0.96115110000000004</v>
      </c>
      <c r="T1622">
        <v>-3.9848450000000001E-2</v>
      </c>
      <c r="U1622">
        <v>-3.03555299999999</v>
      </c>
      <c r="V1622">
        <v>-0.1466779</v>
      </c>
      <c r="W1622">
        <v>0.18294179999999999</v>
      </c>
      <c r="X1622">
        <v>0.97212030000000005</v>
      </c>
      <c r="Y1622">
        <v>-0.40230739999999998</v>
      </c>
      <c r="Z1622">
        <v>7.6682529999999999E-3</v>
      </c>
      <c r="AA1622">
        <v>0.91547250000000002</v>
      </c>
      <c r="AB1622">
        <v>40</v>
      </c>
      <c r="AC1622">
        <v>-26.284299999999899</v>
      </c>
      <c r="AD1622">
        <v>-1.0993958100000001</v>
      </c>
      <c r="AE1622">
        <v>-83.481809999999996</v>
      </c>
      <c r="AF1622">
        <v>-35.334030484592098</v>
      </c>
      <c r="AG1622">
        <v>-1.0993958100000001</v>
      </c>
      <c r="AH1622">
        <v>80.057270418172195</v>
      </c>
      <c r="AI1622">
        <v>90.719790010118004</v>
      </c>
      <c r="AJ1622">
        <v>113.81471736079401</v>
      </c>
      <c r="AK1622">
        <v>87.514964024682598</v>
      </c>
    </row>
    <row r="1623" spans="1:37" x14ac:dyDescent="0.2">
      <c r="A1623" t="str">
        <f>"20200111150621448"</f>
        <v>20200111150621448</v>
      </c>
      <c r="B1623" t="str">
        <f>"1578726381438629"</f>
        <v>1578726381438629</v>
      </c>
      <c r="C1623" t="s">
        <v>37</v>
      </c>
      <c r="D1623">
        <v>4.3206639999999998</v>
      </c>
      <c r="E1623">
        <v>0.38575419999999999</v>
      </c>
      <c r="F1623" t="s">
        <v>83</v>
      </c>
      <c r="G1623">
        <v>-442.32510000000002</v>
      </c>
      <c r="H1623">
        <v>-4.5060459999999997E-2</v>
      </c>
      <c r="I1623">
        <v>43.706220000000002</v>
      </c>
      <c r="J1623">
        <v>-416.30169999999998</v>
      </c>
      <c r="K1623">
        <v>1.1204149999999999</v>
      </c>
      <c r="L1623">
        <v>130.96109999999999</v>
      </c>
      <c r="M1623">
        <v>-0.64716949999999995</v>
      </c>
      <c r="N1623">
        <v>0</v>
      </c>
      <c r="O1623">
        <v>-0.76217080000000004</v>
      </c>
      <c r="P1623">
        <v>-0.52545209999999998</v>
      </c>
      <c r="Q1623">
        <v>0.1726095</v>
      </c>
      <c r="R1623">
        <v>-0.8331305</v>
      </c>
      <c r="S1623">
        <v>-0.91540529999999998</v>
      </c>
      <c r="T1623">
        <v>-4.0589809999999997E-2</v>
      </c>
      <c r="U1623">
        <v>-3.0495450000000002</v>
      </c>
      <c r="V1623">
        <v>-0.146593899999999</v>
      </c>
      <c r="W1623">
        <v>0.18247529999999901</v>
      </c>
      <c r="X1623">
        <v>0.97222070000000005</v>
      </c>
      <c r="Y1623">
        <v>-0.40078130000000001</v>
      </c>
      <c r="Z1623">
        <v>7.9912170000000001E-3</v>
      </c>
      <c r="AA1623">
        <v>0.91613889999999998</v>
      </c>
      <c r="AB1623">
        <v>40</v>
      </c>
      <c r="AC1623">
        <v>-26.023399999999999</v>
      </c>
      <c r="AD1623">
        <v>-1.1654754599999999</v>
      </c>
      <c r="AE1623">
        <v>-87.254879999999901</v>
      </c>
      <c r="AF1623">
        <v>-36.633316834081697</v>
      </c>
      <c r="AG1623">
        <v>-1.1654754599999999</v>
      </c>
      <c r="AH1623">
        <v>83.342159382347006</v>
      </c>
      <c r="AI1623">
        <v>90.733464985558797</v>
      </c>
      <c r="AJ1623">
        <v>113.72804574009599</v>
      </c>
      <c r="AK1623">
        <v>91.045448902328999</v>
      </c>
    </row>
    <row r="1624" spans="1:37" x14ac:dyDescent="0.2">
      <c r="A1624" t="str">
        <f>"20200111150621467"</f>
        <v>20200111150621467</v>
      </c>
      <c r="B1624" t="str">
        <f>"1578726381458149"</f>
        <v>1578726381458149</v>
      </c>
      <c r="C1624" t="s">
        <v>37</v>
      </c>
      <c r="D1624">
        <v>4.3697559999999998</v>
      </c>
      <c r="E1624">
        <v>0.3862466</v>
      </c>
      <c r="F1624" t="s">
        <v>46</v>
      </c>
      <c r="G1624">
        <v>-440.27089999999998</v>
      </c>
      <c r="H1624">
        <v>-0.05</v>
      </c>
      <c r="I1624">
        <v>46.05162</v>
      </c>
      <c r="J1624">
        <v>-416.51</v>
      </c>
      <c r="K1624">
        <v>1.1204000000000001</v>
      </c>
      <c r="L1624">
        <v>130.7072</v>
      </c>
      <c r="M1624">
        <v>-0.63673809999999997</v>
      </c>
      <c r="N1624">
        <v>0</v>
      </c>
      <c r="O1624">
        <v>-0.77090669999999994</v>
      </c>
      <c r="P1624">
        <v>-0.51358740000000003</v>
      </c>
      <c r="Q1624">
        <v>0.17211750000000001</v>
      </c>
      <c r="R1624">
        <v>-0.84059719999999905</v>
      </c>
      <c r="S1624">
        <v>-0.8649597</v>
      </c>
      <c r="T1624">
        <v>-4.2235969999999998E-2</v>
      </c>
      <c r="U1624">
        <v>-3.0640719999999999</v>
      </c>
      <c r="V1624">
        <v>-0.14718999999999999</v>
      </c>
      <c r="W1624">
        <v>0.18195910000000001</v>
      </c>
      <c r="X1624">
        <v>0.97222730000000002</v>
      </c>
      <c r="Y1624">
        <v>-0.40341840000000001</v>
      </c>
      <c r="Z1624">
        <v>8.4478109999999995E-3</v>
      </c>
      <c r="AA1624">
        <v>0.91497659999999903</v>
      </c>
      <c r="AB1624">
        <v>40</v>
      </c>
      <c r="AC1624">
        <v>-23.7608999999999</v>
      </c>
      <c r="AD1624">
        <v>-1.1704000000000001</v>
      </c>
      <c r="AE1624">
        <v>-84.65558</v>
      </c>
      <c r="AF1624">
        <v>-35.584450883873998</v>
      </c>
      <c r="AG1624">
        <v>-1.1704000000000001</v>
      </c>
      <c r="AH1624">
        <v>80.387533267833206</v>
      </c>
      <c r="AI1624">
        <v>90.762757083394405</v>
      </c>
      <c r="AJ1624">
        <v>113.877118659266</v>
      </c>
      <c r="AK1624">
        <v>87.919158809407605</v>
      </c>
    </row>
    <row r="1625" spans="1:37" x14ac:dyDescent="0.2">
      <c r="A1625" t="str">
        <f>"20200111150621489"</f>
        <v>20200111150621489</v>
      </c>
      <c r="B1625" t="str">
        <f>"1578726381478645"</f>
        <v>1578726381478645</v>
      </c>
      <c r="C1625" t="s">
        <v>37</v>
      </c>
      <c r="D1625">
        <v>4.4875530000000001</v>
      </c>
      <c r="E1625">
        <v>0.38624989999999998</v>
      </c>
      <c r="F1625" t="s">
        <v>39</v>
      </c>
      <c r="G1625">
        <v>-434.19670000000002</v>
      </c>
      <c r="H1625">
        <v>7.9986920000000003E-2</v>
      </c>
      <c r="I1625">
        <v>64.860249999999994</v>
      </c>
      <c r="J1625">
        <v>-416.74699999999899</v>
      </c>
      <c r="K1625">
        <v>1.1203829999999999</v>
      </c>
      <c r="L1625">
        <v>130.40969999999999</v>
      </c>
      <c r="M1625">
        <v>-0.62448939999999997</v>
      </c>
      <c r="N1625">
        <v>0</v>
      </c>
      <c r="O1625">
        <v>-0.78086219999999995</v>
      </c>
      <c r="P1625">
        <v>-0.49998130000000002</v>
      </c>
      <c r="Q1625">
        <v>0.17149</v>
      </c>
      <c r="R1625">
        <v>-0.84888759999999996</v>
      </c>
      <c r="S1625">
        <v>-0.82577509999999998</v>
      </c>
      <c r="T1625">
        <v>-4.8575760000000003E-2</v>
      </c>
      <c r="U1625">
        <v>-3.0743259999999899</v>
      </c>
      <c r="V1625">
        <v>-0.14755079999999901</v>
      </c>
      <c r="W1625">
        <v>0.1813186</v>
      </c>
      <c r="X1625">
        <v>0.9722923</v>
      </c>
      <c r="Y1625">
        <v>-0.40061529999999901</v>
      </c>
      <c r="Z1625">
        <v>9.9237370000000002E-3</v>
      </c>
      <c r="AA1625">
        <v>0.91619269999999997</v>
      </c>
      <c r="AB1625">
        <v>40</v>
      </c>
      <c r="AC1625">
        <v>-17.4497</v>
      </c>
      <c r="AD1625">
        <v>-1.0403960799999901</v>
      </c>
      <c r="AE1625">
        <v>-65.549449999999993</v>
      </c>
      <c r="AF1625">
        <v>-27.306351251260299</v>
      </c>
      <c r="AG1625">
        <v>-1.0403960799999901</v>
      </c>
      <c r="AH1625">
        <v>62.075933520168299</v>
      </c>
      <c r="AI1625">
        <v>90.878927012656206</v>
      </c>
      <c r="AJ1625">
        <v>113.744035248126</v>
      </c>
      <c r="AK1625">
        <v>67.824337557110297</v>
      </c>
    </row>
    <row r="1626" spans="1:37" x14ac:dyDescent="0.2">
      <c r="A1626" t="str">
        <f>"20200111150621532"</f>
        <v>20200111150621532</v>
      </c>
      <c r="B1626" t="str">
        <f>"1578726381528404"</f>
        <v>1578726381528404</v>
      </c>
      <c r="C1626" t="s">
        <v>37</v>
      </c>
      <c r="D1626">
        <v>4.5787579999999997</v>
      </c>
      <c r="E1626">
        <v>0.3865827</v>
      </c>
      <c r="F1626" t="s">
        <v>39</v>
      </c>
      <c r="G1626">
        <v>-432.62619999999998</v>
      </c>
      <c r="H1626">
        <v>7.9986180000000004E-2</v>
      </c>
      <c r="I1626">
        <v>67.218379999999996</v>
      </c>
      <c r="J1626">
        <v>-417.19319999999999</v>
      </c>
      <c r="K1626">
        <v>1.1203459999999901</v>
      </c>
      <c r="L1626">
        <v>129.8218</v>
      </c>
      <c r="M1626">
        <v>-0.60022229999999999</v>
      </c>
      <c r="N1626">
        <v>0</v>
      </c>
      <c r="O1626">
        <v>-0.79966630000000005</v>
      </c>
      <c r="P1626">
        <v>-0.47494730000000002</v>
      </c>
      <c r="Q1626">
        <v>0.1690045</v>
      </c>
      <c r="R1626">
        <v>-0.86363389999999995</v>
      </c>
      <c r="S1626">
        <v>-0.77581789999999995</v>
      </c>
      <c r="T1626">
        <v>-5.0831439999999999E-2</v>
      </c>
      <c r="U1626">
        <v>-3.0873870000000001</v>
      </c>
      <c r="V1626">
        <v>-0.14630499999999999</v>
      </c>
      <c r="W1626">
        <v>0.1788979</v>
      </c>
      <c r="X1626">
        <v>0.97292880000000004</v>
      </c>
      <c r="Y1626">
        <v>-0.38730429999999999</v>
      </c>
      <c r="Z1626">
        <v>1.083781E-2</v>
      </c>
      <c r="AA1626">
        <v>0.92188819999999905</v>
      </c>
      <c r="AB1626">
        <v>40</v>
      </c>
      <c r="AC1626">
        <v>-15.4329999999999</v>
      </c>
      <c r="AD1626">
        <v>-1.0403598199999999</v>
      </c>
      <c r="AE1626">
        <v>-62.6034199999999</v>
      </c>
      <c r="AF1626">
        <v>-25.231519337358201</v>
      </c>
      <c r="AG1626">
        <v>-1.0403598199999999</v>
      </c>
      <c r="AH1626">
        <v>59.317554438571399</v>
      </c>
      <c r="AI1626">
        <v>90.924639489197105</v>
      </c>
      <c r="AJ1626">
        <v>113.043127727851</v>
      </c>
      <c r="AK1626">
        <v>64.469249888605404</v>
      </c>
    </row>
    <row r="1627" spans="1:37" x14ac:dyDescent="0.2">
      <c r="A1627" t="str">
        <f>"20200111150621554"</f>
        <v>20200111150621554</v>
      </c>
      <c r="B1627" t="str">
        <f>"1578726381547923"</f>
        <v>1578726381547923</v>
      </c>
      <c r="C1627" t="s">
        <v>37</v>
      </c>
      <c r="D1627">
        <v>4.5093059999999996</v>
      </c>
      <c r="E1627">
        <v>0.386652</v>
      </c>
      <c r="F1627" t="s">
        <v>39</v>
      </c>
      <c r="G1627">
        <v>-429.95780000000002</v>
      </c>
      <c r="H1627">
        <v>1.3141480000000001E-2</v>
      </c>
      <c r="I1627">
        <v>72.015469999999993</v>
      </c>
      <c r="J1627">
        <v>-417.42430000000002</v>
      </c>
      <c r="K1627">
        <v>1.1203299999999901</v>
      </c>
      <c r="L1627">
        <v>129.50129999999999</v>
      </c>
      <c r="M1627">
        <v>-0.58696519999999996</v>
      </c>
      <c r="N1627">
        <v>0</v>
      </c>
      <c r="O1627">
        <v>-0.80944719999999903</v>
      </c>
      <c r="P1627">
        <v>-0.46045599999999998</v>
      </c>
      <c r="Q1627">
        <v>0.16834669999999999</v>
      </c>
      <c r="R1627">
        <v>-0.87157309999999999</v>
      </c>
      <c r="S1627">
        <v>-0.68627930000000004</v>
      </c>
      <c r="T1627">
        <v>-5.9528230000000001E-2</v>
      </c>
      <c r="U1627">
        <v>-3.1079249999999998</v>
      </c>
      <c r="V1627">
        <v>-0.146566</v>
      </c>
      <c r="W1627">
        <v>0.178233</v>
      </c>
      <c r="X1627">
        <v>0.97301150000000003</v>
      </c>
      <c r="Y1627">
        <v>-0.39869389999999999</v>
      </c>
      <c r="Z1627">
        <v>1.285588E-2</v>
      </c>
      <c r="AA1627">
        <v>0.91699399999999998</v>
      </c>
      <c r="AB1627">
        <v>40</v>
      </c>
      <c r="AC1627">
        <v>-12.5335</v>
      </c>
      <c r="AD1627">
        <v>-1.10718851999999</v>
      </c>
      <c r="AE1627">
        <v>-57.485829999999901</v>
      </c>
      <c r="AF1627">
        <v>-23.5917726863157</v>
      </c>
      <c r="AG1627">
        <v>-1.10718851999999</v>
      </c>
      <c r="AH1627">
        <v>53.876591423563298</v>
      </c>
      <c r="AI1627">
        <v>91.078453399766104</v>
      </c>
      <c r="AJ1627">
        <v>113.647909244874</v>
      </c>
      <c r="AK1627">
        <v>58.825884679477497</v>
      </c>
    </row>
    <row r="1628" spans="1:37" x14ac:dyDescent="0.2">
      <c r="A1628" t="str">
        <f>"20200111150621577"</f>
        <v>20200111150621577</v>
      </c>
      <c r="B1628" t="str">
        <f>"1578726381568420"</f>
        <v>1578726381568420</v>
      </c>
      <c r="C1628" t="s">
        <v>37</v>
      </c>
      <c r="D1628">
        <v>4.6470760000000002</v>
      </c>
      <c r="E1628">
        <v>0.38674369999999902</v>
      </c>
      <c r="F1628" t="s">
        <v>38</v>
      </c>
      <c r="G1628">
        <v>-417.65339999999998</v>
      </c>
      <c r="H1628">
        <v>1.0978289999999999</v>
      </c>
      <c r="I1628">
        <v>128.376</v>
      </c>
      <c r="J1628">
        <v>-417.65359999999998</v>
      </c>
      <c r="K1628">
        <v>1.1203080000000001</v>
      </c>
      <c r="L1628">
        <v>129.17140000000001</v>
      </c>
      <c r="M1628">
        <v>-0.57329449999999904</v>
      </c>
      <c r="N1628">
        <v>0</v>
      </c>
      <c r="O1628">
        <v>-0.81918639999999998</v>
      </c>
      <c r="P1628">
        <v>-0.44613459999999899</v>
      </c>
      <c r="Q1628">
        <v>0.1674495</v>
      </c>
      <c r="R1628">
        <v>-0.87916149999999904</v>
      </c>
      <c r="S1628">
        <v>-0.63482669999999997</v>
      </c>
      <c r="T1628">
        <v>-6.2362910000000001E-2</v>
      </c>
      <c r="U1628">
        <v>-3.1187130000000001</v>
      </c>
      <c r="V1628">
        <v>-0.14620449999999999</v>
      </c>
      <c r="W1628">
        <v>0.1773565</v>
      </c>
      <c r="X1628">
        <v>0.97322600000000004</v>
      </c>
      <c r="Y1628">
        <v>-0.3984472</v>
      </c>
      <c r="Z1628">
        <v>1.371649E-2</v>
      </c>
      <c r="AA1628">
        <v>0.91708869999999898</v>
      </c>
      <c r="AB1628">
        <v>39</v>
      </c>
      <c r="AC1628">
        <v>2.0000000000663901E-4</v>
      </c>
      <c r="AD1628">
        <v>-2.2478999999999898E-2</v>
      </c>
      <c r="AE1628">
        <v>-0.7954</v>
      </c>
      <c r="AF1628">
        <v>-0.45585911184105998</v>
      </c>
      <c r="AG1628">
        <v>-2.2478999999999898E-2</v>
      </c>
      <c r="AH1628">
        <v>0.65103323167194704</v>
      </c>
      <c r="AI1628">
        <v>91.620111792224904</v>
      </c>
      <c r="AJ1628">
        <v>125.000043428168</v>
      </c>
      <c r="AK1628">
        <v>0.79508307995500704</v>
      </c>
    </row>
    <row r="1629" spans="1:37" x14ac:dyDescent="0.2">
      <c r="A1629" t="str">
        <f>"20200111150621598"</f>
        <v>20200111150621598</v>
      </c>
      <c r="B1629" t="str">
        <f>"1578726381587940"</f>
        <v>1578726381587940</v>
      </c>
      <c r="C1629" t="s">
        <v>37</v>
      </c>
      <c r="D1629">
        <v>4.6015990000000002</v>
      </c>
      <c r="E1629">
        <v>0.38693169999999999</v>
      </c>
      <c r="F1629" t="s">
        <v>38</v>
      </c>
      <c r="G1629">
        <v>-417.8612</v>
      </c>
      <c r="H1629">
        <v>1.096948</v>
      </c>
      <c r="I1629">
        <v>128.0599</v>
      </c>
      <c r="J1629">
        <v>-417.85980000000001</v>
      </c>
      <c r="K1629">
        <v>1.1202909999999999</v>
      </c>
      <c r="L1629">
        <v>128.86439999999999</v>
      </c>
      <c r="M1629">
        <v>-0.56054839999999995</v>
      </c>
      <c r="N1629">
        <v>0</v>
      </c>
      <c r="O1629">
        <v>-0.82796039999999904</v>
      </c>
      <c r="P1629">
        <v>-0.4333882</v>
      </c>
      <c r="Q1629">
        <v>0.1662642</v>
      </c>
      <c r="R1629">
        <v>-0.88573769999999996</v>
      </c>
      <c r="S1629">
        <v>-0.5840149</v>
      </c>
      <c r="T1629">
        <v>-6.5719600000000003E-2</v>
      </c>
      <c r="U1629">
        <v>-3.1284939999999999</v>
      </c>
      <c r="V1629">
        <v>-0.14526749999999999</v>
      </c>
      <c r="W1629">
        <v>0.17621789999999901</v>
      </c>
      <c r="X1629">
        <v>0.97357309999999997</v>
      </c>
      <c r="Y1629">
        <v>-0.3991653</v>
      </c>
      <c r="Z1629">
        <v>1.468623E-2</v>
      </c>
      <c r="AA1629">
        <v>0.9167613</v>
      </c>
      <c r="AB1629">
        <v>39</v>
      </c>
      <c r="AC1629">
        <v>-1.39999999998963E-3</v>
      </c>
      <c r="AD1629">
        <v>-2.3342999999999801E-2</v>
      </c>
      <c r="AE1629">
        <v>-0.80449999999999</v>
      </c>
      <c r="AF1629">
        <v>-0.449483699160039</v>
      </c>
      <c r="AG1629">
        <v>-2.3342999999999801E-2</v>
      </c>
      <c r="AH1629">
        <v>0.66640693092827097</v>
      </c>
      <c r="AI1629">
        <v>91.663397469897106</v>
      </c>
      <c r="AJ1629">
        <v>123.99920511518501</v>
      </c>
      <c r="AK1629">
        <v>0.80416334724285399</v>
      </c>
    </row>
    <row r="1630" spans="1:37" x14ac:dyDescent="0.2">
      <c r="A1630" t="str">
        <f>"20200111150621623"</f>
        <v>20200111150621623</v>
      </c>
      <c r="B1630" t="str">
        <f>"1578726381618196"</f>
        <v>1578726381618196</v>
      </c>
      <c r="C1630" t="s">
        <v>37</v>
      </c>
      <c r="D1630">
        <v>4.6517330000000001</v>
      </c>
      <c r="E1630">
        <v>0.3199169</v>
      </c>
      <c r="F1630" t="s">
        <v>38</v>
      </c>
      <c r="G1630">
        <v>-418.04500000000002</v>
      </c>
      <c r="H1630">
        <v>1.0964259999999999</v>
      </c>
      <c r="I1630">
        <v>127.78879999999999</v>
      </c>
      <c r="J1630">
        <v>-418.08800000000002</v>
      </c>
      <c r="K1630">
        <v>1.120266</v>
      </c>
      <c r="L1630">
        <v>128.51220000000001</v>
      </c>
      <c r="M1630">
        <v>-0.54589580000000004</v>
      </c>
      <c r="N1630">
        <v>0</v>
      </c>
      <c r="O1630">
        <v>-0.83769389999999999</v>
      </c>
      <c r="P1630">
        <v>-0.41831689999999999</v>
      </c>
      <c r="Q1630">
        <v>0.16561479999999901</v>
      </c>
      <c r="R1630">
        <v>-0.89307519999999996</v>
      </c>
      <c r="S1630">
        <v>-0.5395508</v>
      </c>
      <c r="T1630">
        <v>-6.9564340000000002E-2</v>
      </c>
      <c r="U1630">
        <v>-3.136047</v>
      </c>
      <c r="V1630">
        <v>-0.14466619999999999</v>
      </c>
      <c r="W1630">
        <v>0.17560020000000001</v>
      </c>
      <c r="X1630">
        <v>0.97377429999999998</v>
      </c>
      <c r="Y1630">
        <v>-0.39602690000000002</v>
      </c>
      <c r="Z1630">
        <v>1.5847799999999999E-2</v>
      </c>
      <c r="AA1630">
        <v>0.91810210000000003</v>
      </c>
      <c r="AB1630">
        <v>39</v>
      </c>
      <c r="AC1630">
        <v>4.3000000000006297E-2</v>
      </c>
      <c r="AD1630">
        <v>-2.3839999999999799E-2</v>
      </c>
      <c r="AE1630">
        <v>-0.72340000000001203</v>
      </c>
      <c r="AF1630">
        <v>-0.43051341654554898</v>
      </c>
      <c r="AG1630">
        <v>-2.3839999999999799E-2</v>
      </c>
      <c r="AH1630">
        <v>0.58196212039510598</v>
      </c>
      <c r="AI1630">
        <v>91.886241549067705</v>
      </c>
      <c r="AJ1630">
        <v>126.492625900691</v>
      </c>
      <c r="AK1630">
        <v>0.724285894519899</v>
      </c>
    </row>
    <row r="1631" spans="1:37" x14ac:dyDescent="0.2">
      <c r="A1631" t="str">
        <f>"20200111150621646"</f>
        <v>20200111150621646</v>
      </c>
      <c r="B1631" t="str">
        <f>"1578726381637716"</f>
        <v>1578726381637716</v>
      </c>
      <c r="C1631" t="s">
        <v>37</v>
      </c>
      <c r="D1631">
        <v>4.6984959999999996</v>
      </c>
      <c r="E1631">
        <v>0.39798040000000001</v>
      </c>
      <c r="F1631" t="s">
        <v>84</v>
      </c>
      <c r="G1631">
        <v>-415.75549999999998</v>
      </c>
      <c r="H1631">
        <v>26.906479999999998</v>
      </c>
      <c r="I1631">
        <v>1.2784229999999901</v>
      </c>
      <c r="J1631">
        <v>-418.29939999999999</v>
      </c>
      <c r="K1631">
        <v>1.1202449999999999</v>
      </c>
      <c r="L1631">
        <v>128.17330000000001</v>
      </c>
      <c r="M1631">
        <v>-0.53176309999999904</v>
      </c>
      <c r="N1631">
        <v>0</v>
      </c>
      <c r="O1631">
        <v>-0.84673549999999997</v>
      </c>
      <c r="P1631">
        <v>-0.40389899999999901</v>
      </c>
      <c r="Q1631">
        <v>0.1652091</v>
      </c>
      <c r="R1631">
        <v>-0.89976219999999996</v>
      </c>
      <c r="S1631">
        <v>5.9844969999999997E-2</v>
      </c>
      <c r="T1631">
        <v>0.66161409999999998</v>
      </c>
      <c r="U1631">
        <v>-3.264526</v>
      </c>
      <c r="V1631">
        <v>-0.14400209999999999</v>
      </c>
      <c r="W1631">
        <v>0.17522789999999999</v>
      </c>
      <c r="X1631">
        <v>0.97393969999999896</v>
      </c>
      <c r="Y1631">
        <v>-0.54612430000000001</v>
      </c>
      <c r="Z1631">
        <v>-0.13705970000000001</v>
      </c>
      <c r="AA1631">
        <v>0.82641569999999998</v>
      </c>
      <c r="AB1631">
        <v>39</v>
      </c>
      <c r="AC1631">
        <v>2.5438999999999998</v>
      </c>
      <c r="AD1631">
        <v>25.786235000000001</v>
      </c>
      <c r="AE1631">
        <v>-126.89487699999999</v>
      </c>
      <c r="AF1631">
        <v>-66.880656256734099</v>
      </c>
      <c r="AG1631">
        <v>25.786235000000001</v>
      </c>
      <c r="AH1631">
        <v>101.901571045335</v>
      </c>
      <c r="AI1631">
        <v>78.054921782899598</v>
      </c>
      <c r="AJ1631">
        <v>123.277933810951</v>
      </c>
      <c r="AK1631">
        <v>124.586846329434</v>
      </c>
    </row>
    <row r="1632" spans="1:37" x14ac:dyDescent="0.2">
      <c r="A1632" t="str">
        <f>"20200111150621666"</f>
        <v>20200111150621666</v>
      </c>
      <c r="B1632" t="str">
        <f>"1578726381658212"</f>
        <v>1578726381658212</v>
      </c>
      <c r="C1632" t="s">
        <v>37</v>
      </c>
      <c r="D1632">
        <v>4.6786580000000004</v>
      </c>
      <c r="E1632">
        <v>0.39851559999999903</v>
      </c>
      <c r="F1632" t="s">
        <v>39</v>
      </c>
      <c r="G1632">
        <v>-422.0093</v>
      </c>
      <c r="H1632" s="1">
        <v>-3.536654E-6</v>
      </c>
      <c r="I1632">
        <v>105.9423</v>
      </c>
      <c r="J1632">
        <v>-418.48399999999998</v>
      </c>
      <c r="K1632">
        <v>1.1202289999999999</v>
      </c>
      <c r="L1632">
        <v>127.8664</v>
      </c>
      <c r="M1632">
        <v>-0.51894830000000003</v>
      </c>
      <c r="N1632">
        <v>0</v>
      </c>
      <c r="O1632">
        <v>-0.85464969999999996</v>
      </c>
      <c r="P1632">
        <v>-0.39113229999999999</v>
      </c>
      <c r="Q1632">
        <v>0.16464970000000001</v>
      </c>
      <c r="R1632">
        <v>-0.90548680000000004</v>
      </c>
      <c r="S1632">
        <v>-0.52212519999999996</v>
      </c>
      <c r="T1632">
        <v>-0.1576631</v>
      </c>
      <c r="U1632">
        <v>-3.1287689999999899</v>
      </c>
      <c r="V1632">
        <v>-0.143127</v>
      </c>
      <c r="W1632">
        <v>0.17471149999999999</v>
      </c>
      <c r="X1632">
        <v>0.97416139999999996</v>
      </c>
      <c r="Y1632">
        <v>-0.3713514</v>
      </c>
      <c r="Z1632">
        <v>3.747619E-2</v>
      </c>
      <c r="AA1632">
        <v>0.9277358</v>
      </c>
      <c r="AB1632">
        <v>39</v>
      </c>
      <c r="AC1632">
        <v>-3.5252999999999499</v>
      </c>
      <c r="AD1632">
        <v>-1.120232536654</v>
      </c>
      <c r="AE1632">
        <v>-21.924099999999999</v>
      </c>
      <c r="AF1632">
        <v>-8.3444562681865406</v>
      </c>
      <c r="AG1632">
        <v>-1.120232536654</v>
      </c>
      <c r="AH1632">
        <v>20.517398897149299</v>
      </c>
      <c r="AI1632">
        <v>92.895342722718496</v>
      </c>
      <c r="AJ1632">
        <v>112.13164775912399</v>
      </c>
      <c r="AK1632">
        <v>22.177658326626801</v>
      </c>
    </row>
    <row r="1633" spans="1:37" x14ac:dyDescent="0.2">
      <c r="A1633" t="str">
        <f>"20200111150621689"</f>
        <v>20200111150621689</v>
      </c>
      <c r="B1633" t="str">
        <f>"1578726381677745"</f>
        <v>1578726381677745</v>
      </c>
      <c r="C1633" t="s">
        <v>37</v>
      </c>
      <c r="D1633">
        <v>4.7965739999999997</v>
      </c>
      <c r="E1633">
        <v>0.39668439999999999</v>
      </c>
      <c r="F1633" t="s">
        <v>39</v>
      </c>
      <c r="G1633">
        <v>-421.80650000000003</v>
      </c>
      <c r="H1633" s="1">
        <v>-3.6210390000000002E-6</v>
      </c>
      <c r="I1633">
        <v>106.235</v>
      </c>
      <c r="J1633">
        <v>-418.6721</v>
      </c>
      <c r="K1633">
        <v>1.1202129999999999</v>
      </c>
      <c r="L1633">
        <v>127.5425</v>
      </c>
      <c r="M1633">
        <v>-0.50539540000000005</v>
      </c>
      <c r="N1633">
        <v>0</v>
      </c>
      <c r="O1633">
        <v>-0.86273330000000004</v>
      </c>
      <c r="P1633">
        <v>-0.37777500000000003</v>
      </c>
      <c r="Q1633">
        <v>0.1641986</v>
      </c>
      <c r="R1633">
        <v>-0.91122190000000003</v>
      </c>
      <c r="S1633">
        <v>-0.48147579999999901</v>
      </c>
      <c r="T1633">
        <v>-0.16233520000000001</v>
      </c>
      <c r="U1633">
        <v>-3.1346590000000001</v>
      </c>
      <c r="V1633">
        <v>-0.14208879999999999</v>
      </c>
      <c r="W1633">
        <v>0.1743101</v>
      </c>
      <c r="X1633">
        <v>0.97438530000000001</v>
      </c>
      <c r="Y1633">
        <v>-0.36871769999999998</v>
      </c>
      <c r="Z1633">
        <v>3.9176059999999999E-2</v>
      </c>
      <c r="AA1633">
        <v>0.92871550000000003</v>
      </c>
      <c r="AB1633">
        <v>39</v>
      </c>
      <c r="AC1633">
        <v>-3.1344000000000198</v>
      </c>
      <c r="AD1633">
        <v>-1.1202166210390001</v>
      </c>
      <c r="AE1633">
        <v>-21.307500000000001</v>
      </c>
      <c r="AF1633">
        <v>-8.0438746302294994</v>
      </c>
      <c r="AG1633">
        <v>-1.1202166210390001</v>
      </c>
      <c r="AH1633">
        <v>19.915583810253899</v>
      </c>
      <c r="AI1633">
        <v>92.985543556206906</v>
      </c>
      <c r="AJ1633">
        <v>111.99370902775399</v>
      </c>
      <c r="AK1633">
        <v>21.5078888514924</v>
      </c>
    </row>
    <row r="1634" spans="1:37" x14ac:dyDescent="0.2">
      <c r="A1634" t="str">
        <f>"20200111150621713"</f>
        <v>20200111150621713</v>
      </c>
      <c r="B1634" t="str">
        <f>"1578726381707988"</f>
        <v>1578726381707988</v>
      </c>
      <c r="C1634" t="s">
        <v>37</v>
      </c>
      <c r="D1634">
        <v>4.8440909999999997</v>
      </c>
      <c r="E1634">
        <v>0.393766</v>
      </c>
      <c r="F1634" t="s">
        <v>39</v>
      </c>
      <c r="G1634">
        <v>-421.77730000000003</v>
      </c>
      <c r="H1634" s="1">
        <v>-2.7137899999999999E-6</v>
      </c>
      <c r="I1634">
        <v>104.3322</v>
      </c>
      <c r="J1634">
        <v>-418.87240000000003</v>
      </c>
      <c r="K1634">
        <v>1.120193</v>
      </c>
      <c r="L1634">
        <v>127.1842</v>
      </c>
      <c r="M1634">
        <v>-0.4903709</v>
      </c>
      <c r="N1634">
        <v>0</v>
      </c>
      <c r="O1634">
        <v>-0.87136080000000005</v>
      </c>
      <c r="P1634">
        <v>-0.36292679999999999</v>
      </c>
      <c r="Q1634">
        <v>0.16395499999999999</v>
      </c>
      <c r="R1634">
        <v>-0.91728009999999904</v>
      </c>
      <c r="S1634">
        <v>-0.42077639999999999</v>
      </c>
      <c r="T1634">
        <v>-0.15179879999999901</v>
      </c>
      <c r="U1634">
        <v>-3.145203</v>
      </c>
      <c r="V1634">
        <v>-0.14102999999999999</v>
      </c>
      <c r="W1634">
        <v>0.17411750000000001</v>
      </c>
      <c r="X1634">
        <v>0.97457359999999904</v>
      </c>
      <c r="Y1634">
        <v>-0.37062869999999998</v>
      </c>
      <c r="Z1634">
        <v>3.7142269999999998E-2</v>
      </c>
      <c r="AA1634">
        <v>0.92803819999999904</v>
      </c>
      <c r="AB1634">
        <v>39</v>
      </c>
      <c r="AC1634">
        <v>-2.9048999999999898</v>
      </c>
      <c r="AD1634">
        <v>-1.1201957137899901</v>
      </c>
      <c r="AE1634">
        <v>-22.852</v>
      </c>
      <c r="AF1634">
        <v>-8.6554294132143497</v>
      </c>
      <c r="AG1634">
        <v>-1.1201957137899901</v>
      </c>
      <c r="AH1634">
        <v>21.2893186083387</v>
      </c>
      <c r="AI1634">
        <v>92.790574797277699</v>
      </c>
      <c r="AJ1634">
        <v>112.124793983487</v>
      </c>
      <c r="AK1634">
        <v>23.008832729447299</v>
      </c>
    </row>
    <row r="1635" spans="1:37" x14ac:dyDescent="0.2">
      <c r="A1635" t="str">
        <f>"20200111150621734"</f>
        <v>20200111150621734</v>
      </c>
      <c r="B1635" t="str">
        <f>"1578726381728484"</f>
        <v>1578726381728484</v>
      </c>
      <c r="C1635" t="s">
        <v>37</v>
      </c>
      <c r="D1635">
        <v>4.7704709999999997</v>
      </c>
      <c r="E1635">
        <v>0.39343410000000001</v>
      </c>
      <c r="F1635" t="s">
        <v>38</v>
      </c>
      <c r="G1635">
        <v>-418.99770000000001</v>
      </c>
      <c r="H1635">
        <v>1.0724180000000001</v>
      </c>
      <c r="I1635">
        <v>126.04430000000001</v>
      </c>
      <c r="J1635">
        <v>-419.04849999999999</v>
      </c>
      <c r="K1635">
        <v>1.1201700000000001</v>
      </c>
      <c r="L1635">
        <v>126.8556</v>
      </c>
      <c r="M1635">
        <v>-0.476574</v>
      </c>
      <c r="N1635">
        <v>0</v>
      </c>
      <c r="O1635">
        <v>-0.87898269999999901</v>
      </c>
      <c r="P1635">
        <v>-0.34974640000000001</v>
      </c>
      <c r="Q1635">
        <v>0.16319429999999999</v>
      </c>
      <c r="R1635">
        <v>-0.92252099999999904</v>
      </c>
      <c r="S1635">
        <v>-0.34649659999999999</v>
      </c>
      <c r="T1635">
        <v>-0.13227449999999999</v>
      </c>
      <c r="U1635">
        <v>-3.1570740000000002</v>
      </c>
      <c r="V1635">
        <v>-0.13965179999999999</v>
      </c>
      <c r="W1635">
        <v>0.1734221</v>
      </c>
      <c r="X1635">
        <v>0.97489599999999899</v>
      </c>
      <c r="Y1635">
        <v>-0.37793470000000001</v>
      </c>
      <c r="Z1635">
        <v>3.2690860000000002E-2</v>
      </c>
      <c r="AA1635">
        <v>0.92525489999999999</v>
      </c>
      <c r="AB1635">
        <v>39</v>
      </c>
      <c r="AC1635">
        <v>5.0799999999980999E-2</v>
      </c>
      <c r="AD1635">
        <v>-4.7752000000000003E-2</v>
      </c>
      <c r="AE1635">
        <v>-0.81129999999998803</v>
      </c>
      <c r="AF1635">
        <v>-0.42987091650881898</v>
      </c>
      <c r="AG1635">
        <v>-4.7752000000000003E-2</v>
      </c>
      <c r="AH1635">
        <v>0.68663113542442999</v>
      </c>
      <c r="AI1635">
        <v>93.373469977508293</v>
      </c>
      <c r="AJ1635">
        <v>122.048953693352</v>
      </c>
      <c r="AK1635">
        <v>0.81149958379433196</v>
      </c>
    </row>
    <row r="1636" spans="1:37" x14ac:dyDescent="0.2">
      <c r="A1636" t="str">
        <f>"20200111150621758"</f>
        <v>20200111150621758</v>
      </c>
      <c r="B1636" t="str">
        <f>"1578726381748004"</f>
        <v>1578726381748004</v>
      </c>
      <c r="C1636" t="s">
        <v>37</v>
      </c>
      <c r="D1636">
        <v>4.7793809999999999</v>
      </c>
      <c r="E1636">
        <v>0.3937216</v>
      </c>
      <c r="F1636" t="s">
        <v>38</v>
      </c>
      <c r="G1636">
        <v>-419.15339999999998</v>
      </c>
      <c r="H1636">
        <v>1.0741430000000001</v>
      </c>
      <c r="I1636">
        <v>125.7427</v>
      </c>
      <c r="J1636">
        <v>-419.23489999999998</v>
      </c>
      <c r="K1636">
        <v>1.1201449999999999</v>
      </c>
      <c r="L1636">
        <v>126.4931</v>
      </c>
      <c r="M1636">
        <v>-0.4613236</v>
      </c>
      <c r="N1636">
        <v>0</v>
      </c>
      <c r="O1636">
        <v>-0.88708199999999904</v>
      </c>
      <c r="P1636">
        <v>-0.33534459999999999</v>
      </c>
      <c r="Q1636">
        <v>0.16170960000000001</v>
      </c>
      <c r="R1636">
        <v>-0.92811309999999902</v>
      </c>
      <c r="S1636">
        <v>-0.2980042</v>
      </c>
      <c r="T1636">
        <v>-0.13077819999999901</v>
      </c>
      <c r="U1636">
        <v>-3.1621250000000001</v>
      </c>
      <c r="V1636">
        <v>-0.13803579999999999</v>
      </c>
      <c r="W1636">
        <v>0.17201449999999999</v>
      </c>
      <c r="X1636">
        <v>0.9753754</v>
      </c>
      <c r="Y1636">
        <v>-0.3761486</v>
      </c>
      <c r="Z1636">
        <v>3.2795789999999998E-2</v>
      </c>
      <c r="AA1636">
        <v>0.92597879999999999</v>
      </c>
      <c r="AB1636">
        <v>39</v>
      </c>
      <c r="AC1636">
        <v>8.1500000000005401E-2</v>
      </c>
      <c r="AD1636">
        <v>-4.6002000000000098E-2</v>
      </c>
      <c r="AE1636">
        <v>-0.75039999999999896</v>
      </c>
      <c r="AF1636">
        <v>-0.41698130730361999</v>
      </c>
      <c r="AG1636">
        <v>-4.6002000000000098E-2</v>
      </c>
      <c r="AH1636">
        <v>0.62582752849752299</v>
      </c>
      <c r="AI1636">
        <v>93.500494123990805</v>
      </c>
      <c r="AJ1636">
        <v>123.67504047027801</v>
      </c>
      <c r="AK1636">
        <v>0.75342530490417903</v>
      </c>
    </row>
    <row r="1637" spans="1:37" x14ac:dyDescent="0.2">
      <c r="A1637" t="str">
        <f>"20200111150621779"</f>
        <v>20200111150621779</v>
      </c>
      <c r="B1637" t="str">
        <f>"1578726381768501"</f>
        <v>1578726381768501</v>
      </c>
      <c r="C1637" t="s">
        <v>37</v>
      </c>
      <c r="D1637">
        <v>4.9057740000000001</v>
      </c>
      <c r="E1637">
        <v>0.39361570000000001</v>
      </c>
      <c r="F1637" t="s">
        <v>39</v>
      </c>
      <c r="G1637">
        <v>-421.30759999999998</v>
      </c>
      <c r="H1637" s="1">
        <v>-6.5835680000000001E-7</v>
      </c>
      <c r="I1637">
        <v>100.2483</v>
      </c>
      <c r="J1637">
        <v>-419.3913</v>
      </c>
      <c r="K1637">
        <v>1.1201219999999901</v>
      </c>
      <c r="L1637">
        <v>126.1767</v>
      </c>
      <c r="M1637">
        <v>-0.4479899</v>
      </c>
      <c r="N1637">
        <v>0</v>
      </c>
      <c r="O1637">
        <v>-0.89388969999999901</v>
      </c>
      <c r="P1637">
        <v>-0.32335170000000002</v>
      </c>
      <c r="Q1637">
        <v>0.15981319999999999</v>
      </c>
      <c r="R1637">
        <v>-0.93268619999999902</v>
      </c>
      <c r="S1637">
        <v>-0.25</v>
      </c>
      <c r="T1637">
        <v>-0.13510849999999999</v>
      </c>
      <c r="U1637">
        <v>-3.1655579999999999</v>
      </c>
      <c r="V1637">
        <v>-0.13606070000000001</v>
      </c>
      <c r="W1637">
        <v>0.17021140000000001</v>
      </c>
      <c r="X1637">
        <v>0.97596899999999998</v>
      </c>
      <c r="Y1637">
        <v>-0.37630929999999901</v>
      </c>
      <c r="Z1637">
        <v>3.4285879999999998E-2</v>
      </c>
      <c r="AA1637">
        <v>0.92585949999999995</v>
      </c>
      <c r="AB1637">
        <v>39</v>
      </c>
      <c r="AC1637">
        <v>-1.9162999999999699</v>
      </c>
      <c r="AD1637">
        <v>-1.12012265835679</v>
      </c>
      <c r="AE1637">
        <v>-25.9284</v>
      </c>
      <c r="AF1637">
        <v>-9.8856697472756299</v>
      </c>
      <c r="AG1637">
        <v>-1.12012265835679</v>
      </c>
      <c r="AH1637">
        <v>23.994276103167302</v>
      </c>
      <c r="AI1637">
        <v>92.471527713144496</v>
      </c>
      <c r="AJ1637">
        <v>112.391718202443</v>
      </c>
      <c r="AK1637">
        <v>25.9751116809339</v>
      </c>
    </row>
    <row r="1638" spans="1:37" x14ac:dyDescent="0.2">
      <c r="A1638" t="str">
        <f>"20200111150621800"</f>
        <v>20200111150621800</v>
      </c>
      <c r="B1638" t="str">
        <f>"1578726381797781"</f>
        <v>1578726381797781</v>
      </c>
      <c r="C1638" t="s">
        <v>37</v>
      </c>
      <c r="D1638">
        <v>4.8042800000000003</v>
      </c>
      <c r="E1638">
        <v>0.39299429999999902</v>
      </c>
      <c r="F1638" t="s">
        <v>39</v>
      </c>
      <c r="G1638">
        <v>-421.0736</v>
      </c>
      <c r="H1638" s="1">
        <v>-7.4581760000000002E-7</v>
      </c>
      <c r="I1638">
        <v>100.5651</v>
      </c>
      <c r="J1638">
        <v>-419.54790000000003</v>
      </c>
      <c r="K1638">
        <v>1.120093</v>
      </c>
      <c r="L1638">
        <v>125.8472</v>
      </c>
      <c r="M1638">
        <v>-0.43407489999999999</v>
      </c>
      <c r="N1638">
        <v>0</v>
      </c>
      <c r="O1638">
        <v>-0.900729</v>
      </c>
      <c r="P1638">
        <v>-0.31150749999999999</v>
      </c>
      <c r="Q1638">
        <v>0.1591273</v>
      </c>
      <c r="R1638">
        <v>-0.93682529999999997</v>
      </c>
      <c r="S1638">
        <v>-0.20809939999999999</v>
      </c>
      <c r="T1638">
        <v>-0.13855529999999999</v>
      </c>
      <c r="U1638">
        <v>-3.1680759999999899</v>
      </c>
      <c r="V1638">
        <v>-0.13330149999999999</v>
      </c>
      <c r="W1638">
        <v>0.16964989999999999</v>
      </c>
      <c r="X1638">
        <v>0.97644750000000002</v>
      </c>
      <c r="Y1638">
        <v>-0.37418299999999999</v>
      </c>
      <c r="Z1638">
        <v>3.5603790000000003E-2</v>
      </c>
      <c r="AA1638">
        <v>0.92667109999999997</v>
      </c>
      <c r="AB1638">
        <v>39</v>
      </c>
      <c r="AC1638">
        <v>-1.5256999999999701</v>
      </c>
      <c r="AD1638">
        <v>-1.1200937458175999</v>
      </c>
      <c r="AE1638">
        <v>-25.2821</v>
      </c>
      <c r="AF1638">
        <v>-9.5826202641700799</v>
      </c>
      <c r="AG1638">
        <v>-1.1200937458175999</v>
      </c>
      <c r="AH1638">
        <v>23.391961259668999</v>
      </c>
      <c r="AI1638">
        <v>92.5371084730033</v>
      </c>
      <c r="AJ1638">
        <v>112.276676142133</v>
      </c>
      <c r="AK1638">
        <v>25.303459698242001</v>
      </c>
    </row>
    <row r="1639" spans="1:37" x14ac:dyDescent="0.2">
      <c r="A1639" t="str">
        <f>"20200111150621822"</f>
        <v>20200111150621822</v>
      </c>
      <c r="B1639" t="str">
        <f>"1578726381818276"</f>
        <v>1578726381818276</v>
      </c>
      <c r="C1639" t="s">
        <v>37</v>
      </c>
      <c r="D1639">
        <v>4.8074779999999997</v>
      </c>
      <c r="E1639">
        <v>0.39262350000000001</v>
      </c>
      <c r="F1639" t="s">
        <v>39</v>
      </c>
      <c r="G1639">
        <v>-420.88170000000002</v>
      </c>
      <c r="H1639" s="1">
        <v>-3.3661819999999999E-7</v>
      </c>
      <c r="I1639">
        <v>99.807459999999907</v>
      </c>
      <c r="J1639">
        <v>-419.70400000000001</v>
      </c>
      <c r="K1639">
        <v>1.1200729999999901</v>
      </c>
      <c r="L1639">
        <v>125.5048</v>
      </c>
      <c r="M1639">
        <v>-0.41958770000000001</v>
      </c>
      <c r="N1639">
        <v>0</v>
      </c>
      <c r="O1639">
        <v>-0.9075685</v>
      </c>
      <c r="P1639">
        <v>-0.29814299999999999</v>
      </c>
      <c r="Q1639">
        <v>0.1588852</v>
      </c>
      <c r="R1639">
        <v>-0.94120499999999996</v>
      </c>
      <c r="S1639">
        <v>-0.16244510000000001</v>
      </c>
      <c r="T1639">
        <v>-0.13641889999999901</v>
      </c>
      <c r="U1639">
        <v>-3.1714479999999998</v>
      </c>
      <c r="V1639">
        <v>-0.1315479</v>
      </c>
      <c r="W1639">
        <v>0.16948350000000001</v>
      </c>
      <c r="X1639">
        <v>0.97671409999999903</v>
      </c>
      <c r="Y1639">
        <v>-0.37268279999999998</v>
      </c>
      <c r="Z1639">
        <v>3.5477290000000002E-2</v>
      </c>
      <c r="AA1639">
        <v>0.9272804</v>
      </c>
      <c r="AB1639">
        <v>39</v>
      </c>
      <c r="AC1639">
        <v>-1.17770000000001</v>
      </c>
      <c r="AD1639">
        <v>-1.1200733366181901</v>
      </c>
      <c r="AE1639">
        <v>-25.697340000000001</v>
      </c>
      <c r="AF1639">
        <v>-9.6963515817716601</v>
      </c>
      <c r="AG1639">
        <v>-1.1200733366181901</v>
      </c>
      <c r="AH1639">
        <v>23.774335221725899</v>
      </c>
      <c r="AI1639">
        <v>92.497886062205296</v>
      </c>
      <c r="AJ1639">
        <v>112.188068453593</v>
      </c>
      <c r="AK1639">
        <v>25.700054737523899</v>
      </c>
    </row>
    <row r="1640" spans="1:37" x14ac:dyDescent="0.2">
      <c r="A1640" t="str">
        <f>"20200111150621845"</f>
        <v>20200111150621845</v>
      </c>
      <c r="B1640" t="str">
        <f>"1578726381838499"</f>
        <v>1578726381838499</v>
      </c>
      <c r="C1640" t="s">
        <v>37</v>
      </c>
      <c r="D1640">
        <v>4.8128679999999999</v>
      </c>
      <c r="E1640">
        <v>0.39264870000000002</v>
      </c>
      <c r="F1640" t="s">
        <v>39</v>
      </c>
      <c r="G1640">
        <v>-420.65929999999997</v>
      </c>
      <c r="H1640" s="1">
        <v>-4.2133669999999999E-6</v>
      </c>
      <c r="I1640">
        <v>99.024270000000001</v>
      </c>
      <c r="J1640">
        <v>-419.86110000000002</v>
      </c>
      <c r="K1640">
        <v>1.1200459999999901</v>
      </c>
      <c r="L1640">
        <v>125.1447</v>
      </c>
      <c r="M1640">
        <v>-0.4043216</v>
      </c>
      <c r="N1640">
        <v>0</v>
      </c>
      <c r="O1640">
        <v>-0.9144719</v>
      </c>
      <c r="P1640">
        <v>-0.28314919999999999</v>
      </c>
      <c r="Q1640">
        <v>0.15845319999999999</v>
      </c>
      <c r="R1640">
        <v>-0.94589609999999902</v>
      </c>
      <c r="S1640">
        <v>-0.11450199999999899</v>
      </c>
      <c r="T1640">
        <v>-0.13424629999999901</v>
      </c>
      <c r="U1640">
        <v>-3.173813</v>
      </c>
      <c r="V1640">
        <v>-0.13070329999999999</v>
      </c>
      <c r="W1640">
        <v>0.1690845</v>
      </c>
      <c r="X1640">
        <v>0.9768966</v>
      </c>
      <c r="Y1640">
        <v>-0.3711489</v>
      </c>
      <c r="Z1640">
        <v>3.5340950000000003E-2</v>
      </c>
      <c r="AA1640">
        <v>0.92790059999999996</v>
      </c>
      <c r="AB1640">
        <v>39</v>
      </c>
      <c r="AC1640">
        <v>-0.79819999999995095</v>
      </c>
      <c r="AD1640">
        <v>-1.1200502133669901</v>
      </c>
      <c r="AE1640">
        <v>-26.120429999999999</v>
      </c>
      <c r="AF1640">
        <v>-9.8143973457731892</v>
      </c>
      <c r="AG1640">
        <v>-1.1200502133669901</v>
      </c>
      <c r="AH1640">
        <v>24.167942881506502</v>
      </c>
      <c r="AI1640">
        <v>92.458711036842701</v>
      </c>
      <c r="AJ1640">
        <v>112.101655376729</v>
      </c>
      <c r="AK1640">
        <v>26.108741273086</v>
      </c>
    </row>
    <row r="1641" spans="1:37" x14ac:dyDescent="0.2">
      <c r="A1641" t="str">
        <f>"20200111150621867"</f>
        <v>20200111150621867</v>
      </c>
      <c r="B1641" t="str">
        <f>"1578726381858019"</f>
        <v>1578726381858019</v>
      </c>
      <c r="C1641" t="s">
        <v>37</v>
      </c>
      <c r="D1641">
        <v>4.7849440000000003</v>
      </c>
      <c r="E1641">
        <v>0.3927195</v>
      </c>
      <c r="F1641" t="s">
        <v>39</v>
      </c>
      <c r="G1641">
        <v>-420.39460000000003</v>
      </c>
      <c r="H1641" s="1">
        <v>-4.1270599999999996E-6</v>
      </c>
      <c r="I1641">
        <v>98.964669999999998</v>
      </c>
      <c r="J1641">
        <v>-420.0095</v>
      </c>
      <c r="K1641">
        <v>1.1200209999999999</v>
      </c>
      <c r="L1641">
        <v>124.7886</v>
      </c>
      <c r="M1641">
        <v>-0.38919569999999998</v>
      </c>
      <c r="N1641">
        <v>0</v>
      </c>
      <c r="O1641">
        <v>-0.92101109999999897</v>
      </c>
      <c r="P1641">
        <v>-0.26772459999999998</v>
      </c>
      <c r="Q1641">
        <v>0.15714690000000001</v>
      </c>
      <c r="R1641">
        <v>-0.95059380000000004</v>
      </c>
      <c r="S1641">
        <v>-6.4697270000000001E-2</v>
      </c>
      <c r="T1641">
        <v>-0.13583339999999999</v>
      </c>
      <c r="U1641">
        <v>-3.174973</v>
      </c>
      <c r="V1641">
        <v>-0.13051569999999901</v>
      </c>
      <c r="W1641">
        <v>0.1677825</v>
      </c>
      <c r="X1641">
        <v>0.97714619999999996</v>
      </c>
      <c r="Y1641">
        <v>-0.370401599999999</v>
      </c>
      <c r="Z1641">
        <v>3.6171509999999997E-2</v>
      </c>
      <c r="AA1641">
        <v>0.92816719999999897</v>
      </c>
      <c r="AB1641">
        <v>39</v>
      </c>
      <c r="AC1641">
        <v>-0.38510000000002198</v>
      </c>
      <c r="AD1641">
        <v>-1.1200251270599999</v>
      </c>
      <c r="AE1641">
        <v>-25.823930000000001</v>
      </c>
      <c r="AF1641">
        <v>-9.6789643539728001</v>
      </c>
      <c r="AG1641">
        <v>-1.1200251270599999</v>
      </c>
      <c r="AH1641">
        <v>23.8922468406655</v>
      </c>
      <c r="AI1641">
        <v>92.487841574006097</v>
      </c>
      <c r="AJ1641">
        <v>112.053312736192</v>
      </c>
      <c r="AK1641">
        <v>25.8026406855193</v>
      </c>
    </row>
    <row r="1642" spans="1:37" x14ac:dyDescent="0.2">
      <c r="A1642" t="str">
        <f>"20200111150621890"</f>
        <v>20200111150621890</v>
      </c>
      <c r="B1642" t="str">
        <f>"1578726381878515"</f>
        <v>1578726381878515</v>
      </c>
      <c r="C1642" t="s">
        <v>37</v>
      </c>
      <c r="D1642">
        <v>4.8183829999999999</v>
      </c>
      <c r="E1642">
        <v>0.39281139999999998</v>
      </c>
      <c r="F1642" t="s">
        <v>39</v>
      </c>
      <c r="G1642">
        <v>-420.1096</v>
      </c>
      <c r="H1642" s="1">
        <v>-4.0664489999999996E-6</v>
      </c>
      <c r="I1642">
        <v>99.000109999999907</v>
      </c>
      <c r="J1642">
        <v>-420.14530000000002</v>
      </c>
      <c r="K1642">
        <v>1.1200049999999999</v>
      </c>
      <c r="L1642">
        <v>124.44710000000001</v>
      </c>
      <c r="M1642">
        <v>-0.37466519999999998</v>
      </c>
      <c r="N1642">
        <v>0</v>
      </c>
      <c r="O1642">
        <v>-0.9270176</v>
      </c>
      <c r="P1642">
        <v>-0.25311869999999997</v>
      </c>
      <c r="Q1642">
        <v>0.156742299999999</v>
      </c>
      <c r="R1642">
        <v>-0.95465330000000004</v>
      </c>
      <c r="S1642">
        <v>-1.23290999999999E-2</v>
      </c>
      <c r="T1642">
        <v>-0.13790549999999999</v>
      </c>
      <c r="U1642">
        <v>-3.175262</v>
      </c>
      <c r="V1642">
        <v>-0.13013079999999999</v>
      </c>
      <c r="W1642">
        <v>0.16738910000000001</v>
      </c>
      <c r="X1642">
        <v>0.97726499999999905</v>
      </c>
      <c r="Y1642">
        <v>-0.37110179999999998</v>
      </c>
      <c r="Z1642">
        <v>3.7101479999999999E-2</v>
      </c>
      <c r="AA1642">
        <v>0.92785069999999903</v>
      </c>
      <c r="AB1642">
        <v>39</v>
      </c>
      <c r="AC1642">
        <v>3.5700000000019799E-2</v>
      </c>
      <c r="AD1642">
        <v>-1.1200090664489999</v>
      </c>
      <c r="AE1642">
        <v>-25.44699</v>
      </c>
      <c r="AF1642">
        <v>-9.5499609872735096</v>
      </c>
      <c r="AG1642">
        <v>-1.1200090664489999</v>
      </c>
      <c r="AH1642">
        <v>23.5339595137219</v>
      </c>
      <c r="AI1642">
        <v>92.525029928353305</v>
      </c>
      <c r="AJ1642">
        <v>112.087063804542</v>
      </c>
      <c r="AK1642">
        <v>25.422498413037101</v>
      </c>
    </row>
    <row r="1643" spans="1:37" x14ac:dyDescent="0.2">
      <c r="A1643" t="str">
        <f>"20200111150621912"</f>
        <v>20200111150621912</v>
      </c>
      <c r="B1643" t="str">
        <f>"1578726381907794"</f>
        <v>1578726381907794</v>
      </c>
      <c r="C1643" t="s">
        <v>37</v>
      </c>
      <c r="D1643">
        <v>4.7580140000000002</v>
      </c>
      <c r="E1643">
        <v>0.39315209999999901</v>
      </c>
      <c r="F1643" t="s">
        <v>39</v>
      </c>
      <c r="G1643">
        <v>-419.83940000000001</v>
      </c>
      <c r="H1643" s="1">
        <v>-3.73915599999999E-6</v>
      </c>
      <c r="I1643">
        <v>98.282439999999994</v>
      </c>
      <c r="J1643">
        <v>-420.27659999999997</v>
      </c>
      <c r="K1643">
        <v>1.119991</v>
      </c>
      <c r="L1643">
        <v>124.1009</v>
      </c>
      <c r="M1643">
        <v>-0.35991109999999998</v>
      </c>
      <c r="N1643">
        <v>0</v>
      </c>
      <c r="O1643">
        <v>-0.93284509999999898</v>
      </c>
      <c r="P1643">
        <v>-0.2385649</v>
      </c>
      <c r="Q1643">
        <v>0.15681999999999999</v>
      </c>
      <c r="R1643">
        <v>-0.95838129999999999</v>
      </c>
      <c r="S1643">
        <v>3.7109379999999997E-2</v>
      </c>
      <c r="T1643">
        <v>-0.13589419999999999</v>
      </c>
      <c r="U1643">
        <v>-3.1746369999999899</v>
      </c>
      <c r="V1643">
        <v>-0.1294836</v>
      </c>
      <c r="W1643">
        <v>0.16748779999999999</v>
      </c>
      <c r="X1643">
        <v>0.97733400000000004</v>
      </c>
      <c r="Y1643">
        <v>-0.37081839999999999</v>
      </c>
      <c r="Z1643">
        <v>3.6939260000000002E-2</v>
      </c>
      <c r="AA1643">
        <v>0.92797050000000003</v>
      </c>
      <c r="AB1643">
        <v>39</v>
      </c>
      <c r="AC1643">
        <v>0.43719999999996101</v>
      </c>
      <c r="AD1643">
        <v>-1.1199947391559999</v>
      </c>
      <c r="AE1643">
        <v>-25.818459999999899</v>
      </c>
      <c r="AF1643">
        <v>-9.6832543564010507</v>
      </c>
      <c r="AG1643">
        <v>-1.1199947391559999</v>
      </c>
      <c r="AH1643">
        <v>23.885495410211899</v>
      </c>
      <c r="AI1643">
        <v>92.488222034244302</v>
      </c>
      <c r="AJ1643">
        <v>112.067787089932</v>
      </c>
      <c r="AK1643">
        <v>25.797997870721499</v>
      </c>
    </row>
    <row r="1644" spans="1:37" x14ac:dyDescent="0.2">
      <c r="A1644" t="str">
        <f>"20200111150621935"</f>
        <v>20200111150621935</v>
      </c>
      <c r="B1644" t="str">
        <f>"1578726381928456"</f>
        <v>1578726381928456</v>
      </c>
      <c r="C1644" t="s">
        <v>37</v>
      </c>
      <c r="D1644">
        <v>4.6980360000000001</v>
      </c>
      <c r="E1644">
        <v>0.40962290000000001</v>
      </c>
      <c r="F1644" t="s">
        <v>39</v>
      </c>
      <c r="G1644">
        <v>-419.59309999999999</v>
      </c>
      <c r="H1644" s="1">
        <v>-3.6380970000000001E-6</v>
      </c>
      <c r="I1644">
        <v>97.945040000000006</v>
      </c>
      <c r="J1644">
        <v>-420.40879999999999</v>
      </c>
      <c r="K1644">
        <v>1.1199669999999999</v>
      </c>
      <c r="L1644">
        <v>123.7332</v>
      </c>
      <c r="M1644">
        <v>-0.344221</v>
      </c>
      <c r="N1644">
        <v>0</v>
      </c>
      <c r="O1644">
        <v>-0.93874829999999998</v>
      </c>
      <c r="P1644">
        <v>-0.2229062</v>
      </c>
      <c r="Q1644">
        <v>0.156517299999999</v>
      </c>
      <c r="R1644">
        <v>-0.96219330000000003</v>
      </c>
      <c r="S1644">
        <v>8.2916260000000006E-2</v>
      </c>
      <c r="T1644">
        <v>-0.1358742</v>
      </c>
      <c r="U1644">
        <v>-3.17314099999999</v>
      </c>
      <c r="V1644">
        <v>-0.12902819999999901</v>
      </c>
      <c r="W1644">
        <v>0.16719909999999999</v>
      </c>
      <c r="X1644">
        <v>0.97744370000000003</v>
      </c>
      <c r="Y1644">
        <v>-0.368643099999999</v>
      </c>
      <c r="Z1644">
        <v>3.7340360000000003E-2</v>
      </c>
      <c r="AA1644">
        <v>0.92882070000000005</v>
      </c>
      <c r="AB1644">
        <v>39</v>
      </c>
      <c r="AC1644">
        <v>0.81569999999999199</v>
      </c>
      <c r="AD1644">
        <v>-1.119970638097</v>
      </c>
      <c r="AE1644">
        <v>-25.788159999999898</v>
      </c>
      <c r="AF1644">
        <v>-9.6256968184010798</v>
      </c>
      <c r="AG1644">
        <v>-1.119970638097</v>
      </c>
      <c r="AH1644">
        <v>23.885956703413498</v>
      </c>
      <c r="AI1644">
        <v>92.490208641036105</v>
      </c>
      <c r="AJ1644">
        <v>111.948725443416</v>
      </c>
      <c r="AK1644">
        <v>25.776875316983599</v>
      </c>
    </row>
    <row r="1645" spans="1:37" x14ac:dyDescent="0.2">
      <c r="A1645" t="str">
        <f>"20200111150621956"</f>
        <v>20200111150621956</v>
      </c>
      <c r="B1645" t="str">
        <f>"1578726381947973"</f>
        <v>1578726381947973</v>
      </c>
      <c r="C1645" t="s">
        <v>37</v>
      </c>
      <c r="D1645">
        <v>4.7064550000000001</v>
      </c>
      <c r="E1645">
        <v>0.40433730000000001</v>
      </c>
      <c r="F1645" t="s">
        <v>39</v>
      </c>
      <c r="G1645">
        <v>-420.40460000000002</v>
      </c>
      <c r="H1645" s="1">
        <v>-1.5736970000000001E-7</v>
      </c>
      <c r="I1645">
        <v>109.705</v>
      </c>
      <c r="J1645">
        <v>-420.53059999999999</v>
      </c>
      <c r="K1645">
        <v>1.1199379999999901</v>
      </c>
      <c r="L1645">
        <v>123.3758</v>
      </c>
      <c r="M1645">
        <v>-0.32894040000000002</v>
      </c>
      <c r="N1645">
        <v>0</v>
      </c>
      <c r="O1645">
        <v>-0.94421149999999998</v>
      </c>
      <c r="P1645">
        <v>-0.20762539999999999</v>
      </c>
      <c r="Q1645">
        <v>0.15571270000000001</v>
      </c>
      <c r="R1645">
        <v>-0.96573589999999998</v>
      </c>
      <c r="S1645">
        <v>9.4604490000000003E-4</v>
      </c>
      <c r="T1645">
        <v>-0.25221359999999998</v>
      </c>
      <c r="U1645">
        <v>-3.159119</v>
      </c>
      <c r="V1645">
        <v>-0.12865879999999999</v>
      </c>
      <c r="W1645">
        <v>0.166406</v>
      </c>
      <c r="X1645">
        <v>0.97762769999999999</v>
      </c>
      <c r="Y1645">
        <v>-0.32923570000000002</v>
      </c>
      <c r="Z1645">
        <v>7.072676E-2</v>
      </c>
      <c r="AA1645">
        <v>0.94159530000000002</v>
      </c>
      <c r="AB1645">
        <v>39</v>
      </c>
      <c r="AC1645">
        <v>0.12599999999997599</v>
      </c>
      <c r="AD1645">
        <v>-1.11993815736969</v>
      </c>
      <c r="AE1645">
        <v>-13.6708</v>
      </c>
      <c r="AF1645">
        <v>-4.5856830171524701</v>
      </c>
      <c r="AG1645">
        <v>-1.11993815736969</v>
      </c>
      <c r="AH1645">
        <v>12.7825922081347</v>
      </c>
      <c r="AI1645">
        <v>94.7144094415589</v>
      </c>
      <c r="AJ1645">
        <v>109.735162701413</v>
      </c>
      <c r="AK1645">
        <v>13.626349979712099</v>
      </c>
    </row>
    <row r="1646" spans="1:37" x14ac:dyDescent="0.2">
      <c r="A1646" t="str">
        <f>"20200111150621979"</f>
        <v>20200111150621979</v>
      </c>
      <c r="B1646" t="str">
        <f>"1578726381968470"</f>
        <v>1578726381968470</v>
      </c>
      <c r="C1646" t="s">
        <v>37</v>
      </c>
      <c r="D1646">
        <v>4.6984149999999998</v>
      </c>
      <c r="E1646">
        <v>0.40435769999999999</v>
      </c>
      <c r="F1646" t="s">
        <v>39</v>
      </c>
      <c r="G1646">
        <v>-419.92779999999999</v>
      </c>
      <c r="H1646" s="1">
        <v>-1.8760749999999899E-6</v>
      </c>
      <c r="I1646">
        <v>103.5729</v>
      </c>
      <c r="J1646">
        <v>-420.64499999999998</v>
      </c>
      <c r="K1646">
        <v>1.119915</v>
      </c>
      <c r="L1646">
        <v>123.02119999999999</v>
      </c>
      <c r="M1646">
        <v>-0.31375419999999998</v>
      </c>
      <c r="N1646">
        <v>0</v>
      </c>
      <c r="O1646">
        <v>-0.94936589999999998</v>
      </c>
      <c r="P1646">
        <v>-0.1923368</v>
      </c>
      <c r="Q1646">
        <v>0.155275</v>
      </c>
      <c r="R1646">
        <v>-0.96896680000000002</v>
      </c>
      <c r="S1646">
        <v>9.6069340000000003E-2</v>
      </c>
      <c r="T1646">
        <v>-0.17847929999999901</v>
      </c>
      <c r="U1646">
        <v>-3.1558839999999999</v>
      </c>
      <c r="V1646">
        <v>-0.12842400000000001</v>
      </c>
      <c r="W1646">
        <v>0.16597479999999901</v>
      </c>
      <c r="X1646">
        <v>0.97773189999999999</v>
      </c>
      <c r="Y1646">
        <v>-0.34248420000000002</v>
      </c>
      <c r="Z1646">
        <v>5.0462260000000002E-2</v>
      </c>
      <c r="AA1646">
        <v>0.93816749999999904</v>
      </c>
      <c r="AB1646">
        <v>38</v>
      </c>
      <c r="AC1646">
        <v>0.71719999999999096</v>
      </c>
      <c r="AD1646">
        <v>-1.119916876075</v>
      </c>
      <c r="AE1646">
        <v>-19.4482999999999</v>
      </c>
      <c r="AF1646">
        <v>-6.7613721632884003</v>
      </c>
      <c r="AG1646">
        <v>-1.119916876075</v>
      </c>
      <c r="AH1646">
        <v>18.180719803951298</v>
      </c>
      <c r="AI1646">
        <v>93.304346437346496</v>
      </c>
      <c r="AJ1646">
        <v>110.400063887984</v>
      </c>
      <c r="AK1646">
        <v>19.4295892887523</v>
      </c>
    </row>
    <row r="1647" spans="1:37" x14ac:dyDescent="0.2">
      <c r="A1647" t="str">
        <f>"20200111150622001"</f>
        <v>20200111150622001</v>
      </c>
      <c r="B1647" t="str">
        <f>"1578726381997749"</f>
        <v>1578726381997749</v>
      </c>
      <c r="C1647" t="s">
        <v>37</v>
      </c>
      <c r="D1647">
        <v>4.7348840000000001</v>
      </c>
      <c r="E1647">
        <v>0.4050298</v>
      </c>
      <c r="F1647" t="s">
        <v>39</v>
      </c>
      <c r="G1647">
        <v>-419.69349999999997</v>
      </c>
      <c r="H1647" s="1">
        <v>-1.4146809999999899E-6</v>
      </c>
      <c r="I1647">
        <v>102.509</v>
      </c>
      <c r="J1647">
        <v>-420.7552</v>
      </c>
      <c r="K1647">
        <v>1.119888</v>
      </c>
      <c r="L1647">
        <v>122.65989999999999</v>
      </c>
      <c r="M1647">
        <v>-0.29825469999999998</v>
      </c>
      <c r="N1647">
        <v>0</v>
      </c>
      <c r="O1647">
        <v>-0.95434869999999905</v>
      </c>
      <c r="P1647">
        <v>-0.17687349999999999</v>
      </c>
      <c r="Q1647">
        <v>0.15542220000000001</v>
      </c>
      <c r="R1647">
        <v>-0.97188469999999905</v>
      </c>
      <c r="S1647">
        <v>0.14624019999999999</v>
      </c>
      <c r="T1647">
        <v>-0.17212929999999901</v>
      </c>
      <c r="U1647">
        <v>-3.152695</v>
      </c>
      <c r="V1647">
        <v>-0.12807180000000001</v>
      </c>
      <c r="W1647">
        <v>0.16613229999999901</v>
      </c>
      <c r="X1647">
        <v>0.97775129999999999</v>
      </c>
      <c r="Y1647">
        <v>-0.34212779999999998</v>
      </c>
      <c r="Z1647">
        <v>4.9114940000000003E-2</v>
      </c>
      <c r="AA1647">
        <v>0.93836889999999995</v>
      </c>
      <c r="AB1647">
        <v>38</v>
      </c>
      <c r="AC1647">
        <v>1.0617000000000301</v>
      </c>
      <c r="AD1647">
        <v>-1.1198894146809999</v>
      </c>
      <c r="AE1647">
        <v>-20.1509</v>
      </c>
      <c r="AF1647">
        <v>-7.0026867097966603</v>
      </c>
      <c r="AG1647">
        <v>-1.1198894146809999</v>
      </c>
      <c r="AH1647">
        <v>18.858727239160899</v>
      </c>
      <c r="AI1647">
        <v>93.186316591869499</v>
      </c>
      <c r="AJ1647">
        <v>110.371139671432</v>
      </c>
      <c r="AK1647">
        <v>20.148036294829001</v>
      </c>
    </row>
    <row r="1648" spans="1:37" x14ac:dyDescent="0.2">
      <c r="A1648" t="str">
        <f>"20200111150622025"</f>
        <v>20200111150622025</v>
      </c>
      <c r="B1648" t="str">
        <f>"1578726382018246"</f>
        <v>1578726382018246</v>
      </c>
      <c r="C1648" t="s">
        <v>37</v>
      </c>
      <c r="D1648">
        <v>4.7580330000000002</v>
      </c>
      <c r="E1648">
        <v>0.40577609999999997</v>
      </c>
      <c r="F1648" t="s">
        <v>39</v>
      </c>
      <c r="G1648">
        <v>-419.47489999999999</v>
      </c>
      <c r="H1648" s="1">
        <v>-1.0610479999999999E-6</v>
      </c>
      <c r="I1648">
        <v>101.6788</v>
      </c>
      <c r="J1648">
        <v>-420.86090000000002</v>
      </c>
      <c r="K1648">
        <v>1.1198629999999901</v>
      </c>
      <c r="L1648">
        <v>122.292</v>
      </c>
      <c r="M1648">
        <v>-0.28243990000000002</v>
      </c>
      <c r="N1648">
        <v>0</v>
      </c>
      <c r="O1648">
        <v>-0.95914820000000001</v>
      </c>
      <c r="P1648">
        <v>-0.16045799999999999</v>
      </c>
      <c r="Q1648">
        <v>0.15467729999999999</v>
      </c>
      <c r="R1648">
        <v>-0.97484819999999905</v>
      </c>
      <c r="S1648">
        <v>0.1921387</v>
      </c>
      <c r="T1648">
        <v>-0.16806079999999901</v>
      </c>
      <c r="U1648">
        <v>-3.1486209999999999</v>
      </c>
      <c r="V1648">
        <v>-0.12839429999999999</v>
      </c>
      <c r="W1648">
        <v>0.1653715</v>
      </c>
      <c r="X1648">
        <v>0.97783799999999899</v>
      </c>
      <c r="Y1648">
        <v>-0.34029530000000002</v>
      </c>
      <c r="Z1648">
        <v>4.8400350000000002E-2</v>
      </c>
      <c r="AA1648">
        <v>0.93907220000000002</v>
      </c>
      <c r="AB1648">
        <v>38</v>
      </c>
      <c r="AC1648">
        <v>1.3860000000000201</v>
      </c>
      <c r="AD1648">
        <v>-1.11986406104799</v>
      </c>
      <c r="AE1648">
        <v>-20.613199999999999</v>
      </c>
      <c r="AF1648">
        <v>-7.1313547976966003</v>
      </c>
      <c r="AG1648">
        <v>-1.11986406104799</v>
      </c>
      <c r="AH1648">
        <v>19.325413556922602</v>
      </c>
      <c r="AI1648">
        <v>93.111787111957199</v>
      </c>
      <c r="AJ1648">
        <v>110.254784149364</v>
      </c>
      <c r="AK1648">
        <v>20.629637076593099</v>
      </c>
    </row>
    <row r="1649" spans="1:37" x14ac:dyDescent="0.2">
      <c r="A1649" t="str">
        <f>"20200111150622048"</f>
        <v>20200111150622048</v>
      </c>
      <c r="B1649" t="str">
        <f>"1578726382037766"</f>
        <v>1578726382037766</v>
      </c>
      <c r="C1649" t="s">
        <v>37</v>
      </c>
      <c r="D1649">
        <v>4.8007309999999999</v>
      </c>
      <c r="E1649">
        <v>0.4064797</v>
      </c>
      <c r="F1649" t="s">
        <v>39</v>
      </c>
      <c r="G1649">
        <v>-419.3125</v>
      </c>
      <c r="H1649" s="1">
        <v>-1.1946500000000001E-6</v>
      </c>
      <c r="I1649">
        <v>101.90049999999999</v>
      </c>
      <c r="J1649">
        <v>-420.96339999999998</v>
      </c>
      <c r="K1649">
        <v>1.1198410000000001</v>
      </c>
      <c r="L1649">
        <v>121.91079999999999</v>
      </c>
      <c r="M1649">
        <v>-0.2660283</v>
      </c>
      <c r="N1649">
        <v>0</v>
      </c>
      <c r="O1649">
        <v>-0.96382939999999995</v>
      </c>
      <c r="P1649">
        <v>-0.1441151</v>
      </c>
      <c r="Q1649">
        <v>0.152633299999999</v>
      </c>
      <c r="R1649">
        <v>-0.97771909999999895</v>
      </c>
      <c r="S1649">
        <v>0.23873899999999901</v>
      </c>
      <c r="T1649">
        <v>-0.17266789999999901</v>
      </c>
      <c r="U1649">
        <v>-3.1440890000000001</v>
      </c>
      <c r="V1649">
        <v>-0.12806609999999999</v>
      </c>
      <c r="W1649">
        <v>0.1633424</v>
      </c>
      <c r="X1649">
        <v>0.97822199999999904</v>
      </c>
      <c r="Y1649">
        <v>-0.33817419999999998</v>
      </c>
      <c r="Z1649">
        <v>5.0174360000000001E-2</v>
      </c>
      <c r="AA1649">
        <v>0.93974500000000005</v>
      </c>
      <c r="AB1649">
        <v>38</v>
      </c>
      <c r="AC1649">
        <v>1.6508999999999701</v>
      </c>
      <c r="AD1649">
        <v>-1.1198421946499999</v>
      </c>
      <c r="AE1649">
        <v>-20.010300000000001</v>
      </c>
      <c r="AF1649">
        <v>-6.8939523126721101</v>
      </c>
      <c r="AG1649">
        <v>-1.1198421946499999</v>
      </c>
      <c r="AH1649">
        <v>18.791342685545501</v>
      </c>
      <c r="AI1649">
        <v>93.202205316558505</v>
      </c>
      <c r="AJ1649">
        <v>110.146498109257</v>
      </c>
      <c r="AK1649">
        <v>20.047323635735498</v>
      </c>
    </row>
    <row r="1650" spans="1:37" x14ac:dyDescent="0.2">
      <c r="A1650" t="str">
        <f>"20200111150622070"</f>
        <v>20200111150622070</v>
      </c>
      <c r="B1650" t="str">
        <f>"1578726382058262"</f>
        <v>1578726382058262</v>
      </c>
      <c r="C1650" t="s">
        <v>37</v>
      </c>
      <c r="D1650">
        <v>4.8068939999999998</v>
      </c>
      <c r="E1650">
        <v>0.40690029999999999</v>
      </c>
      <c r="F1650" t="s">
        <v>39</v>
      </c>
      <c r="G1650">
        <v>-419.20580000000001</v>
      </c>
      <c r="H1650" s="1">
        <v>-1.56722199999999E-6</v>
      </c>
      <c r="I1650">
        <v>102.6486</v>
      </c>
      <c r="J1650">
        <v>-421.05290000000002</v>
      </c>
      <c r="K1650">
        <v>1.1198250000000001</v>
      </c>
      <c r="L1650">
        <v>121.55500000000001</v>
      </c>
      <c r="M1650">
        <v>-0.25068179999999901</v>
      </c>
      <c r="N1650">
        <v>0</v>
      </c>
      <c r="O1650">
        <v>-0.96793459999999998</v>
      </c>
      <c r="P1650">
        <v>-0.13067989999999999</v>
      </c>
      <c r="Q1650">
        <v>0.15256140000000001</v>
      </c>
      <c r="R1650">
        <v>-0.97961620000000005</v>
      </c>
      <c r="S1650">
        <v>0.28643800000000003</v>
      </c>
      <c r="T1650">
        <v>-0.18249560000000001</v>
      </c>
      <c r="U1650">
        <v>-3.1390689999999899</v>
      </c>
      <c r="V1650">
        <v>-0.12593979999999999</v>
      </c>
      <c r="W1650">
        <v>0.16336029999999899</v>
      </c>
      <c r="X1650">
        <v>0.97849509999999995</v>
      </c>
      <c r="Y1650">
        <v>-0.33750019999999997</v>
      </c>
      <c r="Z1650">
        <v>5.3435199999999898E-2</v>
      </c>
      <c r="AA1650">
        <v>0.93980759999999997</v>
      </c>
      <c r="AB1650">
        <v>38</v>
      </c>
      <c r="AC1650">
        <v>1.84710000000001</v>
      </c>
      <c r="AD1650">
        <v>-1.119826567222</v>
      </c>
      <c r="AE1650">
        <v>-18.906400000000001</v>
      </c>
      <c r="AF1650">
        <v>-6.5056080026297103</v>
      </c>
      <c r="AG1650">
        <v>-1.119826567222</v>
      </c>
      <c r="AH1650">
        <v>17.7776768355433</v>
      </c>
      <c r="AI1650">
        <v>93.385341990289305</v>
      </c>
      <c r="AJ1650">
        <v>110.099721823276</v>
      </c>
      <c r="AK1650">
        <v>18.963721699432998</v>
      </c>
    </row>
    <row r="1651" spans="1:37" x14ac:dyDescent="0.2">
      <c r="A1651" t="str">
        <f>"20200111150622091"</f>
        <v>20200111150622091</v>
      </c>
      <c r="B1651" t="str">
        <f>"1578726382088518"</f>
        <v>1578726382088518</v>
      </c>
      <c r="C1651" t="s">
        <v>37</v>
      </c>
      <c r="D1651">
        <v>4.6583680000000003</v>
      </c>
      <c r="E1651">
        <v>0.41588419999999998</v>
      </c>
      <c r="F1651" t="s">
        <v>39</v>
      </c>
      <c r="G1651">
        <v>-419.0607</v>
      </c>
      <c r="H1651" s="1">
        <v>-1.484119E-6</v>
      </c>
      <c r="I1651">
        <v>102.41840000000001</v>
      </c>
      <c r="J1651">
        <v>-421.13479999999998</v>
      </c>
      <c r="K1651">
        <v>1.1198159999999999</v>
      </c>
      <c r="L1651">
        <v>121.20610000000001</v>
      </c>
      <c r="M1651">
        <v>-0.2356017</v>
      </c>
      <c r="N1651">
        <v>0</v>
      </c>
      <c r="O1651">
        <v>-0.9717152</v>
      </c>
      <c r="P1651">
        <v>-0.1179838</v>
      </c>
      <c r="Q1651">
        <v>0.1527887</v>
      </c>
      <c r="R1651">
        <v>-0.98119080000000003</v>
      </c>
      <c r="S1651">
        <v>0.32632449999999902</v>
      </c>
      <c r="T1651">
        <v>-0.183423799999999</v>
      </c>
      <c r="U1651">
        <v>-3.1345209999999999</v>
      </c>
      <c r="V1651">
        <v>-0.12338440000000001</v>
      </c>
      <c r="W1651">
        <v>0.16369520000000001</v>
      </c>
      <c r="X1651">
        <v>0.97876459999999998</v>
      </c>
      <c r="Y1651">
        <v>-0.33482970000000001</v>
      </c>
      <c r="Z1651">
        <v>5.4108910000000003E-2</v>
      </c>
      <c r="AA1651">
        <v>0.9407238</v>
      </c>
      <c r="AB1651">
        <v>38</v>
      </c>
      <c r="AC1651">
        <v>2.0740999999999801</v>
      </c>
      <c r="AD1651">
        <v>-1.1198174841189901</v>
      </c>
      <c r="AE1651">
        <v>-18.787700000000001</v>
      </c>
      <c r="AF1651">
        <v>-6.4201570274440503</v>
      </c>
      <c r="AG1651">
        <v>-1.1198174841189901</v>
      </c>
      <c r="AH1651">
        <v>17.707803528982001</v>
      </c>
      <c r="AI1651">
        <v>93.402330750655594</v>
      </c>
      <c r="AJ1651">
        <v>109.928664198478</v>
      </c>
      <c r="AK1651">
        <v>18.8689881359814</v>
      </c>
    </row>
    <row r="1652" spans="1:37" x14ac:dyDescent="0.2">
      <c r="A1652" t="str">
        <f>"20200111150622113"</f>
        <v>20200111150622113</v>
      </c>
      <c r="B1652" t="str">
        <f>"1578726382108037"</f>
        <v>1578726382108037</v>
      </c>
      <c r="C1652" t="s">
        <v>37</v>
      </c>
      <c r="D1652">
        <v>4.8200180000000001</v>
      </c>
      <c r="E1652">
        <v>0.43818459999999998</v>
      </c>
      <c r="F1652" t="s">
        <v>39</v>
      </c>
      <c r="G1652">
        <v>-419.6028</v>
      </c>
      <c r="H1652" s="1">
        <v>-2.6113599999999998E-6</v>
      </c>
      <c r="I1652">
        <v>105.0065</v>
      </c>
      <c r="J1652">
        <v>-421.21409999999997</v>
      </c>
      <c r="K1652">
        <v>1.1198030000000001</v>
      </c>
      <c r="L1652">
        <v>120.8411</v>
      </c>
      <c r="M1652">
        <v>-0.21979889999999999</v>
      </c>
      <c r="N1652">
        <v>0</v>
      </c>
      <c r="O1652">
        <v>-0.97541139999999904</v>
      </c>
      <c r="P1652">
        <v>-0.10445839999999899</v>
      </c>
      <c r="Q1652">
        <v>0.1530619</v>
      </c>
      <c r="R1652">
        <v>-0.98268040000000001</v>
      </c>
      <c r="S1652">
        <v>0.29568479999999903</v>
      </c>
      <c r="T1652">
        <v>-0.2161402</v>
      </c>
      <c r="U1652">
        <v>-3.1267399999999999</v>
      </c>
      <c r="V1652">
        <v>-0.1209677</v>
      </c>
      <c r="W1652">
        <v>0.1640701</v>
      </c>
      <c r="X1652">
        <v>0.97900350000000003</v>
      </c>
      <c r="Y1652">
        <v>-0.31048039999999999</v>
      </c>
      <c r="Z1652">
        <v>6.4576309999999998E-2</v>
      </c>
      <c r="AA1652">
        <v>0.9483838</v>
      </c>
      <c r="AB1652">
        <v>38</v>
      </c>
      <c r="AC1652">
        <v>1.61129999999997</v>
      </c>
      <c r="AD1652">
        <v>-1.1198056113599999</v>
      </c>
      <c r="AE1652">
        <v>-15.834599999999901</v>
      </c>
      <c r="AF1652">
        <v>-5.0278800436679596</v>
      </c>
      <c r="AG1652">
        <v>-1.1198056113599999</v>
      </c>
      <c r="AH1652">
        <v>15.0187162165463</v>
      </c>
      <c r="AI1652">
        <v>94.044301550730907</v>
      </c>
      <c r="AJ1652">
        <v>108.509221286646</v>
      </c>
      <c r="AK1652">
        <v>15.8775117425212</v>
      </c>
    </row>
    <row r="1653" spans="1:37" x14ac:dyDescent="0.2">
      <c r="A1653" t="str">
        <f>"20200111150622159"</f>
        <v>20200111150622159</v>
      </c>
      <c r="B1653" t="str">
        <f>"1578726382148552"</f>
        <v>1578726382148552</v>
      </c>
      <c r="C1653" t="s">
        <v>37</v>
      </c>
      <c r="D1653">
        <v>4.8266530000000003</v>
      </c>
      <c r="E1653">
        <v>0.4447567</v>
      </c>
      <c r="F1653" t="s">
        <v>39</v>
      </c>
      <c r="G1653">
        <v>-420.08150000000001</v>
      </c>
      <c r="H1653" s="1">
        <v>-4.2323259999999902E-6</v>
      </c>
      <c r="I1653">
        <v>99.404209999999907</v>
      </c>
      <c r="J1653">
        <v>-421.35579999999999</v>
      </c>
      <c r="K1653">
        <v>1.119775</v>
      </c>
      <c r="L1653">
        <v>120.09820000000001</v>
      </c>
      <c r="M1653">
        <v>-0.18753649999999999</v>
      </c>
      <c r="N1653">
        <v>0</v>
      </c>
      <c r="O1653">
        <v>-0.98212489999999997</v>
      </c>
      <c r="P1653">
        <v>-7.7351879999999998E-2</v>
      </c>
      <c r="Q1653">
        <v>0.15250179999999999</v>
      </c>
      <c r="R1653">
        <v>-0.98527140000000002</v>
      </c>
      <c r="S1653">
        <v>0.16354369999999999</v>
      </c>
      <c r="T1653">
        <v>-0.16169819999999999</v>
      </c>
      <c r="U1653">
        <v>-3.0954440000000001</v>
      </c>
      <c r="V1653">
        <v>-0.11563710000000001</v>
      </c>
      <c r="W1653">
        <v>0.16373660000000001</v>
      </c>
      <c r="X1653">
        <v>0.979703199999999</v>
      </c>
      <c r="Y1653">
        <v>-0.23905270000000001</v>
      </c>
      <c r="Z1653">
        <v>4.9984790000000001E-2</v>
      </c>
      <c r="AA1653">
        <v>0.969719199999999</v>
      </c>
      <c r="AB1653">
        <v>38</v>
      </c>
      <c r="AC1653">
        <v>1.27429999999998</v>
      </c>
      <c r="AD1653">
        <v>-1.1197792323260001</v>
      </c>
      <c r="AE1653">
        <v>-20.693989999999999</v>
      </c>
      <c r="AF1653">
        <v>-5.1181399776197498</v>
      </c>
      <c r="AG1653">
        <v>-1.1197792323260001</v>
      </c>
      <c r="AH1653">
        <v>20.029299164773299</v>
      </c>
      <c r="AI1653">
        <v>93.100485788869406</v>
      </c>
      <c r="AJ1653">
        <v>104.33420370377399</v>
      </c>
      <c r="AK1653">
        <v>20.7031902708652</v>
      </c>
    </row>
    <row r="1654" spans="1:37" x14ac:dyDescent="0.2">
      <c r="A1654" t="str">
        <f>"20200111150622180"</f>
        <v>20200111150622180</v>
      </c>
      <c r="B1654" t="str">
        <f>"1578726382168072"</f>
        <v>1578726382168072</v>
      </c>
      <c r="C1654" t="s">
        <v>37</v>
      </c>
      <c r="D1654">
        <v>4.8630190000000004</v>
      </c>
      <c r="E1654">
        <v>0.44672289999999998</v>
      </c>
      <c r="F1654" t="s">
        <v>39</v>
      </c>
      <c r="G1654">
        <v>-420.2457</v>
      </c>
      <c r="H1654" s="1">
        <v>-1.55365199999999E-6</v>
      </c>
      <c r="I1654">
        <v>102.7401</v>
      </c>
      <c r="J1654">
        <v>-421.41410000000002</v>
      </c>
      <c r="K1654">
        <v>1.119769</v>
      </c>
      <c r="L1654">
        <v>119.74679999999999</v>
      </c>
      <c r="M1654">
        <v>-0.17222219999999999</v>
      </c>
      <c r="N1654">
        <v>0</v>
      </c>
      <c r="O1654">
        <v>-0.98492590000000002</v>
      </c>
      <c r="P1654">
        <v>-6.593852E-2</v>
      </c>
      <c r="Q1654">
        <v>0.1520224</v>
      </c>
      <c r="R1654">
        <v>-0.98617529999999998</v>
      </c>
      <c r="S1654">
        <v>0.19769289999999901</v>
      </c>
      <c r="T1654">
        <v>-0.19941539999999999</v>
      </c>
      <c r="U1654">
        <v>-3.09123199999999</v>
      </c>
      <c r="V1654">
        <v>-0.11170480000000001</v>
      </c>
      <c r="W1654">
        <v>0.16342570000000001</v>
      </c>
      <c r="X1654">
        <v>0.98021130000000001</v>
      </c>
      <c r="Y1654">
        <v>-0.2346326</v>
      </c>
      <c r="Z1654">
        <v>6.1969349999999999E-2</v>
      </c>
      <c r="AA1654">
        <v>0.97010689999999999</v>
      </c>
      <c r="AB1654">
        <v>38</v>
      </c>
      <c r="AC1654">
        <v>1.1684000000000101</v>
      </c>
      <c r="AD1654">
        <v>-1.119770553652</v>
      </c>
      <c r="AE1654">
        <v>-17.006699999999899</v>
      </c>
      <c r="AF1654">
        <v>-4.062719849034</v>
      </c>
      <c r="AG1654">
        <v>-1.119770553652</v>
      </c>
      <c r="AH1654">
        <v>16.480160104590201</v>
      </c>
      <c r="AI1654">
        <v>93.774419329416403</v>
      </c>
      <c r="AJ1654">
        <v>103.84853070497</v>
      </c>
      <c r="AK1654">
        <v>17.0104454890954</v>
      </c>
    </row>
    <row r="1655" spans="1:37" x14ac:dyDescent="0.2">
      <c r="A1655" t="str">
        <f>"20200111150622203"</f>
        <v>20200111150622203</v>
      </c>
      <c r="B1655" t="str">
        <f>"1578726382198328"</f>
        <v>1578726382198328</v>
      </c>
      <c r="C1655" t="s">
        <v>37</v>
      </c>
      <c r="D1655">
        <v>4.8288859999999998</v>
      </c>
      <c r="E1655">
        <v>0.44931769999999999</v>
      </c>
      <c r="F1655" t="s">
        <v>39</v>
      </c>
      <c r="G1655">
        <v>-420.24430000000001</v>
      </c>
      <c r="H1655" s="1">
        <v>-1.774265E-6</v>
      </c>
      <c r="I1655">
        <v>103.2076</v>
      </c>
      <c r="J1655">
        <v>-421.46940000000001</v>
      </c>
      <c r="K1655">
        <v>1.1197549999999901</v>
      </c>
      <c r="L1655">
        <v>119.3763</v>
      </c>
      <c r="M1655">
        <v>-0.15605089999999999</v>
      </c>
      <c r="N1655">
        <v>0</v>
      </c>
      <c r="O1655">
        <v>-0.98761730000000003</v>
      </c>
      <c r="P1655">
        <v>-5.5191709999999998E-2</v>
      </c>
      <c r="Q1655">
        <v>0.1524219</v>
      </c>
      <c r="R1655">
        <v>-0.98677359999999903</v>
      </c>
      <c r="S1655">
        <v>0.21847529999999901</v>
      </c>
      <c r="T1655">
        <v>-0.2091307</v>
      </c>
      <c r="U1655">
        <v>-3.0888979999999999</v>
      </c>
      <c r="V1655">
        <v>-0.106300399999999</v>
      </c>
      <c r="W1655">
        <v>0.16405410000000001</v>
      </c>
      <c r="X1655">
        <v>0.98070709999999905</v>
      </c>
      <c r="Y1655">
        <v>-0.22521340000000001</v>
      </c>
      <c r="Z1655">
        <v>6.5356979999999995E-2</v>
      </c>
      <c r="AA1655">
        <v>0.972114899999999</v>
      </c>
      <c r="AB1655">
        <v>38</v>
      </c>
      <c r="AC1655">
        <v>1.2250999999999901</v>
      </c>
      <c r="AD1655">
        <v>-1.1197567742649901</v>
      </c>
      <c r="AE1655">
        <v>-16.168700000000001</v>
      </c>
      <c r="AF1655">
        <v>-3.7158357261270698</v>
      </c>
      <c r="AG1655">
        <v>-1.1197567742649901</v>
      </c>
      <c r="AH1655">
        <v>15.704470985657199</v>
      </c>
      <c r="AI1655">
        <v>93.969161565107996</v>
      </c>
      <c r="AJ1655">
        <v>103.31194123286301</v>
      </c>
      <c r="AK1655">
        <v>16.176887813062901</v>
      </c>
    </row>
    <row r="1656" spans="1:37" x14ac:dyDescent="0.2">
      <c r="A1656" t="str">
        <f>"20200111150622226"</f>
        <v>20200111150622226</v>
      </c>
      <c r="B1656" t="str">
        <f>"1578726382217848"</f>
        <v>1578726382217848</v>
      </c>
      <c r="C1656" t="s">
        <v>37</v>
      </c>
      <c r="D1656">
        <v>4.8191620000000004</v>
      </c>
      <c r="E1656">
        <v>0.450628799999999</v>
      </c>
      <c r="F1656" t="s">
        <v>39</v>
      </c>
      <c r="G1656">
        <v>-420.23520000000002</v>
      </c>
      <c r="H1656" s="1">
        <v>-1.680336E-6</v>
      </c>
      <c r="I1656">
        <v>103.01390000000001</v>
      </c>
      <c r="J1656">
        <v>-421.52109999999999</v>
      </c>
      <c r="K1656">
        <v>1.1197489999999899</v>
      </c>
      <c r="L1656">
        <v>118.9855</v>
      </c>
      <c r="M1656">
        <v>-0.13895079999999899</v>
      </c>
      <c r="N1656">
        <v>0</v>
      </c>
      <c r="O1656">
        <v>-0.9901681</v>
      </c>
      <c r="P1656">
        <v>-4.2122710000000001E-2</v>
      </c>
      <c r="Q1656">
        <v>0.15372449999999999</v>
      </c>
      <c r="R1656">
        <v>-0.98721579999999998</v>
      </c>
      <c r="S1656">
        <v>0.23275760000000001</v>
      </c>
      <c r="T1656">
        <v>-0.21117910000000001</v>
      </c>
      <c r="U1656">
        <v>-3.0858460000000001</v>
      </c>
      <c r="V1656">
        <v>-0.1023361</v>
      </c>
      <c r="W1656">
        <v>0.1655229</v>
      </c>
      <c r="X1656">
        <v>0.98088199999999903</v>
      </c>
      <c r="Y1656">
        <v>-0.21288789999999999</v>
      </c>
      <c r="Z1656">
        <v>6.6403519999999994E-2</v>
      </c>
      <c r="AA1656">
        <v>0.97481759999999995</v>
      </c>
      <c r="AB1656">
        <v>38</v>
      </c>
      <c r="AC1656">
        <v>1.2858999999999601</v>
      </c>
      <c r="AD1656">
        <v>-1.11975068033599</v>
      </c>
      <c r="AE1656">
        <v>-15.971599999999899</v>
      </c>
      <c r="AF1656">
        <v>-3.4760021488034498</v>
      </c>
      <c r="AG1656">
        <v>-1.11975068033599</v>
      </c>
      <c r="AH1656">
        <v>15.561925399494401</v>
      </c>
      <c r="AI1656">
        <v>94.016945057696404</v>
      </c>
      <c r="AJ1656">
        <v>102.59123216585</v>
      </c>
      <c r="AK1656">
        <v>15.984678747601601</v>
      </c>
    </row>
    <row r="1657" spans="1:37" x14ac:dyDescent="0.2">
      <c r="A1657" t="str">
        <f>"20200111150622248"</f>
        <v>20200111150622248</v>
      </c>
      <c r="B1657" t="str">
        <f>"1578726382238345"</f>
        <v>1578726382238345</v>
      </c>
      <c r="C1657" t="s">
        <v>37</v>
      </c>
      <c r="D1657">
        <v>4.8518819999999998</v>
      </c>
      <c r="E1657">
        <v>0.45182799999999901</v>
      </c>
      <c r="F1657" t="s">
        <v>39</v>
      </c>
      <c r="G1657">
        <v>-420.10559999999998</v>
      </c>
      <c r="H1657" s="1">
        <v>-1.3760039999999999E-6</v>
      </c>
      <c r="I1657">
        <v>102.4431</v>
      </c>
      <c r="J1657">
        <v>-421.56240000000003</v>
      </c>
      <c r="K1657">
        <v>1.1197379999999999</v>
      </c>
      <c r="L1657">
        <v>118.62739999999999</v>
      </c>
      <c r="M1657">
        <v>-0.1232555</v>
      </c>
      <c r="N1657">
        <v>0</v>
      </c>
      <c r="O1657">
        <v>-0.99224409999999896</v>
      </c>
      <c r="P1657">
        <v>-2.8550320000000001E-2</v>
      </c>
      <c r="Q1657">
        <v>0.1562277</v>
      </c>
      <c r="R1657">
        <v>-0.98730859999999998</v>
      </c>
      <c r="S1657">
        <v>0.26376339999999998</v>
      </c>
      <c r="T1657">
        <v>-0.2086596</v>
      </c>
      <c r="U1657">
        <v>-3.0825960000000001</v>
      </c>
      <c r="V1657">
        <v>-0.1003289</v>
      </c>
      <c r="W1657">
        <v>0.1681069</v>
      </c>
      <c r="X1657">
        <v>0.98064989999999996</v>
      </c>
      <c r="Y1657">
        <v>-0.20723649999999999</v>
      </c>
      <c r="Z1657">
        <v>6.5908309999999998E-2</v>
      </c>
      <c r="AA1657">
        <v>0.97606819999999905</v>
      </c>
      <c r="AB1657">
        <v>38</v>
      </c>
      <c r="AC1657">
        <v>1.4568000000000401</v>
      </c>
      <c r="AD1657">
        <v>-1.119739376004</v>
      </c>
      <c r="AE1657">
        <v>-16.184299999999901</v>
      </c>
      <c r="AF1657">
        <v>-3.4244914166849898</v>
      </c>
      <c r="AG1657">
        <v>-1.119739376004</v>
      </c>
      <c r="AH1657">
        <v>15.8062268406635</v>
      </c>
      <c r="AI1657">
        <v>93.960574094411598</v>
      </c>
      <c r="AJ1657">
        <v>102.224461138867</v>
      </c>
      <c r="AK1657">
        <v>16.211655210731401</v>
      </c>
    </row>
    <row r="1658" spans="1:37" x14ac:dyDescent="0.2">
      <c r="A1658" t="str">
        <f>"20200111150622270"</f>
        <v>20200111150622270</v>
      </c>
      <c r="B1658" t="str">
        <f>"1578726382257865"</f>
        <v>1578726382257865</v>
      </c>
      <c r="C1658" t="s">
        <v>37</v>
      </c>
      <c r="D1658">
        <v>4.8594980000000003</v>
      </c>
      <c r="E1658">
        <v>0.45295239999999998</v>
      </c>
      <c r="F1658" t="s">
        <v>39</v>
      </c>
      <c r="G1658">
        <v>-419.93830000000003</v>
      </c>
      <c r="H1658" s="1">
        <v>-9.9870070000000007E-7</v>
      </c>
      <c r="I1658">
        <v>101.7208</v>
      </c>
      <c r="J1658">
        <v>-421.59859999999998</v>
      </c>
      <c r="K1658">
        <v>1.119731</v>
      </c>
      <c r="L1658">
        <v>118.2627</v>
      </c>
      <c r="M1658">
        <v>-0.1072405</v>
      </c>
      <c r="N1658">
        <v>0</v>
      </c>
      <c r="O1658">
        <v>-0.99410239999999905</v>
      </c>
      <c r="P1658">
        <v>-1.5156319999999999E-2</v>
      </c>
      <c r="Q1658">
        <v>0.15654789999999999</v>
      </c>
      <c r="R1658">
        <v>-0.9875543</v>
      </c>
      <c r="S1658">
        <v>0.29580689999999998</v>
      </c>
      <c r="T1658">
        <v>-0.20395179999999999</v>
      </c>
      <c r="U1658">
        <v>-3.0794069999999998</v>
      </c>
      <c r="V1658">
        <v>-9.7812590000000005E-2</v>
      </c>
      <c r="W1658">
        <v>0.16853270000000001</v>
      </c>
      <c r="X1658">
        <v>0.98083099999999901</v>
      </c>
      <c r="Y1658">
        <v>-0.20162720000000001</v>
      </c>
      <c r="Z1658">
        <v>6.4686469999999996E-2</v>
      </c>
      <c r="AA1658">
        <v>0.97732389999999902</v>
      </c>
      <c r="AB1658">
        <v>38</v>
      </c>
      <c r="AC1658">
        <v>1.6602999999999399</v>
      </c>
      <c r="AD1658">
        <v>-1.1197319987006999</v>
      </c>
      <c r="AE1658">
        <v>-16.541899999999998</v>
      </c>
      <c r="AF1658">
        <v>-3.4094485590022798</v>
      </c>
      <c r="AG1658">
        <v>-1.1197319987006999</v>
      </c>
      <c r="AH1658">
        <v>16.194939735444201</v>
      </c>
      <c r="AI1658">
        <v>93.870606462843796</v>
      </c>
      <c r="AJ1658">
        <v>101.888615903226</v>
      </c>
      <c r="AK1658">
        <v>16.587772974696399</v>
      </c>
    </row>
    <row r="1659" spans="1:37" x14ac:dyDescent="0.2">
      <c r="A1659" t="str">
        <f>"20200111150622293"</f>
        <v>20200111150622293</v>
      </c>
      <c r="B1659" t="str">
        <f>"1578726382288120"</f>
        <v>1578726382288120</v>
      </c>
      <c r="C1659" t="s">
        <v>37</v>
      </c>
      <c r="D1659">
        <v>4.8679480000000002</v>
      </c>
      <c r="E1659">
        <v>0.46706520000000001</v>
      </c>
      <c r="F1659" t="s">
        <v>39</v>
      </c>
      <c r="G1659">
        <v>-419.79590000000002</v>
      </c>
      <c r="H1659" s="1">
        <v>-8.6817109999999999E-7</v>
      </c>
      <c r="I1659">
        <v>101.3912</v>
      </c>
      <c r="J1659">
        <v>-421.62970000000001</v>
      </c>
      <c r="K1659">
        <v>1.1197139999999901</v>
      </c>
      <c r="L1659">
        <v>117.8856</v>
      </c>
      <c r="M1659">
        <v>-9.0661519999999995E-2</v>
      </c>
      <c r="N1659">
        <v>0</v>
      </c>
      <c r="O1659">
        <v>-0.99575139999999995</v>
      </c>
      <c r="P1659">
        <v>-3.3504579999999902E-3</v>
      </c>
      <c r="Q1659">
        <v>0.15441099999999999</v>
      </c>
      <c r="R1659">
        <v>-0.98800119999999902</v>
      </c>
      <c r="S1659">
        <v>0.32858280000000001</v>
      </c>
      <c r="T1659">
        <v>-0.204097</v>
      </c>
      <c r="U1659">
        <v>-3.0752109999999999</v>
      </c>
      <c r="V1659">
        <v>-9.3117850000000002E-2</v>
      </c>
      <c r="W1659">
        <v>0.1665983</v>
      </c>
      <c r="X1659">
        <v>0.98161810000000005</v>
      </c>
      <c r="Y1659">
        <v>-0.1957391</v>
      </c>
      <c r="Z1659">
        <v>6.4988229999999994E-2</v>
      </c>
      <c r="AA1659">
        <v>0.97850020000000004</v>
      </c>
      <c r="AB1659">
        <v>38</v>
      </c>
      <c r="AC1659">
        <v>1.8337999999999901</v>
      </c>
      <c r="AD1659">
        <v>-1.11971486817109</v>
      </c>
      <c r="AE1659">
        <v>-16.494399999999999</v>
      </c>
      <c r="AF1659">
        <v>-3.3067948750758398</v>
      </c>
      <c r="AG1659">
        <v>-1.11971486817109</v>
      </c>
      <c r="AH1659">
        <v>16.1864961277691</v>
      </c>
      <c r="AI1659">
        <v>93.877347845872407</v>
      </c>
      <c r="AJ1659">
        <v>101.546270263305</v>
      </c>
      <c r="AK1659">
        <v>16.558723097694301</v>
      </c>
    </row>
    <row r="1660" spans="1:37" x14ac:dyDescent="0.2">
      <c r="A1660" t="str">
        <f>"20200111150622315"</f>
        <v>20200111150622315</v>
      </c>
      <c r="B1660" t="str">
        <f>"1578726382307640"</f>
        <v>1578726382307640</v>
      </c>
      <c r="C1660" t="s">
        <v>37</v>
      </c>
      <c r="D1660">
        <v>4.8795459999999897</v>
      </c>
      <c r="E1660">
        <v>0.46742410000000001</v>
      </c>
      <c r="F1660" t="s">
        <v>39</v>
      </c>
      <c r="G1660">
        <v>-420.41930000000002</v>
      </c>
      <c r="H1660" s="1">
        <v>-1.81954199999999E-6</v>
      </c>
      <c r="I1660">
        <v>103.20480000000001</v>
      </c>
      <c r="J1660">
        <v>-421.6533</v>
      </c>
      <c r="K1660">
        <v>1.11968</v>
      </c>
      <c r="L1660">
        <v>117.5197</v>
      </c>
      <c r="M1660">
        <v>-7.4566770000000004E-2</v>
      </c>
      <c r="N1660">
        <v>0</v>
      </c>
      <c r="O1660">
        <v>-0.99708580000000002</v>
      </c>
      <c r="P1660">
        <v>8.03975E-3</v>
      </c>
      <c r="Q1660">
        <v>0.15340129999999999</v>
      </c>
      <c r="R1660">
        <v>-0.98813130000000005</v>
      </c>
      <c r="S1660">
        <v>0.25344850000000002</v>
      </c>
      <c r="T1660">
        <v>-0.23445250000000001</v>
      </c>
      <c r="U1660">
        <v>-3.073944</v>
      </c>
      <c r="V1660">
        <v>-8.8528979999999993E-2</v>
      </c>
      <c r="W1660">
        <v>0.1657825</v>
      </c>
      <c r="X1660">
        <v>0.98218069999999902</v>
      </c>
      <c r="Y1660">
        <v>-0.1560329</v>
      </c>
      <c r="Z1660">
        <v>7.5139529999999996E-2</v>
      </c>
      <c r="AA1660">
        <v>0.98488969999999898</v>
      </c>
      <c r="AB1660">
        <v>38</v>
      </c>
      <c r="AC1660">
        <v>1.23399999999998</v>
      </c>
      <c r="AD1660">
        <v>-1.119681819542</v>
      </c>
      <c r="AE1660">
        <v>-14.3148999999999</v>
      </c>
      <c r="AF1660">
        <v>-2.2842461335920801</v>
      </c>
      <c r="AG1660">
        <v>-1.119681819542</v>
      </c>
      <c r="AH1660">
        <v>14.0973976293142</v>
      </c>
      <c r="AI1660">
        <v>94.482943089123097</v>
      </c>
      <c r="AJ1660">
        <v>99.203825481618495</v>
      </c>
      <c r="AK1660">
        <v>14.325085957677</v>
      </c>
    </row>
    <row r="1661" spans="1:37" x14ac:dyDescent="0.2">
      <c r="A1661" t="str">
        <f>"20200111150622338"</f>
        <v>20200111150622338</v>
      </c>
      <c r="B1661" t="str">
        <f>"1578726382328137"</f>
        <v>1578726382328137</v>
      </c>
      <c r="C1661" t="s">
        <v>37</v>
      </c>
      <c r="D1661">
        <v>5.345129</v>
      </c>
      <c r="E1661">
        <v>0.46803829999999902</v>
      </c>
      <c r="F1661" t="s">
        <v>39</v>
      </c>
      <c r="G1661">
        <v>-420.26170000000002</v>
      </c>
      <c r="H1661" s="1">
        <v>-1.4920489999999999E-6</v>
      </c>
      <c r="I1661">
        <v>102.6007</v>
      </c>
      <c r="J1661">
        <v>-421.671999999999</v>
      </c>
      <c r="K1661">
        <v>1.119653</v>
      </c>
      <c r="L1661">
        <v>117.1276</v>
      </c>
      <c r="M1661">
        <v>-5.7311380000000002E-2</v>
      </c>
      <c r="N1661">
        <v>0</v>
      </c>
      <c r="O1661">
        <v>-0.99822649999999902</v>
      </c>
      <c r="P1661">
        <v>2.1676359999999999E-2</v>
      </c>
      <c r="Q1661">
        <v>0.1549181</v>
      </c>
      <c r="R1661">
        <v>-0.98768989999999901</v>
      </c>
      <c r="S1661">
        <v>0.28631590000000001</v>
      </c>
      <c r="T1661">
        <v>-0.23036489999999901</v>
      </c>
      <c r="U1661">
        <v>-3.069458</v>
      </c>
      <c r="V1661">
        <v>-8.5124749999999999E-2</v>
      </c>
      <c r="W1661">
        <v>0.1674379</v>
      </c>
      <c r="X1661">
        <v>0.98220069999999904</v>
      </c>
      <c r="Y1661">
        <v>-0.1495377</v>
      </c>
      <c r="Z1661">
        <v>7.4074730000000005E-2</v>
      </c>
      <c r="AA1661">
        <v>0.985977399999999</v>
      </c>
      <c r="AB1661">
        <v>38</v>
      </c>
      <c r="AC1661">
        <v>1.4102999999999399</v>
      </c>
      <c r="AD1661">
        <v>-1.1196544920489999</v>
      </c>
      <c r="AE1661">
        <v>-14.5268999999999</v>
      </c>
      <c r="AF1661">
        <v>-2.2275368881454498</v>
      </c>
      <c r="AG1661">
        <v>-1.1196544920489999</v>
      </c>
      <c r="AH1661">
        <v>14.3378016865642</v>
      </c>
      <c r="AI1661">
        <v>94.412505507002905</v>
      </c>
      <c r="AJ1661">
        <v>98.83093694531</v>
      </c>
      <c r="AK1661">
        <v>14.5529414199624</v>
      </c>
    </row>
    <row r="1662" spans="1:37" x14ac:dyDescent="0.2">
      <c r="A1662" t="str">
        <f>"20200111150622362"</f>
        <v>20200111150622362</v>
      </c>
      <c r="B1662" t="str">
        <f>"1578726382358392"</f>
        <v>1578726382358392</v>
      </c>
      <c r="C1662" t="s">
        <v>37</v>
      </c>
      <c r="D1662">
        <v>5.4050449999999897</v>
      </c>
      <c r="E1662">
        <v>0.46765479999999998</v>
      </c>
      <c r="F1662" t="s">
        <v>39</v>
      </c>
      <c r="G1662">
        <v>-420.05149999999998</v>
      </c>
      <c r="H1662" s="1">
        <v>-1.0495460000000001E-6</v>
      </c>
      <c r="I1662">
        <v>101.7829</v>
      </c>
      <c r="J1662">
        <v>-421.68369999999999</v>
      </c>
      <c r="K1662">
        <v>1.1196250000000001</v>
      </c>
      <c r="L1662">
        <v>116.7499</v>
      </c>
      <c r="M1662">
        <v>-4.069855E-2</v>
      </c>
      <c r="N1662">
        <v>0</v>
      </c>
      <c r="O1662">
        <v>-0.99904199999999999</v>
      </c>
      <c r="P1662">
        <v>3.5060809999999998E-2</v>
      </c>
      <c r="Q1662">
        <v>0.15781989999999901</v>
      </c>
      <c r="R1662">
        <v>-0.98684559999999999</v>
      </c>
      <c r="S1662">
        <v>0.32373049999999998</v>
      </c>
      <c r="T1662">
        <v>-0.22367119999999999</v>
      </c>
      <c r="U1662">
        <v>-3.0653839999999999</v>
      </c>
      <c r="V1662">
        <v>-8.2173759999999998E-2</v>
      </c>
      <c r="W1662">
        <v>0.17045479999999999</v>
      </c>
      <c r="X1662">
        <v>0.9819331</v>
      </c>
      <c r="Y1662">
        <v>-0.14514199999999999</v>
      </c>
      <c r="Z1662">
        <v>7.2097930000000005E-2</v>
      </c>
      <c r="AA1662">
        <v>0.98678049999999995</v>
      </c>
      <c r="AB1662">
        <v>38</v>
      </c>
      <c r="AC1662">
        <v>1.6322000000000101</v>
      </c>
      <c r="AD1662">
        <v>-1.119626049546</v>
      </c>
      <c r="AE1662">
        <v>-14.967000000000001</v>
      </c>
      <c r="AF1662">
        <v>-2.2277414424114901</v>
      </c>
      <c r="AG1662">
        <v>-1.119626049546</v>
      </c>
      <c r="AH1662">
        <v>14.8062775212655</v>
      </c>
      <c r="AI1662">
        <v>94.276429095711293</v>
      </c>
      <c r="AJ1662">
        <v>98.556498063077797</v>
      </c>
      <c r="AK1662">
        <v>15.014734378662601</v>
      </c>
    </row>
    <row r="1663" spans="1:37" x14ac:dyDescent="0.2">
      <c r="A1663" t="str">
        <f>"20200111150622382"</f>
        <v>20200111150622382</v>
      </c>
      <c r="B1663" t="str">
        <f>"1578726382377912"</f>
        <v>1578726382377912</v>
      </c>
      <c r="C1663" t="s">
        <v>37</v>
      </c>
      <c r="D1663">
        <v>5.760154</v>
      </c>
      <c r="E1663">
        <v>0.467263599999999</v>
      </c>
      <c r="F1663" t="s">
        <v>39</v>
      </c>
      <c r="G1663">
        <v>-420.03800000000001</v>
      </c>
      <c r="H1663" s="1">
        <v>-1.594509E-6</v>
      </c>
      <c r="I1663">
        <v>102.9434</v>
      </c>
      <c r="J1663">
        <v>-421.68900000000002</v>
      </c>
      <c r="K1663">
        <v>1.119577</v>
      </c>
      <c r="L1663">
        <v>116.40049999999999</v>
      </c>
      <c r="M1663">
        <v>-2.5361870000000002E-2</v>
      </c>
      <c r="N1663">
        <v>0</v>
      </c>
      <c r="O1663">
        <v>-0.99954920000000003</v>
      </c>
      <c r="P1663">
        <v>4.5720599999999903E-2</v>
      </c>
      <c r="Q1663">
        <v>0.15725910000000001</v>
      </c>
      <c r="R1663">
        <v>-0.986498599999999</v>
      </c>
      <c r="S1663">
        <v>0.36557009999999901</v>
      </c>
      <c r="T1663">
        <v>-0.24869810000000001</v>
      </c>
      <c r="U1663">
        <v>-3.0667879999999998</v>
      </c>
      <c r="V1663">
        <v>-7.766294E-2</v>
      </c>
      <c r="W1663">
        <v>0.170079799999999</v>
      </c>
      <c r="X1663">
        <v>0.98236520000000005</v>
      </c>
      <c r="Y1663">
        <v>-0.14313290000000001</v>
      </c>
      <c r="Z1663">
        <v>8.0091679999999998E-2</v>
      </c>
      <c r="AA1663">
        <v>0.98645749999999999</v>
      </c>
      <c r="AB1663">
        <v>38</v>
      </c>
      <c r="AC1663">
        <v>1.65100000000001</v>
      </c>
      <c r="AD1663">
        <v>-1.119578594509</v>
      </c>
      <c r="AE1663">
        <v>-13.457099999999899</v>
      </c>
      <c r="AF1663">
        <v>-1.9783200021930001</v>
      </c>
      <c r="AG1663">
        <v>-1.119578594509</v>
      </c>
      <c r="AH1663">
        <v>13.320063421431501</v>
      </c>
      <c r="AI1663">
        <v>94.752644512255102</v>
      </c>
      <c r="AJ1663">
        <v>98.447917646424202</v>
      </c>
      <c r="AK1663">
        <v>13.5126346731982</v>
      </c>
    </row>
    <row r="1664" spans="1:37" x14ac:dyDescent="0.2">
      <c r="A1664" t="str">
        <f>"20200111150622428"</f>
        <v>20200111150622428</v>
      </c>
      <c r="B1664" t="str">
        <f>"1578726382417928"</f>
        <v>1578726382417928</v>
      </c>
      <c r="C1664" t="s">
        <v>37</v>
      </c>
      <c r="D1664">
        <v>4.8379490000000001</v>
      </c>
      <c r="E1664">
        <v>0.47084969999999998</v>
      </c>
      <c r="F1664" t="s">
        <v>39</v>
      </c>
      <c r="G1664">
        <v>-420.00400000000002</v>
      </c>
      <c r="H1664" s="1">
        <v>-1.8599789999999901E-6</v>
      </c>
      <c r="I1664">
        <v>103.5241</v>
      </c>
      <c r="J1664">
        <v>-421.68259999999998</v>
      </c>
      <c r="K1664">
        <v>1.1193869999999999</v>
      </c>
      <c r="L1664">
        <v>115.6564</v>
      </c>
      <c r="M1664">
        <v>7.0446190000000002E-3</v>
      </c>
      <c r="N1664">
        <v>0</v>
      </c>
      <c r="O1664">
        <v>-0.99984660000000003</v>
      </c>
      <c r="P1664">
        <v>6.3100379999999998E-2</v>
      </c>
      <c r="Q1664">
        <v>0.15155179999999999</v>
      </c>
      <c r="R1664">
        <v>-0.98643320000000001</v>
      </c>
      <c r="S1664">
        <v>0.40109250000000002</v>
      </c>
      <c r="T1664">
        <v>-0.266491799999999</v>
      </c>
      <c r="U1664">
        <v>-3.0649410000000001</v>
      </c>
      <c r="V1664">
        <v>-6.2796400000000002E-2</v>
      </c>
      <c r="W1664">
        <v>0.16498019999999999</v>
      </c>
      <c r="X1664">
        <v>0.98429580000000005</v>
      </c>
      <c r="Y1664">
        <v>-0.1222893</v>
      </c>
      <c r="Z1664">
        <v>8.5929779999999997E-2</v>
      </c>
      <c r="AA1664">
        <v>0.98876759999999997</v>
      </c>
      <c r="AB1664">
        <v>38</v>
      </c>
      <c r="AC1664">
        <v>1.6785999999999599</v>
      </c>
      <c r="AD1664">
        <v>-1.1193888599789901</v>
      </c>
      <c r="AE1664">
        <v>-12.132300000000001</v>
      </c>
      <c r="AF1664">
        <v>-1.57988320802201</v>
      </c>
      <c r="AG1664">
        <v>-1.1193888599789901</v>
      </c>
      <c r="AH1664">
        <v>12.0432288422114</v>
      </c>
      <c r="AI1664">
        <v>95.265389541089306</v>
      </c>
      <c r="AJ1664">
        <v>97.473632790001801</v>
      </c>
      <c r="AK1664">
        <v>12.197886018351999</v>
      </c>
    </row>
    <row r="1665" spans="1:37" x14ac:dyDescent="0.2">
      <c r="A1665" t="str">
        <f>"20200111150622450"</f>
        <v>20200111150622450</v>
      </c>
      <c r="B1665" t="str">
        <f>"1578726382438424"</f>
        <v>1578726382438424</v>
      </c>
      <c r="C1665" t="s">
        <v>37</v>
      </c>
      <c r="D1665">
        <v>5.002084</v>
      </c>
      <c r="E1665">
        <v>0.47240280000000001</v>
      </c>
      <c r="F1665" t="s">
        <v>39</v>
      </c>
      <c r="G1665">
        <v>-419.92009999999999</v>
      </c>
      <c r="H1665" s="1">
        <v>-1.642663E-6</v>
      </c>
      <c r="I1665">
        <v>103.0763</v>
      </c>
      <c r="J1665">
        <v>-421.67099999999999</v>
      </c>
      <c r="K1665">
        <v>1.1192739999999901</v>
      </c>
      <c r="L1665">
        <v>115.2998</v>
      </c>
      <c r="M1665">
        <v>2.2393320000000001E-2</v>
      </c>
      <c r="N1665">
        <v>0</v>
      </c>
      <c r="O1665">
        <v>-0.99962119999999999</v>
      </c>
      <c r="P1665">
        <v>7.248272E-2</v>
      </c>
      <c r="Q1665">
        <v>0.15231239999999999</v>
      </c>
      <c r="R1665">
        <v>-0.98567119999999997</v>
      </c>
      <c r="S1665">
        <v>0.428100599999999</v>
      </c>
      <c r="T1665">
        <v>-0.271895099999999</v>
      </c>
      <c r="U1665">
        <v>-3.0556489999999998</v>
      </c>
      <c r="V1665">
        <v>-5.7025079999999999E-2</v>
      </c>
      <c r="W1665">
        <v>0.16595789999999999</v>
      </c>
      <c r="X1665">
        <v>0.98448259999999899</v>
      </c>
      <c r="Y1665">
        <v>-0.1159954</v>
      </c>
      <c r="Z1665">
        <v>8.7873069999999998E-2</v>
      </c>
      <c r="AA1665">
        <v>0.98935499999999899</v>
      </c>
      <c r="AB1665">
        <v>37</v>
      </c>
      <c r="AC1665">
        <v>1.7508999999999999</v>
      </c>
      <c r="AD1665">
        <v>-1.1192756426629999</v>
      </c>
      <c r="AE1665">
        <v>-12.2235</v>
      </c>
      <c r="AF1665">
        <v>-1.46466727910495</v>
      </c>
      <c r="AG1665">
        <v>-1.1192756426629999</v>
      </c>
      <c r="AH1665">
        <v>12.159742623702201</v>
      </c>
      <c r="AI1665">
        <v>95.221589729537698</v>
      </c>
      <c r="AJ1665">
        <v>96.868311211460707</v>
      </c>
      <c r="AK1665">
        <v>12.298673460069599</v>
      </c>
    </row>
    <row r="1666" spans="1:37" x14ac:dyDescent="0.2">
      <c r="A1666" t="str">
        <f>"20200111150622472"</f>
        <v>20200111150622472</v>
      </c>
      <c r="B1666" t="str">
        <f>"1578726382467704"</f>
        <v>1578726382467704</v>
      </c>
      <c r="C1666" t="s">
        <v>37</v>
      </c>
      <c r="D1666">
        <v>4.9111289999999999</v>
      </c>
      <c r="E1666">
        <v>0.47457549999999998</v>
      </c>
      <c r="F1666" t="s">
        <v>39</v>
      </c>
      <c r="G1666">
        <v>-419.83069999999998</v>
      </c>
      <c r="H1666" s="1">
        <v>-1.4873229999999999E-6</v>
      </c>
      <c r="I1666">
        <v>102.7141</v>
      </c>
      <c r="J1666">
        <v>-421.65379999999999</v>
      </c>
      <c r="K1666">
        <v>1.1191249999999999</v>
      </c>
      <c r="L1666">
        <v>114.9387</v>
      </c>
      <c r="M1666">
        <v>3.7722350000000002E-2</v>
      </c>
      <c r="N1666">
        <v>0</v>
      </c>
      <c r="O1666">
        <v>-0.99916079999999996</v>
      </c>
      <c r="P1666">
        <v>8.3641359999999998E-2</v>
      </c>
      <c r="Q1666">
        <v>0.15489040000000001</v>
      </c>
      <c r="R1666">
        <v>-0.984384499999999</v>
      </c>
      <c r="S1666">
        <v>0.44638059999999902</v>
      </c>
      <c r="T1666">
        <v>-0.27148709999999998</v>
      </c>
      <c r="U1666">
        <v>-3.0527340000000001</v>
      </c>
      <c r="V1666">
        <v>-5.3119479999999997E-2</v>
      </c>
      <c r="W1666">
        <v>0.1686676</v>
      </c>
      <c r="X1666">
        <v>0.98424059999999902</v>
      </c>
      <c r="Y1666">
        <v>-0.106693</v>
      </c>
      <c r="Z1666">
        <v>8.7773039999999997E-2</v>
      </c>
      <c r="AA1666">
        <v>0.99041029999999997</v>
      </c>
      <c r="AB1666">
        <v>37</v>
      </c>
      <c r="AC1666">
        <v>1.8231000000000099</v>
      </c>
      <c r="AD1666">
        <v>-1.119126487323</v>
      </c>
      <c r="AE1666">
        <v>-12.224599999999899</v>
      </c>
      <c r="AF1666">
        <v>-1.34953848528846</v>
      </c>
      <c r="AG1666">
        <v>-1.119126487323</v>
      </c>
      <c r="AH1666">
        <v>12.18478016733</v>
      </c>
      <c r="AI1666">
        <v>95.215963266595793</v>
      </c>
      <c r="AJ1666">
        <v>96.320097242063895</v>
      </c>
      <c r="AK1666">
        <v>12.3102626269329</v>
      </c>
    </row>
    <row r="1667" spans="1:37" x14ac:dyDescent="0.2">
      <c r="A1667" t="str">
        <f>"20200111150622496"</f>
        <v>20200111150622496</v>
      </c>
      <c r="B1667" t="str">
        <f>"1578726382488201"</f>
        <v>1578726382488201</v>
      </c>
      <c r="C1667" t="s">
        <v>37</v>
      </c>
      <c r="D1667">
        <v>5.0173329999999998</v>
      </c>
      <c r="E1667">
        <v>0.47144979999999997</v>
      </c>
      <c r="F1667" t="s">
        <v>39</v>
      </c>
      <c r="G1667">
        <v>-419.54950000000002</v>
      </c>
      <c r="H1667" s="1">
        <v>-7.8256919999999895E-7</v>
      </c>
      <c r="I1667">
        <v>101.1177</v>
      </c>
      <c r="J1667">
        <v>-421.63010000000003</v>
      </c>
      <c r="K1667">
        <v>1.1188979999999999</v>
      </c>
      <c r="L1667">
        <v>114.5672</v>
      </c>
      <c r="M1667">
        <v>5.313673E-2</v>
      </c>
      <c r="N1667">
        <v>0</v>
      </c>
      <c r="O1667">
        <v>-0.99846049999999997</v>
      </c>
      <c r="P1667">
        <v>9.6107650000000003E-2</v>
      </c>
      <c r="Q1667">
        <v>0.15595819999999999</v>
      </c>
      <c r="R1667">
        <v>-0.98307719999999899</v>
      </c>
      <c r="S1667">
        <v>0.46392820000000001</v>
      </c>
      <c r="T1667">
        <v>-0.24672449999999899</v>
      </c>
      <c r="U1667">
        <v>-3.0470120000000001</v>
      </c>
      <c r="V1667">
        <v>-5.0350550000000001E-2</v>
      </c>
      <c r="W1667">
        <v>0.1698134</v>
      </c>
      <c r="X1667">
        <v>0.98418919999999999</v>
      </c>
      <c r="Y1667">
        <v>-9.7289970000000003E-2</v>
      </c>
      <c r="Z1667">
        <v>7.9889509999999997E-2</v>
      </c>
      <c r="AA1667">
        <v>0.9920445</v>
      </c>
      <c r="AB1667">
        <v>37</v>
      </c>
      <c r="AC1667">
        <v>2.0806</v>
      </c>
      <c r="AD1667">
        <v>-1.1188987825692001</v>
      </c>
      <c r="AE1667">
        <v>-13.4495</v>
      </c>
      <c r="AF1667">
        <v>-1.3537565853473901</v>
      </c>
      <c r="AG1667">
        <v>-1.1188987825692001</v>
      </c>
      <c r="AH1667">
        <v>13.4501516827562</v>
      </c>
      <c r="AI1667">
        <v>94.731607239332405</v>
      </c>
      <c r="AJ1667">
        <v>95.747459298339393</v>
      </c>
      <c r="AK1667">
        <v>13.564334545681</v>
      </c>
    </row>
    <row r="1668" spans="1:37" x14ac:dyDescent="0.2">
      <c r="A1668" t="str">
        <f>"20200111150622517"</f>
        <v>20200111150622517</v>
      </c>
      <c r="B1668" t="str">
        <f>"1578726382507720"</f>
        <v>1578726382507720</v>
      </c>
      <c r="C1668" t="s">
        <v>37</v>
      </c>
      <c r="D1668">
        <v>4.9834019999999999</v>
      </c>
      <c r="E1668">
        <v>0.49051899999999998</v>
      </c>
      <c r="F1668" t="s">
        <v>84</v>
      </c>
      <c r="G1668">
        <v>-401.55509999999998</v>
      </c>
      <c r="H1668">
        <v>23.33792</v>
      </c>
      <c r="I1668">
        <v>0.66504859999999999</v>
      </c>
      <c r="J1668">
        <v>-421.60090000000002</v>
      </c>
      <c r="K1668">
        <v>1.118587</v>
      </c>
      <c r="L1668">
        <v>114.1972</v>
      </c>
      <c r="M1668">
        <v>6.8036860000000005E-2</v>
      </c>
      <c r="N1668">
        <v>0</v>
      </c>
      <c r="O1668">
        <v>-0.99755720000000003</v>
      </c>
      <c r="P1668">
        <v>0.11012280000000001</v>
      </c>
      <c r="Q1668">
        <v>0.155754</v>
      </c>
      <c r="R1668">
        <v>-0.98163869999999898</v>
      </c>
      <c r="S1668">
        <v>0.51312259999999998</v>
      </c>
      <c r="T1668">
        <v>0.56792509999999996</v>
      </c>
      <c r="U1668">
        <v>-2.9113769999999999</v>
      </c>
      <c r="V1668">
        <v>-4.9557410000000003E-2</v>
      </c>
      <c r="W1668">
        <v>0.1695982</v>
      </c>
      <c r="X1668">
        <v>0.98426650000000004</v>
      </c>
      <c r="Y1668">
        <v>-0.1030285</v>
      </c>
      <c r="Z1668">
        <v>-0.18890009999999999</v>
      </c>
      <c r="AA1668">
        <v>0.97657660000000002</v>
      </c>
      <c r="AB1668">
        <v>37</v>
      </c>
      <c r="AC1668">
        <v>20.0458</v>
      </c>
      <c r="AD1668">
        <v>22.219332999999999</v>
      </c>
      <c r="AE1668">
        <v>-113.5321514</v>
      </c>
      <c r="AF1668">
        <v>-11.8344183222273</v>
      </c>
      <c r="AG1668">
        <v>22.219332999999999</v>
      </c>
      <c r="AH1668">
        <v>110.527567821942</v>
      </c>
      <c r="AI1668">
        <v>78.696279214703196</v>
      </c>
      <c r="AJ1668">
        <v>96.111495219566194</v>
      </c>
      <c r="AK1668">
        <v>113.358261563171</v>
      </c>
    </row>
    <row r="1669" spans="1:37" x14ac:dyDescent="0.2">
      <c r="A1669" t="str">
        <f>"20200111150622539"</f>
        <v>20200111150622539</v>
      </c>
      <c r="B1669" t="str">
        <f>"1578726382528217"</f>
        <v>1578726382528217</v>
      </c>
      <c r="C1669" t="s">
        <v>37</v>
      </c>
      <c r="D1669">
        <v>4.9991459999999996</v>
      </c>
      <c r="E1669">
        <v>0.49226750000000002</v>
      </c>
      <c r="F1669" t="s">
        <v>39</v>
      </c>
      <c r="G1669">
        <v>-419.71460000000002</v>
      </c>
      <c r="H1669" s="1">
        <v>-4.7128009999999901E-7</v>
      </c>
      <c r="I1669">
        <v>100.5211</v>
      </c>
      <c r="J1669">
        <v>-421.56729999999999</v>
      </c>
      <c r="K1669">
        <v>1.1182299999999901</v>
      </c>
      <c r="L1669">
        <v>113.83620000000001</v>
      </c>
      <c r="M1669">
        <v>8.2135470000000002E-2</v>
      </c>
      <c r="N1669">
        <v>0</v>
      </c>
      <c r="O1669">
        <v>-0.99649709999999903</v>
      </c>
      <c r="P1669">
        <v>0.1248398</v>
      </c>
      <c r="Q1669">
        <v>0.1556111</v>
      </c>
      <c r="R1669">
        <v>-0.9798983</v>
      </c>
      <c r="S1669">
        <v>0.42047119999999999</v>
      </c>
      <c r="T1669">
        <v>-0.24934049999999999</v>
      </c>
      <c r="U1669">
        <v>-3.048492</v>
      </c>
      <c r="V1669">
        <v>-5.0257700000000002E-2</v>
      </c>
      <c r="W1669">
        <v>0.169377799999999</v>
      </c>
      <c r="X1669">
        <v>0.98426899999999995</v>
      </c>
      <c r="Y1669">
        <v>-5.4350429999999998E-2</v>
      </c>
      <c r="Z1669">
        <v>8.066835E-2</v>
      </c>
      <c r="AA1669">
        <v>0.99525810000000003</v>
      </c>
      <c r="AB1669">
        <v>37</v>
      </c>
      <c r="AC1669">
        <v>1.85269999999997</v>
      </c>
      <c r="AD1669">
        <v>-1.1182304712800999</v>
      </c>
      <c r="AE1669">
        <v>-13.315099999999999</v>
      </c>
      <c r="AF1669">
        <v>-0.74748934151441504</v>
      </c>
      <c r="AG1669">
        <v>-1.1182304712800999</v>
      </c>
      <c r="AH1669">
        <v>13.330059427395099</v>
      </c>
      <c r="AI1669">
        <v>94.787708071825506</v>
      </c>
      <c r="AJ1669">
        <v>93.209526481571302</v>
      </c>
      <c r="AK1669">
        <v>13.3977484690698</v>
      </c>
    </row>
    <row r="1670" spans="1:37" x14ac:dyDescent="0.2">
      <c r="A1670" t="str">
        <f>"20200111150622561"</f>
        <v>20200111150622561</v>
      </c>
      <c r="B1670" t="str">
        <f>"1578726382558473"</f>
        <v>1578726382558473</v>
      </c>
      <c r="C1670" t="s">
        <v>37</v>
      </c>
      <c r="D1670">
        <v>4.8742650000000003</v>
      </c>
      <c r="E1670">
        <v>0.49996089999999999</v>
      </c>
      <c r="F1670" t="s">
        <v>39</v>
      </c>
      <c r="G1670">
        <v>-419.36619999999999</v>
      </c>
      <c r="H1670" s="1">
        <v>-4.1262579999999999E-6</v>
      </c>
      <c r="I1670">
        <v>98.98912</v>
      </c>
      <c r="J1670">
        <v>-421.52949999999998</v>
      </c>
      <c r="K1670">
        <v>1.1178319999999999</v>
      </c>
      <c r="L1670">
        <v>113.4808</v>
      </c>
      <c r="M1670">
        <v>9.5477670000000001E-2</v>
      </c>
      <c r="N1670">
        <v>0</v>
      </c>
      <c r="O1670">
        <v>-0.99530859999999999</v>
      </c>
      <c r="P1670">
        <v>0.139800799999999</v>
      </c>
      <c r="Q1670">
        <v>0.15453139999999899</v>
      </c>
      <c r="R1670">
        <v>-0.97804679999999999</v>
      </c>
      <c r="S1670">
        <v>0.4507446</v>
      </c>
      <c r="T1670">
        <v>-0.22899989999999901</v>
      </c>
      <c r="U1670">
        <v>-3.0404819999999999</v>
      </c>
      <c r="V1670">
        <v>-5.1893189999999999E-2</v>
      </c>
      <c r="W1670">
        <v>0.1681887</v>
      </c>
      <c r="X1670">
        <v>0.98438799999999904</v>
      </c>
      <c r="Y1670">
        <v>-5.1112690000000002E-2</v>
      </c>
      <c r="Z1670">
        <v>7.4139930000000007E-2</v>
      </c>
      <c r="AA1670">
        <v>0.99593709999999902</v>
      </c>
      <c r="AB1670">
        <v>37</v>
      </c>
      <c r="AC1670">
        <v>2.1632999999999898</v>
      </c>
      <c r="AD1670">
        <v>-1.1178361262579899</v>
      </c>
      <c r="AE1670">
        <v>-14.491680000000001</v>
      </c>
      <c r="AF1670">
        <v>-0.765159982834276</v>
      </c>
      <c r="AG1670">
        <v>-1.1178361262579899</v>
      </c>
      <c r="AH1670">
        <v>14.547361324194499</v>
      </c>
      <c r="AI1670">
        <v>94.387997626733096</v>
      </c>
      <c r="AJ1670">
        <v>93.010860525040499</v>
      </c>
      <c r="AK1670">
        <v>14.610295989512601</v>
      </c>
    </row>
    <row r="1671" spans="1:37" x14ac:dyDescent="0.2">
      <c r="A1671" t="str">
        <f>"20200111150622585"</f>
        <v>20200111150622585</v>
      </c>
      <c r="B1671" t="str">
        <f>"1578726382577992"</f>
        <v>1578726382577992</v>
      </c>
      <c r="C1671" t="s">
        <v>37</v>
      </c>
      <c r="D1671">
        <v>4.8863159999999999</v>
      </c>
      <c r="E1671">
        <v>0.50312840000000003</v>
      </c>
      <c r="F1671" t="s">
        <v>39</v>
      </c>
      <c r="G1671">
        <v>-419.08370000000002</v>
      </c>
      <c r="H1671" s="1">
        <v>-3.0442980000000002E-6</v>
      </c>
      <c r="I1671">
        <v>96.350219999999993</v>
      </c>
      <c r="J1671">
        <v>-421.48329999999999</v>
      </c>
      <c r="K1671">
        <v>1.1172899999999999</v>
      </c>
      <c r="L1671">
        <v>113.0934</v>
      </c>
      <c r="M1671">
        <v>0.109241899999999</v>
      </c>
      <c r="N1671">
        <v>0</v>
      </c>
      <c r="O1671">
        <v>-0.9938939</v>
      </c>
      <c r="P1671">
        <v>0.15470780000000001</v>
      </c>
      <c r="Q1671">
        <v>0.15171199999999899</v>
      </c>
      <c r="R1671">
        <v>-0.97624259999999996</v>
      </c>
      <c r="S1671">
        <v>0.43356319999999998</v>
      </c>
      <c r="T1671">
        <v>-0.19815439999999901</v>
      </c>
      <c r="U1671">
        <v>-3.036667</v>
      </c>
      <c r="V1671">
        <v>-5.2920269999999998E-2</v>
      </c>
      <c r="W1671">
        <v>0.16528309999999999</v>
      </c>
      <c r="X1671">
        <v>0.98482530000000001</v>
      </c>
      <c r="Y1671">
        <v>-3.2045049999999999E-2</v>
      </c>
      <c r="Z1671">
        <v>6.4192360000000004E-2</v>
      </c>
      <c r="AA1671">
        <v>0.997422899999999</v>
      </c>
      <c r="AB1671">
        <v>37</v>
      </c>
      <c r="AC1671">
        <v>2.39959999999996</v>
      </c>
      <c r="AD1671">
        <v>-1.11729304429799</v>
      </c>
      <c r="AE1671">
        <v>-16.743179999999999</v>
      </c>
      <c r="AF1671">
        <v>-0.55354269228300401</v>
      </c>
      <c r="AG1671">
        <v>-1.11729304429799</v>
      </c>
      <c r="AH1671">
        <v>16.831675683097199</v>
      </c>
      <c r="AI1671">
        <v>93.795698077280406</v>
      </c>
      <c r="AJ1671">
        <v>91.883605293413893</v>
      </c>
      <c r="AK1671">
        <v>16.877797829100299</v>
      </c>
    </row>
    <row r="1672" spans="1:37" x14ac:dyDescent="0.2">
      <c r="A1672" t="str">
        <f>"20200111150622607"</f>
        <v>20200111150622607</v>
      </c>
      <c r="B1672" t="str">
        <f>"1578726382598488"</f>
        <v>1578726382598488</v>
      </c>
      <c r="C1672" t="s">
        <v>37</v>
      </c>
      <c r="D1672">
        <v>4.9693870000000002</v>
      </c>
      <c r="E1672">
        <v>0.52661420000000003</v>
      </c>
      <c r="F1672" t="s">
        <v>39</v>
      </c>
      <c r="G1672">
        <v>-419.04430000000002</v>
      </c>
      <c r="H1672" s="1">
        <v>-3.2275699999999998E-6</v>
      </c>
      <c r="I1672">
        <v>96.761150000000001</v>
      </c>
      <c r="J1672">
        <v>-421.43680000000001</v>
      </c>
      <c r="K1672">
        <v>1.116673</v>
      </c>
      <c r="L1672">
        <v>112.73909999999999</v>
      </c>
      <c r="M1672">
        <v>0.12095309999999999</v>
      </c>
      <c r="N1672">
        <v>0</v>
      </c>
      <c r="O1672">
        <v>-0.9925389</v>
      </c>
      <c r="P1672">
        <v>0.16872670000000001</v>
      </c>
      <c r="Q1672">
        <v>0.14902899999999999</v>
      </c>
      <c r="R1672">
        <v>-0.97433169999999902</v>
      </c>
      <c r="S1672">
        <v>0.45300289999999999</v>
      </c>
      <c r="T1672">
        <v>-0.2075196</v>
      </c>
      <c r="U1672">
        <v>-3.0334629999999998</v>
      </c>
      <c r="V1672">
        <v>-5.5077210000000001E-2</v>
      </c>
      <c r="W1672">
        <v>0.1624777</v>
      </c>
      <c r="X1672">
        <v>0.98517379999999999</v>
      </c>
      <c r="Y1672">
        <v>-2.663662E-2</v>
      </c>
      <c r="Z1672">
        <v>6.7119830000000005E-2</v>
      </c>
      <c r="AA1672">
        <v>0.99738930000000003</v>
      </c>
      <c r="AB1672">
        <v>37</v>
      </c>
      <c r="AC1672">
        <v>2.3924999999999801</v>
      </c>
      <c r="AD1672">
        <v>-1.11667622757</v>
      </c>
      <c r="AE1672">
        <v>-15.9779499999999</v>
      </c>
      <c r="AF1672">
        <v>-0.44001700844129199</v>
      </c>
      <c r="AG1672">
        <v>-1.11667622757</v>
      </c>
      <c r="AH1672">
        <v>16.073243422515102</v>
      </c>
      <c r="AI1672">
        <v>93.9727108043584</v>
      </c>
      <c r="AJ1672">
        <v>91.568122977082396</v>
      </c>
      <c r="AK1672">
        <v>16.1179941334014</v>
      </c>
    </row>
    <row r="1673" spans="1:37" x14ac:dyDescent="0.2">
      <c r="A1673" t="str">
        <f>"20200111150622629"</f>
        <v>20200111150622629</v>
      </c>
      <c r="B1673" t="str">
        <f>"1578726382618009"</f>
        <v>1578726382618009</v>
      </c>
      <c r="C1673" t="s">
        <v>37</v>
      </c>
      <c r="D1673">
        <v>5.159904</v>
      </c>
      <c r="E1673">
        <v>0.52257589999999998</v>
      </c>
      <c r="F1673" t="s">
        <v>84</v>
      </c>
      <c r="G1673">
        <v>-410.19240000000002</v>
      </c>
      <c r="H1673">
        <v>25.697759999999999</v>
      </c>
      <c r="I1673">
        <v>0.57721330000000004</v>
      </c>
      <c r="J1673">
        <v>-421.38420000000002</v>
      </c>
      <c r="K1673">
        <v>1.115888</v>
      </c>
      <c r="L1673">
        <v>112.3674</v>
      </c>
      <c r="M1673">
        <v>0.1321707</v>
      </c>
      <c r="N1673">
        <v>0</v>
      </c>
      <c r="O1673">
        <v>-0.99110969999999998</v>
      </c>
      <c r="P1673">
        <v>0.18313499999999999</v>
      </c>
      <c r="Q1673">
        <v>0.1494742</v>
      </c>
      <c r="R1673">
        <v>-0.97165789999999996</v>
      </c>
      <c r="S1673">
        <v>0.29373169999999998</v>
      </c>
      <c r="T1673">
        <v>0.64212139999999995</v>
      </c>
      <c r="U1673">
        <v>-2.92996199999999</v>
      </c>
      <c r="V1673">
        <v>-5.8230459999999998E-2</v>
      </c>
      <c r="W1673">
        <v>0.1627699</v>
      </c>
      <c r="X1673">
        <v>0.98494429999999999</v>
      </c>
      <c r="Y1673">
        <v>3.4910570000000002E-2</v>
      </c>
      <c r="Z1673">
        <v>-0.210732899999999</v>
      </c>
      <c r="AA1673">
        <v>0.97692009999999996</v>
      </c>
      <c r="AB1673">
        <v>37</v>
      </c>
      <c r="AC1673">
        <v>11.191800000000001</v>
      </c>
      <c r="AD1673">
        <v>24.581872000000001</v>
      </c>
      <c r="AE1673">
        <v>-111.79018670000001</v>
      </c>
      <c r="AF1673">
        <v>3.51522903830414</v>
      </c>
      <c r="AG1673">
        <v>24.581872000000001</v>
      </c>
      <c r="AH1673">
        <v>107.158606885842</v>
      </c>
      <c r="AI1673">
        <v>77.086761810457006</v>
      </c>
      <c r="AJ1673">
        <v>88.121144018944094</v>
      </c>
      <c r="AK1673">
        <v>109.998146784073</v>
      </c>
    </row>
    <row r="1674" spans="1:37" x14ac:dyDescent="0.2">
      <c r="A1674" t="str">
        <f>"20200111150622651"</f>
        <v>20200111150622651</v>
      </c>
      <c r="B1674" t="str">
        <f>"1578726382648264"</f>
        <v>1578726382648264</v>
      </c>
      <c r="C1674" t="s">
        <v>37</v>
      </c>
      <c r="D1674">
        <v>4.9475889999999998</v>
      </c>
      <c r="E1674">
        <v>0.52854899999999905</v>
      </c>
      <c r="F1674" t="s">
        <v>84</v>
      </c>
      <c r="G1674">
        <v>-407.19330000000002</v>
      </c>
      <c r="H1674">
        <v>29.375769999999999</v>
      </c>
      <c r="I1674">
        <v>0.60772899999999996</v>
      </c>
      <c r="J1674">
        <v>-421.33330000000001</v>
      </c>
      <c r="K1674">
        <v>1.1150340000000001</v>
      </c>
      <c r="L1674">
        <v>112.0291</v>
      </c>
      <c r="M1674">
        <v>0.1412534</v>
      </c>
      <c r="N1674">
        <v>0</v>
      </c>
      <c r="O1674">
        <v>-0.98985829999999997</v>
      </c>
      <c r="P1674">
        <v>0.193168799999999</v>
      </c>
      <c r="Q1674">
        <v>0.15161440000000001</v>
      </c>
      <c r="R1674">
        <v>-0.96938119999999905</v>
      </c>
      <c r="S1674">
        <v>0.36886599999999897</v>
      </c>
      <c r="T1674">
        <v>0.73456160000000004</v>
      </c>
      <c r="U1674">
        <v>-2.9049839999999998</v>
      </c>
      <c r="V1674">
        <v>-5.9141999999999903E-2</v>
      </c>
      <c r="W1674">
        <v>0.16484799999999999</v>
      </c>
      <c r="X1674">
        <v>0.98454419999999898</v>
      </c>
      <c r="Y1674">
        <v>1.918098E-2</v>
      </c>
      <c r="Z1674">
        <v>-0.24060860000000001</v>
      </c>
      <c r="AA1674">
        <v>0.97043269999999904</v>
      </c>
      <c r="AB1674">
        <v>37</v>
      </c>
      <c r="AC1674">
        <v>14.139999999999899</v>
      </c>
      <c r="AD1674">
        <v>28.260736000000001</v>
      </c>
      <c r="AE1674">
        <v>-111.42137099999999</v>
      </c>
      <c r="AF1674">
        <v>1.63851109159348</v>
      </c>
      <c r="AG1674">
        <v>28.260736000000001</v>
      </c>
      <c r="AH1674">
        <v>105.614734639562</v>
      </c>
      <c r="AI1674">
        <v>75.021284630687404</v>
      </c>
      <c r="AJ1674">
        <v>89.111182357163301</v>
      </c>
      <c r="AK1674">
        <v>109.342700217454</v>
      </c>
    </row>
    <row r="1675" spans="1:37" x14ac:dyDescent="0.2">
      <c r="A1675" t="str">
        <f>"20200111150622674"</f>
        <v>20200111150622674</v>
      </c>
      <c r="B1675" t="str">
        <f>"1578726382667785"</f>
        <v>1578726382667785</v>
      </c>
      <c r="C1675" t="s">
        <v>37</v>
      </c>
      <c r="D1675">
        <v>6.0001129999999998</v>
      </c>
      <c r="E1675">
        <v>0.52902689999999997</v>
      </c>
      <c r="F1675" t="s">
        <v>39</v>
      </c>
      <c r="G1675">
        <v>-419.13369999999998</v>
      </c>
      <c r="H1675" s="1">
        <v>-1.8607189999999999E-6</v>
      </c>
      <c r="I1675">
        <v>93.611959999999996</v>
      </c>
      <c r="J1675">
        <v>-421.274</v>
      </c>
      <c r="K1675">
        <v>1.113958</v>
      </c>
      <c r="L1675">
        <v>111.655</v>
      </c>
      <c r="M1675">
        <v>0.14993719999999999</v>
      </c>
      <c r="N1675">
        <v>0</v>
      </c>
      <c r="O1675">
        <v>-0.98858259999999898</v>
      </c>
      <c r="P1675">
        <v>0.19894510000000001</v>
      </c>
      <c r="Q1675">
        <v>0.15089229999999901</v>
      </c>
      <c r="R1675">
        <v>-0.96832469999999904</v>
      </c>
      <c r="S1675">
        <v>0.36437989999999998</v>
      </c>
      <c r="T1675">
        <v>-0.18472079999999999</v>
      </c>
      <c r="U1675">
        <v>-3.0510410000000001</v>
      </c>
      <c r="V1675">
        <v>-5.5882599999999998E-2</v>
      </c>
      <c r="W1675">
        <v>0.16420650000000001</v>
      </c>
      <c r="X1675">
        <v>0.98484179999999999</v>
      </c>
      <c r="Y1675">
        <v>3.1861550000000002E-2</v>
      </c>
      <c r="Z1675">
        <v>5.9187179999999999E-2</v>
      </c>
      <c r="AA1675">
        <v>0.99773829999999997</v>
      </c>
      <c r="AB1675">
        <v>37</v>
      </c>
      <c r="AC1675">
        <v>2.1403000000000199</v>
      </c>
      <c r="AD1675">
        <v>-1.113959860719</v>
      </c>
      <c r="AE1675">
        <v>-18.043040000000001</v>
      </c>
      <c r="AF1675">
        <v>0.58731775610595505</v>
      </c>
      <c r="AG1675">
        <v>-1.113959860719</v>
      </c>
      <c r="AH1675">
        <v>18.091969059901398</v>
      </c>
      <c r="AI1675">
        <v>93.521520938969502</v>
      </c>
      <c r="AJ1675">
        <v>88.140665885802903</v>
      </c>
      <c r="AK1675">
        <v>18.135743524387401</v>
      </c>
    </row>
    <row r="1676" spans="1:37" x14ac:dyDescent="0.2">
      <c r="A1676" t="str">
        <f>"20200111150622696"</f>
        <v>20200111150622696</v>
      </c>
      <c r="B1676" t="str">
        <f>"1578726382688280"</f>
        <v>1578726382688280</v>
      </c>
      <c r="C1676" t="s">
        <v>37</v>
      </c>
      <c r="D1676">
        <v>5.4733839999999896</v>
      </c>
      <c r="E1676">
        <v>0.53040639999999994</v>
      </c>
      <c r="F1676" t="s">
        <v>38</v>
      </c>
      <c r="G1676">
        <v>-421.14640000000003</v>
      </c>
      <c r="H1676">
        <v>1.050635</v>
      </c>
      <c r="I1676">
        <v>110.6279</v>
      </c>
      <c r="J1676">
        <v>-421.21409999999997</v>
      </c>
      <c r="K1676">
        <v>1.1128370000000001</v>
      </c>
      <c r="L1676">
        <v>111.29089999999999</v>
      </c>
      <c r="M1676">
        <v>0.15693009999999999</v>
      </c>
      <c r="N1676">
        <v>0</v>
      </c>
      <c r="O1676">
        <v>-0.98749880000000001</v>
      </c>
      <c r="P1676">
        <v>0.2017207</v>
      </c>
      <c r="Q1676">
        <v>0.148813</v>
      </c>
      <c r="R1676">
        <v>-0.96807209999999999</v>
      </c>
      <c r="S1676">
        <v>0.379303</v>
      </c>
      <c r="T1676">
        <v>-0.18810179999999899</v>
      </c>
      <c r="U1676">
        <v>-3.0495000000000001</v>
      </c>
      <c r="V1676">
        <v>-5.1162720000000002E-2</v>
      </c>
      <c r="W1676">
        <v>0.162252799999999</v>
      </c>
      <c r="X1676">
        <v>0.98542199999999902</v>
      </c>
      <c r="Y1676">
        <v>3.4072360000000003E-2</v>
      </c>
      <c r="Z1676">
        <v>6.0177469999999997E-2</v>
      </c>
      <c r="AA1676">
        <v>0.99760599999999999</v>
      </c>
      <c r="AB1676">
        <v>37</v>
      </c>
      <c r="AC1676">
        <v>6.7699999999945207E-2</v>
      </c>
      <c r="AD1676">
        <v>-6.2202E-2</v>
      </c>
      <c r="AE1676">
        <v>-0.66299999999999604</v>
      </c>
      <c r="AF1676">
        <v>3.6873847231424402E-2</v>
      </c>
      <c r="AG1676">
        <v>-6.2202E-2</v>
      </c>
      <c r="AH1676">
        <v>0.65966232495334698</v>
      </c>
      <c r="AI1676">
        <v>95.378356980777099</v>
      </c>
      <c r="AJ1676">
        <v>86.800606313843105</v>
      </c>
      <c r="AK1676">
        <v>0.66361370719455604</v>
      </c>
    </row>
    <row r="1677" spans="1:37" x14ac:dyDescent="0.2">
      <c r="A1677" t="str">
        <f>"20200111150622718"</f>
        <v>20200111150622718</v>
      </c>
      <c r="B1677" t="str">
        <f>"1578726382707800"</f>
        <v>1578726382707800</v>
      </c>
      <c r="C1677" t="s">
        <v>37</v>
      </c>
      <c r="D1677">
        <v>4.8836389999999996</v>
      </c>
      <c r="E1677">
        <v>0.53305659999999999</v>
      </c>
      <c r="F1677" t="s">
        <v>38</v>
      </c>
      <c r="G1677">
        <v>-421.09269999999998</v>
      </c>
      <c r="H1677">
        <v>1.0489310000000001</v>
      </c>
      <c r="I1677">
        <v>110.30410000000001</v>
      </c>
      <c r="J1677">
        <v>-421.15269999999998</v>
      </c>
      <c r="K1677">
        <v>1.1117779999999999</v>
      </c>
      <c r="L1677">
        <v>110.92910000000001</v>
      </c>
      <c r="M1677">
        <v>0.1626966</v>
      </c>
      <c r="N1677">
        <v>0</v>
      </c>
      <c r="O1677">
        <v>-0.98656679999999997</v>
      </c>
      <c r="P1677">
        <v>0.2031483</v>
      </c>
      <c r="Q1677">
        <v>0.1473305</v>
      </c>
      <c r="R1677">
        <v>-0.96800019999999998</v>
      </c>
      <c r="S1677">
        <v>0.37631229999999999</v>
      </c>
      <c r="T1677">
        <v>-0.1977701</v>
      </c>
      <c r="U1677">
        <v>-3.0509189999999999</v>
      </c>
      <c r="V1677">
        <v>-4.6344099999999999E-2</v>
      </c>
      <c r="W1677">
        <v>0.16088429999999901</v>
      </c>
      <c r="X1677">
        <v>0.9858846</v>
      </c>
      <c r="Y1677">
        <v>4.0952969999999998E-2</v>
      </c>
      <c r="Z1677">
        <v>6.3134759999999998E-2</v>
      </c>
      <c r="AA1677">
        <v>0.99716439999999995</v>
      </c>
      <c r="AB1677">
        <v>37</v>
      </c>
      <c r="AC1677">
        <v>6.0000000000002197E-2</v>
      </c>
      <c r="AD1677">
        <v>-6.2847000000000097E-2</v>
      </c>
      <c r="AE1677">
        <v>-0.625</v>
      </c>
      <c r="AF1677">
        <v>4.2074407787616702E-2</v>
      </c>
      <c r="AG1677">
        <v>-6.2847000000000097E-2</v>
      </c>
      <c r="AH1677">
        <v>0.620219642350468</v>
      </c>
      <c r="AI1677">
        <v>95.772867042167803</v>
      </c>
      <c r="AJ1677">
        <v>86.119119701682493</v>
      </c>
      <c r="AK1677">
        <v>0.62481389705817303</v>
      </c>
    </row>
    <row r="1678" spans="1:37" x14ac:dyDescent="0.2">
      <c r="A1678" t="str">
        <f>"20200111150622740"</f>
        <v>20200111150622740</v>
      </c>
      <c r="B1678" t="str">
        <f>"1578726382738057"</f>
        <v>1578726382738057</v>
      </c>
      <c r="C1678" t="s">
        <v>37</v>
      </c>
      <c r="D1678">
        <v>4.8272879999999896</v>
      </c>
      <c r="E1678">
        <v>0.53552559999999905</v>
      </c>
      <c r="F1678" t="s">
        <v>38</v>
      </c>
      <c r="G1678">
        <v>-421.04149999999998</v>
      </c>
      <c r="H1678">
        <v>1.0485409999999999</v>
      </c>
      <c r="I1678">
        <v>109.9787</v>
      </c>
      <c r="J1678">
        <v>-421.08890000000002</v>
      </c>
      <c r="K1678">
        <v>1.1107400000000001</v>
      </c>
      <c r="L1678">
        <v>110.5617</v>
      </c>
      <c r="M1678">
        <v>0.16729269999999999</v>
      </c>
      <c r="N1678">
        <v>0</v>
      </c>
      <c r="O1678">
        <v>-0.98579969999999995</v>
      </c>
      <c r="P1678">
        <v>0.20562030000000001</v>
      </c>
      <c r="Q1678">
        <v>0.14749679999999901</v>
      </c>
      <c r="R1678">
        <v>-0.9674528</v>
      </c>
      <c r="S1678">
        <v>0.35803220000000002</v>
      </c>
      <c r="T1678">
        <v>-0.20332149999999999</v>
      </c>
      <c r="U1678">
        <v>-3.05496199999999</v>
      </c>
      <c r="V1678">
        <v>-4.3842350000000002E-2</v>
      </c>
      <c r="W1678">
        <v>0.1611022</v>
      </c>
      <c r="X1678">
        <v>0.98596349999999999</v>
      </c>
      <c r="Y1678">
        <v>5.166109E-2</v>
      </c>
      <c r="Z1678">
        <v>6.4744869999999996E-2</v>
      </c>
      <c r="AA1678">
        <v>0.99656369999999905</v>
      </c>
      <c r="AB1678">
        <v>37</v>
      </c>
      <c r="AC1678">
        <v>4.7400000000038703E-2</v>
      </c>
      <c r="AD1678">
        <v>-6.2199000000000101E-2</v>
      </c>
      <c r="AE1678">
        <v>-0.58299999999999796</v>
      </c>
      <c r="AF1678">
        <v>5.0242013280935603E-2</v>
      </c>
      <c r="AG1678">
        <v>-6.2199000000000101E-2</v>
      </c>
      <c r="AH1678">
        <v>0.57619732288287095</v>
      </c>
      <c r="AI1678">
        <v>96.137962278785494</v>
      </c>
      <c r="AJ1678">
        <v>85.016650164899602</v>
      </c>
      <c r="AK1678">
        <v>0.58171842879258095</v>
      </c>
    </row>
    <row r="1679" spans="1:37" x14ac:dyDescent="0.2">
      <c r="A1679" t="str">
        <f>"20200111150622763"</f>
        <v>20200111150622763</v>
      </c>
      <c r="B1679" t="str">
        <f>"1578726382758552"</f>
        <v>1578726382758552</v>
      </c>
      <c r="C1679" t="s">
        <v>37</v>
      </c>
      <c r="D1679">
        <v>4.8447699999999996</v>
      </c>
      <c r="E1679">
        <v>0.537215</v>
      </c>
      <c r="F1679" t="s">
        <v>38</v>
      </c>
      <c r="G1679">
        <v>-420.986999999999</v>
      </c>
      <c r="H1679">
        <v>1.0480229999999999</v>
      </c>
      <c r="I1679">
        <v>109.65349999999999</v>
      </c>
      <c r="J1679">
        <v>-421.02719999999999</v>
      </c>
      <c r="K1679">
        <v>1.1097539999999999</v>
      </c>
      <c r="L1679">
        <v>110.2124</v>
      </c>
      <c r="M1679">
        <v>0.1704609</v>
      </c>
      <c r="N1679">
        <v>0</v>
      </c>
      <c r="O1679">
        <v>-0.98525819999999997</v>
      </c>
      <c r="P1679">
        <v>0.20853369999999999</v>
      </c>
      <c r="Q1679">
        <v>0.1492049</v>
      </c>
      <c r="R1679">
        <v>-0.96656690000000001</v>
      </c>
      <c r="S1679">
        <v>0.34405520000000001</v>
      </c>
      <c r="T1679">
        <v>-0.2113622</v>
      </c>
      <c r="U1679">
        <v>-3.060028</v>
      </c>
      <c r="V1679">
        <v>-4.3304799999999997E-2</v>
      </c>
      <c r="W1679">
        <v>0.16282249999999901</v>
      </c>
      <c r="X1679">
        <v>0.98570460000000004</v>
      </c>
      <c r="Y1679">
        <v>5.9571029999999997E-2</v>
      </c>
      <c r="Z1679">
        <v>6.7129820000000007E-2</v>
      </c>
      <c r="AA1679">
        <v>0.99596430000000002</v>
      </c>
      <c r="AB1679">
        <v>37</v>
      </c>
      <c r="AC1679">
        <v>4.0200000000027103E-2</v>
      </c>
      <c r="AD1679">
        <v>-6.1731000000000202E-2</v>
      </c>
      <c r="AE1679">
        <v>-0.55890000000000795</v>
      </c>
      <c r="AF1679">
        <v>5.50015132488407E-2</v>
      </c>
      <c r="AG1679">
        <v>-6.1731000000000202E-2</v>
      </c>
      <c r="AH1679">
        <v>0.55088582000922703</v>
      </c>
      <c r="AI1679">
        <v>96.362389004645294</v>
      </c>
      <c r="AJ1679">
        <v>84.2983730698421</v>
      </c>
      <c r="AK1679">
        <v>0.55705571490462302</v>
      </c>
    </row>
    <row r="1680" spans="1:37" x14ac:dyDescent="0.2">
      <c r="A1680" t="str">
        <f>"20200111150622785"</f>
        <v>20200111150622785</v>
      </c>
      <c r="B1680" t="str">
        <f>"1578726382778072"</f>
        <v>1578726382778072</v>
      </c>
      <c r="C1680" t="s">
        <v>37</v>
      </c>
      <c r="D1680">
        <v>4.8198049999999997</v>
      </c>
      <c r="E1680">
        <v>0.53869319999999998</v>
      </c>
      <c r="F1680" t="s">
        <v>38</v>
      </c>
      <c r="G1680">
        <v>-420.92970000000003</v>
      </c>
      <c r="H1680">
        <v>1.0498449999999999</v>
      </c>
      <c r="I1680">
        <v>109.3267</v>
      </c>
      <c r="J1680">
        <v>-420.96010000000001</v>
      </c>
      <c r="K1680">
        <v>1.1086469999999999</v>
      </c>
      <c r="L1680">
        <v>109.8356</v>
      </c>
      <c r="M1680">
        <v>0.1726056</v>
      </c>
      <c r="N1680">
        <v>0</v>
      </c>
      <c r="O1680">
        <v>-0.98488609999999899</v>
      </c>
      <c r="P1680">
        <v>0.21220900000000001</v>
      </c>
      <c r="Q1680">
        <v>0.15206800000000001</v>
      </c>
      <c r="R1680">
        <v>-0.96532019999999996</v>
      </c>
      <c r="S1680">
        <v>0.33795170000000002</v>
      </c>
      <c r="T1680">
        <v>-0.2071616</v>
      </c>
      <c r="U1680">
        <v>-3.06285099999999</v>
      </c>
      <c r="V1680">
        <v>-4.456359E-2</v>
      </c>
      <c r="W1680">
        <v>0.16568189999999999</v>
      </c>
      <c r="X1680">
        <v>0.98517189999999999</v>
      </c>
      <c r="Y1680">
        <v>6.3795420000000005E-2</v>
      </c>
      <c r="Z1680">
        <v>6.5702549999999998E-2</v>
      </c>
      <c r="AA1680">
        <v>0.99579779999999996</v>
      </c>
      <c r="AB1680">
        <v>37</v>
      </c>
      <c r="AC1680">
        <v>3.03999999999859E-2</v>
      </c>
      <c r="AD1680">
        <v>-5.8801999999999799E-2</v>
      </c>
      <c r="AE1680">
        <v>-0.50889999999999702</v>
      </c>
      <c r="AF1680">
        <v>5.7144207348831098E-2</v>
      </c>
      <c r="AG1680">
        <v>-5.8801999999999799E-2</v>
      </c>
      <c r="AH1680">
        <v>0.49985813079712699</v>
      </c>
      <c r="AI1680">
        <v>96.666264144408601</v>
      </c>
      <c r="AJ1680">
        <v>83.478210974751903</v>
      </c>
      <c r="AK1680">
        <v>0.50653853413291705</v>
      </c>
    </row>
    <row r="1681" spans="1:37" x14ac:dyDescent="0.2">
      <c r="A1681" t="str">
        <f>"20200111150622807"</f>
        <v>20200111150622807</v>
      </c>
      <c r="B1681" t="str">
        <f>"1578726382798568"</f>
        <v>1578726382798568</v>
      </c>
      <c r="C1681" t="s">
        <v>37</v>
      </c>
      <c r="D1681">
        <v>4.8104110000000002</v>
      </c>
      <c r="E1681">
        <v>0.54046269999999996</v>
      </c>
      <c r="F1681" t="s">
        <v>38</v>
      </c>
      <c r="G1681">
        <v>-420.8689</v>
      </c>
      <c r="H1681">
        <v>1.0554760000000001</v>
      </c>
      <c r="I1681">
        <v>108.99679999999999</v>
      </c>
      <c r="J1681">
        <v>-420.8965</v>
      </c>
      <c r="K1681">
        <v>1.1075469999999901</v>
      </c>
      <c r="L1681">
        <v>109.4787</v>
      </c>
      <c r="M1681">
        <v>0.17347889999999999</v>
      </c>
      <c r="N1681">
        <v>0</v>
      </c>
      <c r="O1681">
        <v>-0.98473379999999999</v>
      </c>
      <c r="P1681">
        <v>0.21549389999999999</v>
      </c>
      <c r="Q1681">
        <v>0.15794649999999999</v>
      </c>
      <c r="R1681">
        <v>-0.96364689999999997</v>
      </c>
      <c r="S1681">
        <v>0.33422849999999998</v>
      </c>
      <c r="T1681">
        <v>-0.1942479</v>
      </c>
      <c r="U1681">
        <v>-3.0649109999999999</v>
      </c>
      <c r="V1681">
        <v>-4.6805769999999997E-2</v>
      </c>
      <c r="W1681">
        <v>0.17156360000000001</v>
      </c>
      <c r="X1681">
        <v>0.9840605</v>
      </c>
      <c r="Y1681">
        <v>6.5919350000000002E-2</v>
      </c>
      <c r="Z1681">
        <v>6.1567730000000001E-2</v>
      </c>
      <c r="AA1681">
        <v>0.99592369999999997</v>
      </c>
      <c r="AB1681">
        <v>37</v>
      </c>
      <c r="AC1681">
        <v>2.7600000000006699E-2</v>
      </c>
      <c r="AD1681">
        <v>-5.2070999999999701E-2</v>
      </c>
      <c r="AE1681">
        <v>-0.48190000000000999</v>
      </c>
      <c r="AF1681">
        <v>5.5777491892770197E-2</v>
      </c>
      <c r="AG1681">
        <v>-5.2070999999999701E-2</v>
      </c>
      <c r="AH1681">
        <v>0.473865673046378</v>
      </c>
      <c r="AI1681">
        <v>96.228164584435007</v>
      </c>
      <c r="AJ1681">
        <v>83.286753648354505</v>
      </c>
      <c r="AK1681">
        <v>0.47996999253551798</v>
      </c>
    </row>
    <row r="1682" spans="1:37" x14ac:dyDescent="0.2">
      <c r="A1682" t="str">
        <f>"20200111150622829"</f>
        <v>20200111150622829</v>
      </c>
      <c r="B1682" t="str">
        <f>"1578726382818089"</f>
        <v>1578726382818089</v>
      </c>
      <c r="C1682" t="s">
        <v>37</v>
      </c>
      <c r="D1682">
        <v>4.3648959999999999</v>
      </c>
      <c r="E1682">
        <v>0.54121850000000005</v>
      </c>
      <c r="F1682" t="s">
        <v>39</v>
      </c>
      <c r="G1682">
        <v>-418.78089999999997</v>
      </c>
      <c r="H1682" s="1">
        <v>-3.5204949999999901E-7</v>
      </c>
      <c r="I1682">
        <v>89.729369999999903</v>
      </c>
      <c r="J1682">
        <v>-420.83409999999998</v>
      </c>
      <c r="K1682">
        <v>1.1064160000000001</v>
      </c>
      <c r="L1682">
        <v>109.12609999999999</v>
      </c>
      <c r="M1682">
        <v>0.17330429999999999</v>
      </c>
      <c r="N1682">
        <v>0</v>
      </c>
      <c r="O1682">
        <v>-0.98476569999999997</v>
      </c>
      <c r="P1682">
        <v>0.2169007</v>
      </c>
      <c r="Q1682">
        <v>0.16232160000000001</v>
      </c>
      <c r="R1682">
        <v>-0.96260389999999996</v>
      </c>
      <c r="S1682">
        <v>0.32864379999999999</v>
      </c>
      <c r="T1682">
        <v>-0.17204829999999999</v>
      </c>
      <c r="U1682">
        <v>-3.0679020000000001</v>
      </c>
      <c r="V1682">
        <v>-4.8083349999999997E-2</v>
      </c>
      <c r="W1682">
        <v>0.17598510000000001</v>
      </c>
      <c r="X1682">
        <v>0.98321780000000003</v>
      </c>
      <c r="Y1682">
        <v>6.7594459999999995E-2</v>
      </c>
      <c r="Z1682">
        <v>5.4506529999999997E-2</v>
      </c>
      <c r="AA1682">
        <v>0.99622289999999902</v>
      </c>
      <c r="AB1682">
        <v>37</v>
      </c>
      <c r="AC1682">
        <v>2.0531999999999999</v>
      </c>
      <c r="AD1682">
        <v>-1.1064163520495001</v>
      </c>
      <c r="AE1682">
        <v>-19.396730000000002</v>
      </c>
      <c r="AF1682">
        <v>1.3354541466057199</v>
      </c>
      <c r="AG1682">
        <v>-1.1064163520495001</v>
      </c>
      <c r="AH1682">
        <v>19.396617724769701</v>
      </c>
      <c r="AI1682">
        <v>93.257017930023096</v>
      </c>
      <c r="AJ1682">
        <v>86.061409914785003</v>
      </c>
      <c r="AK1682">
        <v>19.473992248191401</v>
      </c>
    </row>
    <row r="1683" spans="1:37" x14ac:dyDescent="0.2">
      <c r="A1683" t="str">
        <f>"20200111150622852"</f>
        <v>20200111150622852</v>
      </c>
      <c r="B1683" t="str">
        <f>"1578726382848345"</f>
        <v>1578726382848345</v>
      </c>
      <c r="C1683" t="s">
        <v>37</v>
      </c>
      <c r="D1683">
        <v>4.8580959999999997</v>
      </c>
      <c r="E1683">
        <v>0.54288000000000003</v>
      </c>
      <c r="F1683" t="s">
        <v>39</v>
      </c>
      <c r="G1683">
        <v>-418.48649999999998</v>
      </c>
      <c r="H1683" s="1">
        <v>-3.4181330000000002E-6</v>
      </c>
      <c r="I1683">
        <v>86.974719999999905</v>
      </c>
      <c r="J1683">
        <v>-420.77120000000002</v>
      </c>
      <c r="K1683">
        <v>1.1052469999999901</v>
      </c>
      <c r="L1683">
        <v>108.7664</v>
      </c>
      <c r="M1683">
        <v>0.1721473</v>
      </c>
      <c r="N1683">
        <v>0</v>
      </c>
      <c r="O1683">
        <v>-0.98496909999999904</v>
      </c>
      <c r="P1683">
        <v>0.21604209999999999</v>
      </c>
      <c r="Q1683">
        <v>0.1648705</v>
      </c>
      <c r="R1683">
        <v>-0.96236350000000004</v>
      </c>
      <c r="S1683">
        <v>0.3252563</v>
      </c>
      <c r="T1683">
        <v>-0.15329579999999901</v>
      </c>
      <c r="U1683">
        <v>-3.0691069999999998</v>
      </c>
      <c r="V1683">
        <v>-4.7929020000000003E-2</v>
      </c>
      <c r="W1683">
        <v>0.17861359999999901</v>
      </c>
      <c r="X1683">
        <v>0.98275129999999999</v>
      </c>
      <c r="Y1683">
        <v>6.7518229999999999E-2</v>
      </c>
      <c r="Z1683">
        <v>4.8580020000000002E-2</v>
      </c>
      <c r="AA1683">
        <v>0.99653459999999905</v>
      </c>
      <c r="AB1683">
        <v>37</v>
      </c>
      <c r="AC1683">
        <v>2.2847000000000399</v>
      </c>
      <c r="AD1683">
        <v>-1.1052504181329901</v>
      </c>
      <c r="AE1683">
        <v>-21.791679999999999</v>
      </c>
      <c r="AF1683">
        <v>1.49736103599894</v>
      </c>
      <c r="AG1683">
        <v>-1.1052504181329901</v>
      </c>
      <c r="AH1683">
        <v>21.8041559669702</v>
      </c>
      <c r="AI1683">
        <v>92.895026656241001</v>
      </c>
      <c r="AJ1683">
        <v>86.071483699718499</v>
      </c>
      <c r="AK1683">
        <v>21.883438623554401</v>
      </c>
    </row>
    <row r="1684" spans="1:37" x14ac:dyDescent="0.2">
      <c r="A1684" t="str">
        <f>"20200111150622875"</f>
        <v>20200111150622875</v>
      </c>
      <c r="B1684" t="str">
        <f>"1578726382867864"</f>
        <v>1578726382867864</v>
      </c>
      <c r="C1684" t="s">
        <v>37</v>
      </c>
      <c r="D1684">
        <v>4.7758649999999996</v>
      </c>
      <c r="E1684">
        <v>0.54473470000000002</v>
      </c>
      <c r="F1684" t="s">
        <v>39</v>
      </c>
      <c r="G1684">
        <v>-418.34500000000003</v>
      </c>
      <c r="H1684" s="1">
        <v>-2.398776E-6</v>
      </c>
      <c r="I1684">
        <v>84.54007</v>
      </c>
      <c r="J1684">
        <v>-420.70599999999899</v>
      </c>
      <c r="K1684">
        <v>1.104039</v>
      </c>
      <c r="L1684">
        <v>108.38420000000001</v>
      </c>
      <c r="M1684">
        <v>0.16986089999999901</v>
      </c>
      <c r="N1684">
        <v>0</v>
      </c>
      <c r="O1684">
        <v>-0.98536699999999999</v>
      </c>
      <c r="P1684">
        <v>0.2115052</v>
      </c>
      <c r="Q1684">
        <v>0.1651233</v>
      </c>
      <c r="R1684">
        <v>-0.96332790000000001</v>
      </c>
      <c r="S1684">
        <v>0.30767820000000001</v>
      </c>
      <c r="T1684">
        <v>-0.14016289999999901</v>
      </c>
      <c r="U1684">
        <v>-3.0722809999999998</v>
      </c>
      <c r="V1684">
        <v>-4.5045330000000001E-2</v>
      </c>
      <c r="W1684">
        <v>0.17896500000000001</v>
      </c>
      <c r="X1684">
        <v>0.98282369999999997</v>
      </c>
      <c r="Y1684">
        <v>7.0932190000000006E-2</v>
      </c>
      <c r="Z1684">
        <v>4.4415839999999998E-2</v>
      </c>
      <c r="AA1684">
        <v>0.99649179999999904</v>
      </c>
      <c r="AB1684">
        <v>37</v>
      </c>
      <c r="AC1684">
        <v>2.36099999999993</v>
      </c>
      <c r="AD1684">
        <v>-1.104041398776</v>
      </c>
      <c r="AE1684">
        <v>-23.84413</v>
      </c>
      <c r="AF1684">
        <v>1.7202532914278099</v>
      </c>
      <c r="AG1684">
        <v>-1.104041398776</v>
      </c>
      <c r="AH1684">
        <v>23.848008552439602</v>
      </c>
      <c r="AI1684">
        <v>92.643750964956695</v>
      </c>
      <c r="AJ1684">
        <v>85.874169838809195</v>
      </c>
      <c r="AK1684">
        <v>23.9354484126392</v>
      </c>
    </row>
    <row r="1685" spans="1:37" x14ac:dyDescent="0.2">
      <c r="A1685" t="str">
        <f>"20200111150622898"</f>
        <v>20200111150622898</v>
      </c>
      <c r="B1685" t="str">
        <f>"1578726382888360"</f>
        <v>1578726382888360</v>
      </c>
      <c r="C1685" t="s">
        <v>37</v>
      </c>
      <c r="D1685">
        <v>4.8049860000000004</v>
      </c>
      <c r="E1685">
        <v>0.54658149999999905</v>
      </c>
      <c r="F1685" t="s">
        <v>39</v>
      </c>
      <c r="G1685">
        <v>-418.57159999999999</v>
      </c>
      <c r="H1685" s="1">
        <v>-2.4463140000000002E-6</v>
      </c>
      <c r="I1685">
        <v>84.744569999999996</v>
      </c>
      <c r="J1685">
        <v>-420.64499999999998</v>
      </c>
      <c r="K1685">
        <v>1.1029679999999999</v>
      </c>
      <c r="L1685">
        <v>108.0168</v>
      </c>
      <c r="M1685">
        <v>0.16679359999999999</v>
      </c>
      <c r="N1685">
        <v>0</v>
      </c>
      <c r="O1685">
        <v>-0.98589130000000003</v>
      </c>
      <c r="P1685">
        <v>0.2034203</v>
      </c>
      <c r="Q1685">
        <v>0.16546859999999999</v>
      </c>
      <c r="R1685">
        <v>-0.96500799999999998</v>
      </c>
      <c r="S1685">
        <v>0.277893099999999</v>
      </c>
      <c r="T1685">
        <v>-0.14374410000000001</v>
      </c>
      <c r="U1685">
        <v>-3.0778349999999999</v>
      </c>
      <c r="V1685">
        <v>-3.9384519999999999E-2</v>
      </c>
      <c r="W1685">
        <v>0.17938479999999901</v>
      </c>
      <c r="X1685">
        <v>0.98299029999999998</v>
      </c>
      <c r="Y1685">
        <v>7.7565780000000001E-2</v>
      </c>
      <c r="Z1685">
        <v>4.551202E-2</v>
      </c>
      <c r="AA1685">
        <v>0.995947899999999</v>
      </c>
      <c r="AB1685">
        <v>37</v>
      </c>
      <c r="AC1685">
        <v>2.0733999999999901</v>
      </c>
      <c r="AD1685">
        <v>-1.102970446314</v>
      </c>
      <c r="AE1685">
        <v>-23.27223</v>
      </c>
      <c r="AF1685">
        <v>1.8336079146040301</v>
      </c>
      <c r="AG1685">
        <v>-1.102970446314</v>
      </c>
      <c r="AH1685">
        <v>23.240236236824799</v>
      </c>
      <c r="AI1685">
        <v>92.708786044525297</v>
      </c>
      <c r="AJ1685">
        <v>85.488823232311603</v>
      </c>
      <c r="AK1685">
        <v>23.3385355610279</v>
      </c>
    </row>
    <row r="1686" spans="1:37" x14ac:dyDescent="0.2">
      <c r="A1686" t="str">
        <f>"20200111150622918"</f>
        <v>20200111150622918</v>
      </c>
      <c r="B1686" t="str">
        <f>"1578726382907880"</f>
        <v>1578726382907880</v>
      </c>
      <c r="C1686" t="s">
        <v>37</v>
      </c>
      <c r="D1686">
        <v>4.934507</v>
      </c>
      <c r="E1686">
        <v>0.54828980000000005</v>
      </c>
      <c r="F1686" t="s">
        <v>39</v>
      </c>
      <c r="G1686">
        <v>-418.86779999999999</v>
      </c>
      <c r="H1686" s="1">
        <v>-2.4717750000000001E-6</v>
      </c>
      <c r="I1686">
        <v>84.926389999999998</v>
      </c>
      <c r="J1686">
        <v>-420.58980000000003</v>
      </c>
      <c r="K1686">
        <v>1.1020719999999999</v>
      </c>
      <c r="L1686">
        <v>107.6743</v>
      </c>
      <c r="M1686">
        <v>0.16332269999999999</v>
      </c>
      <c r="N1686">
        <v>0</v>
      </c>
      <c r="O1686">
        <v>-0.98647269999999898</v>
      </c>
      <c r="P1686">
        <v>0.19330529999999899</v>
      </c>
      <c r="Q1686">
        <v>0.16554569999999999</v>
      </c>
      <c r="R1686">
        <v>-0.96707180000000004</v>
      </c>
      <c r="S1686">
        <v>0.23736570000000001</v>
      </c>
      <c r="T1686">
        <v>-0.1473148</v>
      </c>
      <c r="U1686">
        <v>-3.0839999999999899</v>
      </c>
      <c r="V1686">
        <v>-3.2143409999999997E-2</v>
      </c>
      <c r="W1686">
        <v>0.17949129999999899</v>
      </c>
      <c r="X1686">
        <v>0.98323430000000001</v>
      </c>
      <c r="Y1686">
        <v>8.7232030000000002E-2</v>
      </c>
      <c r="Z1686">
        <v>4.6594719999999999E-2</v>
      </c>
      <c r="AA1686">
        <v>0.99509780000000003</v>
      </c>
      <c r="AB1686">
        <v>37</v>
      </c>
      <c r="AC1686">
        <v>1.72200000000003</v>
      </c>
      <c r="AD1686">
        <v>-1.102074471775</v>
      </c>
      <c r="AE1686">
        <v>-22.747910000000001</v>
      </c>
      <c r="AF1686">
        <v>2.0120474126548702</v>
      </c>
      <c r="AG1686">
        <v>-1.102074471775</v>
      </c>
      <c r="AH1686">
        <v>22.670767509390402</v>
      </c>
      <c r="AI1686">
        <v>92.772200061213596</v>
      </c>
      <c r="AJ1686">
        <v>84.928245483430004</v>
      </c>
      <c r="AK1686">
        <v>22.786544327671599</v>
      </c>
    </row>
    <row r="1687" spans="1:37" x14ac:dyDescent="0.2">
      <c r="A1687" t="str">
        <f>"20200111150622941"</f>
        <v>20200111150622941</v>
      </c>
      <c r="B1687" t="str">
        <f>"1578726382938137"</f>
        <v>1578726382938137</v>
      </c>
      <c r="C1687" t="s">
        <v>37</v>
      </c>
      <c r="D1687">
        <v>4.9113189999999998</v>
      </c>
      <c r="E1687">
        <v>0.55018880000000003</v>
      </c>
      <c r="F1687" t="s">
        <v>39</v>
      </c>
      <c r="G1687">
        <v>-419.14030000000002</v>
      </c>
      <c r="H1687" s="1">
        <v>-2.2284440000000001E-6</v>
      </c>
      <c r="I1687">
        <v>84.47184</v>
      </c>
      <c r="J1687">
        <v>-420.53230000000002</v>
      </c>
      <c r="K1687">
        <v>1.101226</v>
      </c>
      <c r="L1687">
        <v>107.3053</v>
      </c>
      <c r="M1687">
        <v>0.15898860000000001</v>
      </c>
      <c r="N1687">
        <v>0</v>
      </c>
      <c r="O1687">
        <v>-0.98718099999999998</v>
      </c>
      <c r="P1687">
        <v>0.18402349999999901</v>
      </c>
      <c r="Q1687">
        <v>0.16541700000000001</v>
      </c>
      <c r="R1687">
        <v>-0.96890319999999996</v>
      </c>
      <c r="S1687">
        <v>0.19296259999999901</v>
      </c>
      <c r="T1687">
        <v>-0.1467067</v>
      </c>
      <c r="U1687">
        <v>-3.0886840000000002</v>
      </c>
      <c r="V1687">
        <v>-2.664685E-2</v>
      </c>
      <c r="W1687">
        <v>0.17936369999999999</v>
      </c>
      <c r="X1687">
        <v>0.98342189999999996</v>
      </c>
      <c r="Y1687">
        <v>9.7203070000000003E-2</v>
      </c>
      <c r="Z1687">
        <v>4.6383760000000003E-2</v>
      </c>
      <c r="AA1687">
        <v>0.99418309999999999</v>
      </c>
      <c r="AB1687">
        <v>37</v>
      </c>
      <c r="AC1687">
        <v>1.3919999999999899</v>
      </c>
      <c r="AD1687">
        <v>-1.101228228444</v>
      </c>
      <c r="AE1687">
        <v>-22.833459999999999</v>
      </c>
      <c r="AF1687">
        <v>2.2511086448946398</v>
      </c>
      <c r="AG1687">
        <v>-1.101228228444</v>
      </c>
      <c r="AH1687">
        <v>22.711672487612699</v>
      </c>
      <c r="AI1687">
        <v>92.762429998926507</v>
      </c>
      <c r="AJ1687">
        <v>84.339512975195404</v>
      </c>
      <c r="AK1687">
        <v>22.849513363019899</v>
      </c>
    </row>
    <row r="1688" spans="1:37" x14ac:dyDescent="0.2">
      <c r="A1688" t="str">
        <f>"20200111150622963"</f>
        <v>20200111150622963</v>
      </c>
      <c r="B1688" t="str">
        <f>"1578726382958632"</f>
        <v>1578726382958632</v>
      </c>
      <c r="C1688" t="s">
        <v>37</v>
      </c>
      <c r="D1688">
        <v>4.8677849999999996</v>
      </c>
      <c r="E1688">
        <v>0.55130239999999997</v>
      </c>
      <c r="F1688" t="s">
        <v>39</v>
      </c>
      <c r="G1688">
        <v>-419.38819999999998</v>
      </c>
      <c r="H1688" s="1">
        <v>-1.7478630000000001E-6</v>
      </c>
      <c r="I1688">
        <v>83.454119999999904</v>
      </c>
      <c r="J1688">
        <v>-420.47879999999998</v>
      </c>
      <c r="K1688">
        <v>1.100498</v>
      </c>
      <c r="L1688">
        <v>106.94799999999999</v>
      </c>
      <c r="M1688">
        <v>0.15427850000000001</v>
      </c>
      <c r="N1688">
        <v>0</v>
      </c>
      <c r="O1688">
        <v>-0.98792849999999999</v>
      </c>
      <c r="P1688">
        <v>0.17727129999999999</v>
      </c>
      <c r="Q1688">
        <v>0.1652284</v>
      </c>
      <c r="R1688">
        <v>-0.97019310000000003</v>
      </c>
      <c r="S1688">
        <v>0.148345899999999</v>
      </c>
      <c r="T1688">
        <v>-0.1427822</v>
      </c>
      <c r="U1688">
        <v>-3.0924839999999998</v>
      </c>
      <c r="V1688">
        <v>-2.4162289999999999E-2</v>
      </c>
      <c r="W1688">
        <v>0.17917139999999901</v>
      </c>
      <c r="X1688">
        <v>0.98352109999999904</v>
      </c>
      <c r="Y1688">
        <v>0.106824399999999</v>
      </c>
      <c r="Z1688">
        <v>4.5136679999999998E-2</v>
      </c>
      <c r="AA1688">
        <v>0.99325289999999999</v>
      </c>
      <c r="AB1688">
        <v>37</v>
      </c>
      <c r="AC1688">
        <v>1.09059999999999</v>
      </c>
      <c r="AD1688">
        <v>-1.1004997478630001</v>
      </c>
      <c r="AE1688">
        <v>-23.493880000000001</v>
      </c>
      <c r="AF1688">
        <v>2.5418494088043402</v>
      </c>
      <c r="AG1688">
        <v>-1.1004997478630001</v>
      </c>
      <c r="AH1688">
        <v>23.329735098890598</v>
      </c>
      <c r="AI1688">
        <v>92.684863421370196</v>
      </c>
      <c r="AJ1688">
        <v>83.781968127818999</v>
      </c>
      <c r="AK1688">
        <v>23.493587165362701</v>
      </c>
    </row>
    <row r="1689" spans="1:37" x14ac:dyDescent="0.2">
      <c r="A1689" t="str">
        <f>"20200111150622986"</f>
        <v>20200111150622986</v>
      </c>
      <c r="B1689" t="str">
        <f>"1578726382978153"</f>
        <v>1578726382978153</v>
      </c>
      <c r="C1689" t="s">
        <v>37</v>
      </c>
      <c r="D1689">
        <v>4.7942809999999998</v>
      </c>
      <c r="E1689">
        <v>0.55224790000000001</v>
      </c>
      <c r="F1689" t="s">
        <v>39</v>
      </c>
      <c r="G1689">
        <v>-419.58760000000001</v>
      </c>
      <c r="H1689" s="1">
        <v>-1.6871760000000001E-6</v>
      </c>
      <c r="I1689">
        <v>83.395069999999905</v>
      </c>
      <c r="J1689">
        <v>-420.4246</v>
      </c>
      <c r="K1689">
        <v>1.0998319999999999</v>
      </c>
      <c r="L1689">
        <v>106.5711</v>
      </c>
      <c r="M1689">
        <v>0.14883940000000001</v>
      </c>
      <c r="N1689">
        <v>0</v>
      </c>
      <c r="O1689">
        <v>-0.98876299999999995</v>
      </c>
      <c r="P1689">
        <v>0.17155190000000001</v>
      </c>
      <c r="Q1689">
        <v>0.16498399999999999</v>
      </c>
      <c r="R1689">
        <v>-0.97126229999999902</v>
      </c>
      <c r="S1689">
        <v>0.11712649999999999</v>
      </c>
      <c r="T1689">
        <v>-0.14463090000000001</v>
      </c>
      <c r="U1689">
        <v>-3.0953979999999999</v>
      </c>
      <c r="V1689">
        <v>-2.347861E-2</v>
      </c>
      <c r="W1689">
        <v>0.1789316</v>
      </c>
      <c r="X1689">
        <v>0.98358129999999999</v>
      </c>
      <c r="Y1689">
        <v>0.111396299999999</v>
      </c>
      <c r="Z1689">
        <v>4.5733120000000002E-2</v>
      </c>
      <c r="AA1689">
        <v>0.99272320000000003</v>
      </c>
      <c r="AB1689">
        <v>37</v>
      </c>
      <c r="AC1689">
        <v>0.83699999999998898</v>
      </c>
      <c r="AD1689">
        <v>-1.0998336871759999</v>
      </c>
      <c r="AE1689">
        <v>-23.176030000000001</v>
      </c>
      <c r="AF1689">
        <v>2.6162825729856398</v>
      </c>
      <c r="AG1689">
        <v>-1.0998336871759999</v>
      </c>
      <c r="AH1689">
        <v>22.990712693574999</v>
      </c>
      <c r="AI1689">
        <v>92.721300539232601</v>
      </c>
      <c r="AJ1689">
        <v>83.507819254495701</v>
      </c>
      <c r="AK1689">
        <v>23.165220456530601</v>
      </c>
    </row>
    <row r="1690" spans="1:37" x14ac:dyDescent="0.2">
      <c r="A1690" t="str">
        <f>"20200111150623009"</f>
        <v>20200111150623009</v>
      </c>
      <c r="B1690" t="str">
        <f>"1578726382998648"</f>
        <v>1578726382998648</v>
      </c>
      <c r="C1690" t="s">
        <v>37</v>
      </c>
      <c r="D1690">
        <v>4.8462329999999998</v>
      </c>
      <c r="E1690">
        <v>0.55318159999999905</v>
      </c>
      <c r="F1690" t="s">
        <v>39</v>
      </c>
      <c r="G1690">
        <v>-419.7647</v>
      </c>
      <c r="H1690" s="1">
        <v>-1.924302E-6</v>
      </c>
      <c r="I1690">
        <v>84.021059999999906</v>
      </c>
      <c r="J1690">
        <v>-420.37360000000001</v>
      </c>
      <c r="K1690">
        <v>1.0992469999999901</v>
      </c>
      <c r="L1690">
        <v>106.1994</v>
      </c>
      <c r="M1690">
        <v>0.14306759999999999</v>
      </c>
      <c r="N1690">
        <v>0</v>
      </c>
      <c r="O1690">
        <v>-0.98961509999999997</v>
      </c>
      <c r="P1690">
        <v>0.1679398</v>
      </c>
      <c r="Q1690">
        <v>0.1650162</v>
      </c>
      <c r="R1690">
        <v>-0.97188799999999997</v>
      </c>
      <c r="S1690">
        <v>9.0667719999999993E-2</v>
      </c>
      <c r="T1690">
        <v>-0.151119899999999</v>
      </c>
      <c r="U1690">
        <v>-3.0984340000000001</v>
      </c>
      <c r="V1690">
        <v>-2.530835E-2</v>
      </c>
      <c r="W1690">
        <v>0.17899309999999999</v>
      </c>
      <c r="X1690">
        <v>0.98352469999999903</v>
      </c>
      <c r="Y1690">
        <v>0.1141045</v>
      </c>
      <c r="Z1690">
        <v>4.779481E-2</v>
      </c>
      <c r="AA1690">
        <v>0.99231840000000004</v>
      </c>
      <c r="AB1690">
        <v>37</v>
      </c>
      <c r="AC1690">
        <v>0.60890000000000499</v>
      </c>
      <c r="AD1690">
        <v>-1.0992489243019901</v>
      </c>
      <c r="AE1690">
        <v>-22.178339999999999</v>
      </c>
      <c r="AF1690">
        <v>2.56437921187079</v>
      </c>
      <c r="AG1690">
        <v>-1.0992489243019901</v>
      </c>
      <c r="AH1690">
        <v>21.983304045588</v>
      </c>
      <c r="AI1690">
        <v>92.843374598454801</v>
      </c>
      <c r="AJ1690">
        <v>83.346448163344107</v>
      </c>
      <c r="AK1690">
        <v>22.159649042812401</v>
      </c>
    </row>
    <row r="1691" spans="1:37" x14ac:dyDescent="0.2">
      <c r="A1691" t="str">
        <f>"20200111150623030"</f>
        <v>20200111150623030</v>
      </c>
      <c r="B1691" t="str">
        <f>"1578726383027929"</f>
        <v>1578726383027929</v>
      </c>
      <c r="C1691" t="s">
        <v>37</v>
      </c>
      <c r="D1691">
        <v>4.9030250000000004</v>
      </c>
      <c r="E1691">
        <v>0.55420930000000002</v>
      </c>
      <c r="F1691" t="s">
        <v>39</v>
      </c>
      <c r="G1691">
        <v>-419.87040000000002</v>
      </c>
      <c r="H1691" s="1">
        <v>-1.904487E-6</v>
      </c>
      <c r="I1691">
        <v>84.01858</v>
      </c>
      <c r="J1691">
        <v>-420.32690000000002</v>
      </c>
      <c r="K1691">
        <v>1.0987480000000001</v>
      </c>
      <c r="L1691">
        <v>105.8417</v>
      </c>
      <c r="M1691">
        <v>0.13717760000000001</v>
      </c>
      <c r="N1691">
        <v>0</v>
      </c>
      <c r="O1691">
        <v>-0.99044909999999997</v>
      </c>
      <c r="P1691">
        <v>0.1650131</v>
      </c>
      <c r="Q1691">
        <v>0.16523099999999999</v>
      </c>
      <c r="R1691">
        <v>-0.97235269999999996</v>
      </c>
      <c r="S1691">
        <v>7.0343020000000006E-2</v>
      </c>
      <c r="T1691">
        <v>-0.1536672</v>
      </c>
      <c r="U1691">
        <v>-3.1007229999999999</v>
      </c>
      <c r="V1691">
        <v>-2.7988550000000001E-2</v>
      </c>
      <c r="W1691">
        <v>0.17925260000000001</v>
      </c>
      <c r="X1691">
        <v>0.98340490000000003</v>
      </c>
      <c r="Y1691">
        <v>0.1147164</v>
      </c>
      <c r="Z1691">
        <v>4.8626799999999998E-2</v>
      </c>
      <c r="AA1691">
        <v>0.99220739999999996</v>
      </c>
      <c r="AB1691">
        <v>37</v>
      </c>
      <c r="AC1691">
        <v>0.45650000000000501</v>
      </c>
      <c r="AD1691">
        <v>-1.0987499044869999</v>
      </c>
      <c r="AE1691">
        <v>-21.823119999999999</v>
      </c>
      <c r="AF1691">
        <v>2.53532432823964</v>
      </c>
      <c r="AG1691">
        <v>-1.0987499044869999</v>
      </c>
      <c r="AH1691">
        <v>21.624609419843999</v>
      </c>
      <c r="AI1691">
        <v>92.888952570954302</v>
      </c>
      <c r="AJ1691">
        <v>83.313024567583</v>
      </c>
      <c r="AK1691">
        <v>21.800432412288899</v>
      </c>
    </row>
    <row r="1692" spans="1:37" x14ac:dyDescent="0.2">
      <c r="A1692" t="str">
        <f>"20200111150623054"</f>
        <v>20200111150623054</v>
      </c>
      <c r="B1692" t="str">
        <f>"1578726383048425"</f>
        <v>1578726383048425</v>
      </c>
      <c r="C1692" t="s">
        <v>37</v>
      </c>
      <c r="D1692">
        <v>4.9631249999999998</v>
      </c>
      <c r="E1692">
        <v>0.55474760000000001</v>
      </c>
      <c r="F1692" t="s">
        <v>39</v>
      </c>
      <c r="G1692">
        <v>-419.95960000000002</v>
      </c>
      <c r="H1692" s="1">
        <v>-1.815684E-6</v>
      </c>
      <c r="I1692">
        <v>83.846580000000003</v>
      </c>
      <c r="J1692">
        <v>-420.28140000000002</v>
      </c>
      <c r="K1692">
        <v>1.098295</v>
      </c>
      <c r="L1692">
        <v>105.47239999999999</v>
      </c>
      <c r="M1692">
        <v>0.13079649999999901</v>
      </c>
      <c r="N1692">
        <v>0</v>
      </c>
      <c r="O1692">
        <v>-0.99131209999999903</v>
      </c>
      <c r="P1692">
        <v>0.16285329999999901</v>
      </c>
      <c r="Q1692">
        <v>0.16517279999999901</v>
      </c>
      <c r="R1692">
        <v>-0.97272649999999905</v>
      </c>
      <c r="S1692">
        <v>5.181885E-2</v>
      </c>
      <c r="T1692">
        <v>-0.15499959999999999</v>
      </c>
      <c r="U1692">
        <v>-3.1028289999999998</v>
      </c>
      <c r="V1692">
        <v>-3.1948320000000002E-2</v>
      </c>
      <c r="W1692">
        <v>0.1792619</v>
      </c>
      <c r="X1692">
        <v>0.98328249999999995</v>
      </c>
      <c r="Y1692">
        <v>0.11425589999999999</v>
      </c>
      <c r="Z1692">
        <v>4.9082790000000001E-2</v>
      </c>
      <c r="AA1692">
        <v>0.99223809999999901</v>
      </c>
      <c r="AB1692">
        <v>37</v>
      </c>
      <c r="AC1692">
        <v>0.32179999999999598</v>
      </c>
      <c r="AD1692">
        <v>-1.0982968156840001</v>
      </c>
      <c r="AE1692">
        <v>-21.625819999999901</v>
      </c>
      <c r="AF1692">
        <v>2.5033636501903298</v>
      </c>
      <c r="AG1692">
        <v>-1.0982968156840001</v>
      </c>
      <c r="AH1692">
        <v>21.4268430767011</v>
      </c>
      <c r="AI1692">
        <v>92.914508683004996</v>
      </c>
      <c r="AJ1692">
        <v>83.336169499819505</v>
      </c>
      <c r="AK1692">
        <v>21.600525218012901</v>
      </c>
    </row>
    <row r="1693" spans="1:37" x14ac:dyDescent="0.2">
      <c r="A1693" t="str">
        <f>"20200111150623075"</f>
        <v>20200111150623075</v>
      </c>
      <c r="B1693" t="str">
        <f>"1578726383067944"</f>
        <v>1578726383067944</v>
      </c>
      <c r="C1693" t="s">
        <v>37</v>
      </c>
      <c r="D1693">
        <v>4.8884629999999998</v>
      </c>
      <c r="E1693">
        <v>0.55517419999999995</v>
      </c>
      <c r="F1693" t="s">
        <v>38</v>
      </c>
      <c r="G1693">
        <v>-420.2681</v>
      </c>
      <c r="H1693">
        <v>1.0452589999999999</v>
      </c>
      <c r="I1693">
        <v>104.4141</v>
      </c>
      <c r="J1693">
        <v>-420.23930000000001</v>
      </c>
      <c r="K1693">
        <v>1.0979079999999899</v>
      </c>
      <c r="L1693">
        <v>105.10850000000001</v>
      </c>
      <c r="M1693">
        <v>0.124248</v>
      </c>
      <c r="N1693">
        <v>0</v>
      </c>
      <c r="O1693">
        <v>-0.99215419999999999</v>
      </c>
      <c r="P1693">
        <v>0.16009079999999901</v>
      </c>
      <c r="Q1693">
        <v>0.16549249999999999</v>
      </c>
      <c r="R1693">
        <v>-0.97313090000000002</v>
      </c>
      <c r="S1693">
        <v>3.988647E-2</v>
      </c>
      <c r="T1693">
        <v>-0.15516569999999999</v>
      </c>
      <c r="U1693">
        <v>-3.10379</v>
      </c>
      <c r="V1693">
        <v>-3.5493919999999998E-2</v>
      </c>
      <c r="W1693">
        <v>0.17965029999999901</v>
      </c>
      <c r="X1693">
        <v>0.98308999999999902</v>
      </c>
      <c r="Y1693">
        <v>0.11151459999999901</v>
      </c>
      <c r="Z1693">
        <v>4.9192189999999997E-2</v>
      </c>
      <c r="AA1693">
        <v>0.99254449999999905</v>
      </c>
      <c r="AB1693">
        <v>37</v>
      </c>
      <c r="AC1693">
        <v>-2.8799999999989698E-2</v>
      </c>
      <c r="AD1693">
        <v>-5.2648999999999897E-2</v>
      </c>
      <c r="AE1693">
        <v>-0.69440000000000102</v>
      </c>
      <c r="AF1693">
        <v>0.114207503024721</v>
      </c>
      <c r="AG1693">
        <v>-5.2648999999999897E-2</v>
      </c>
      <c r="AH1693">
        <v>0.68152840807015003</v>
      </c>
      <c r="AI1693">
        <v>94.356891951631596</v>
      </c>
      <c r="AJ1693">
        <v>80.487017104655393</v>
      </c>
      <c r="AK1693">
        <v>0.69303408426626101</v>
      </c>
    </row>
    <row r="1694" spans="1:37" x14ac:dyDescent="0.2">
      <c r="A1694" t="str">
        <f>"20200111150623098"</f>
        <v>20200111150623098</v>
      </c>
      <c r="B1694" t="str">
        <f>"1578726383088440"</f>
        <v>1578726383088440</v>
      </c>
      <c r="C1694" t="s">
        <v>37</v>
      </c>
      <c r="D1694">
        <v>4.926876</v>
      </c>
      <c r="E1694">
        <v>0.55565379999999998</v>
      </c>
      <c r="F1694" t="s">
        <v>38</v>
      </c>
      <c r="G1694">
        <v>-420.23059999999998</v>
      </c>
      <c r="H1694">
        <v>1.0458559999999999</v>
      </c>
      <c r="I1694">
        <v>104.0882</v>
      </c>
      <c r="J1694">
        <v>-420.19940000000003</v>
      </c>
      <c r="K1694">
        <v>1.097575</v>
      </c>
      <c r="L1694">
        <v>104.74079999999999</v>
      </c>
      <c r="M1694">
        <v>0.1174405</v>
      </c>
      <c r="N1694">
        <v>0</v>
      </c>
      <c r="O1694">
        <v>-0.99298319999999995</v>
      </c>
      <c r="P1694">
        <v>0.1555021</v>
      </c>
      <c r="Q1694">
        <v>0.16514089999999901</v>
      </c>
      <c r="R1694">
        <v>-0.97393419999999897</v>
      </c>
      <c r="S1694">
        <v>2.6733400000000001E-2</v>
      </c>
      <c r="T1694">
        <v>-0.15833410000000001</v>
      </c>
      <c r="U1694">
        <v>-3.1053470000000001</v>
      </c>
      <c r="V1694">
        <v>-3.7465730000000003E-2</v>
      </c>
      <c r="W1694">
        <v>0.17934919999999999</v>
      </c>
      <c r="X1694">
        <v>0.98307180000000005</v>
      </c>
      <c r="Y1694">
        <v>0.10890899999999901</v>
      </c>
      <c r="Z1694">
        <v>5.0240710000000001E-2</v>
      </c>
      <c r="AA1694">
        <v>0.99278129999999998</v>
      </c>
      <c r="AB1694">
        <v>37</v>
      </c>
      <c r="AC1694">
        <v>-3.1199999999955701E-2</v>
      </c>
      <c r="AD1694">
        <v>-5.1719000000000001E-2</v>
      </c>
      <c r="AE1694">
        <v>-0.65259999999999196</v>
      </c>
      <c r="AF1694">
        <v>0.106962818101571</v>
      </c>
      <c r="AG1694">
        <v>-5.1719000000000001E-2</v>
      </c>
      <c r="AH1694">
        <v>0.64040558513821499</v>
      </c>
      <c r="AI1694">
        <v>94.554354515401997</v>
      </c>
      <c r="AJ1694">
        <v>80.517783347976703</v>
      </c>
      <c r="AK1694">
        <v>0.65133341146715995</v>
      </c>
    </row>
    <row r="1695" spans="1:37" x14ac:dyDescent="0.2">
      <c r="A1695" t="str">
        <f>"20200111150623120"</f>
        <v>20200111150623120</v>
      </c>
      <c r="B1695" t="str">
        <f>"1578726383118696"</f>
        <v>1578726383118696</v>
      </c>
      <c r="C1695" t="s">
        <v>37</v>
      </c>
      <c r="D1695">
        <v>4.9027289999999999</v>
      </c>
      <c r="E1695">
        <v>0.55633500000000002</v>
      </c>
      <c r="F1695" t="s">
        <v>38</v>
      </c>
      <c r="G1695">
        <v>-420.19699999999898</v>
      </c>
      <c r="H1695">
        <v>1.046252</v>
      </c>
      <c r="I1695">
        <v>103.76179999999999</v>
      </c>
      <c r="J1695">
        <v>-420.16230000000002</v>
      </c>
      <c r="K1695">
        <v>1.0973059999999999</v>
      </c>
      <c r="L1695">
        <v>104.3746</v>
      </c>
      <c r="M1695">
        <v>0.1105085</v>
      </c>
      <c r="N1695">
        <v>0</v>
      </c>
      <c r="O1695">
        <v>-0.99377850000000001</v>
      </c>
      <c r="P1695">
        <v>0.14939530000000001</v>
      </c>
      <c r="Q1695">
        <v>0.16531999999999999</v>
      </c>
      <c r="R1695">
        <v>-0.97485940000000004</v>
      </c>
      <c r="S1695">
        <v>8.4533690000000005E-3</v>
      </c>
      <c r="T1695">
        <v>-0.16260539999999901</v>
      </c>
      <c r="U1695">
        <v>-3.1065369999999999</v>
      </c>
      <c r="V1695">
        <v>-3.8052559999999999E-2</v>
      </c>
      <c r="W1695">
        <v>0.1795561</v>
      </c>
      <c r="X1695">
        <v>0.98301149999999904</v>
      </c>
      <c r="Y1695">
        <v>0.1078175</v>
      </c>
      <c r="Z1695">
        <v>5.1638910000000003E-2</v>
      </c>
      <c r="AA1695">
        <v>0.99282870000000001</v>
      </c>
      <c r="AB1695">
        <v>37</v>
      </c>
      <c r="AC1695">
        <v>-3.4699999999929697E-2</v>
      </c>
      <c r="AD1695">
        <v>-5.1053999999999898E-2</v>
      </c>
      <c r="AE1695">
        <v>-0.61280000000000701</v>
      </c>
      <c r="AF1695">
        <v>0.101511206844649</v>
      </c>
      <c r="AG1695">
        <v>-5.1053999999999898E-2</v>
      </c>
      <c r="AH1695">
        <v>0.60105240215879596</v>
      </c>
      <c r="AI1695">
        <v>94.787629318168996</v>
      </c>
      <c r="AJ1695">
        <v>80.413827380755905</v>
      </c>
      <c r="AK1695">
        <v>0.61169847651593501</v>
      </c>
    </row>
    <row r="1696" spans="1:37" x14ac:dyDescent="0.2">
      <c r="A1696" t="str">
        <f>"20200111150623142"</f>
        <v>20200111150623142</v>
      </c>
      <c r="B1696" t="str">
        <f>"1578726383138216"</f>
        <v>1578726383138216</v>
      </c>
      <c r="C1696" t="s">
        <v>37</v>
      </c>
      <c r="D1696">
        <v>5.0084720000000003</v>
      </c>
      <c r="E1696">
        <v>0.55665489999999995</v>
      </c>
      <c r="F1696" t="s">
        <v>39</v>
      </c>
      <c r="G1696">
        <v>-420.27409999999998</v>
      </c>
      <c r="H1696" s="1">
        <v>-1.595369E-6</v>
      </c>
      <c r="I1696">
        <v>83.137929999999997</v>
      </c>
      <c r="J1696">
        <v>-420.1293</v>
      </c>
      <c r="K1696">
        <v>1.097092</v>
      </c>
      <c r="L1696">
        <v>104.0241</v>
      </c>
      <c r="M1696">
        <v>0.1037637</v>
      </c>
      <c r="N1696">
        <v>0</v>
      </c>
      <c r="O1696">
        <v>-0.99450559999999999</v>
      </c>
      <c r="P1696">
        <v>0.1418066</v>
      </c>
      <c r="Q1696">
        <v>0.16486139999999999</v>
      </c>
      <c r="R1696">
        <v>-0.97606939999999998</v>
      </c>
      <c r="S1696">
        <v>-1.6357420000000001E-2</v>
      </c>
      <c r="T1696">
        <v>-0.1605444</v>
      </c>
      <c r="U1696">
        <v>-3.1070859999999998</v>
      </c>
      <c r="V1696">
        <v>-3.6981800000000002E-2</v>
      </c>
      <c r="W1696">
        <v>0.1790987</v>
      </c>
      <c r="X1696">
        <v>0.9831358</v>
      </c>
      <c r="Y1696">
        <v>0.109001</v>
      </c>
      <c r="Z1696">
        <v>5.1029720000000001E-2</v>
      </c>
      <c r="AA1696">
        <v>0.99273099999999903</v>
      </c>
      <c r="AB1696">
        <v>37</v>
      </c>
      <c r="AC1696">
        <v>-0.144799999999975</v>
      </c>
      <c r="AD1696">
        <v>-1.097093595369</v>
      </c>
      <c r="AE1696">
        <v>-20.88617</v>
      </c>
      <c r="AF1696">
        <v>2.30509255043127</v>
      </c>
      <c r="AG1696">
        <v>-1.097093595369</v>
      </c>
      <c r="AH1696">
        <v>20.701263479757301</v>
      </c>
      <c r="AI1696">
        <v>93.015035979847596</v>
      </c>
      <c r="AJ1696">
        <v>83.646269442776699</v>
      </c>
      <c r="AK1696">
        <v>20.858076989055998</v>
      </c>
    </row>
    <row r="1697" spans="1:37" x14ac:dyDescent="0.2">
      <c r="A1697" t="str">
        <f>"20200111150623164"</f>
        <v>20200111150623164</v>
      </c>
      <c r="B1697" t="str">
        <f>"1578726383158712"</f>
        <v>1578726383158712</v>
      </c>
      <c r="C1697" t="s">
        <v>37</v>
      </c>
      <c r="D1697">
        <v>4.8397290000000002</v>
      </c>
      <c r="E1697">
        <v>0.55692169999999996</v>
      </c>
      <c r="F1697" t="s">
        <v>39</v>
      </c>
      <c r="G1697">
        <v>-420.41320000000002</v>
      </c>
      <c r="H1697" s="1">
        <v>-1.647088E-6</v>
      </c>
      <c r="I1697">
        <v>83.172250000000005</v>
      </c>
      <c r="J1697">
        <v>-420.09640000000002</v>
      </c>
      <c r="K1697">
        <v>1.0968990000000001</v>
      </c>
      <c r="L1697">
        <v>103.64449999999999</v>
      </c>
      <c r="M1697">
        <v>9.6374059999999998E-2</v>
      </c>
      <c r="N1697">
        <v>0</v>
      </c>
      <c r="O1697">
        <v>-0.99524880000000004</v>
      </c>
      <c r="P1697">
        <v>0.13360179999999999</v>
      </c>
      <c r="Q1697">
        <v>0.16443459999999999</v>
      </c>
      <c r="R1697">
        <v>-0.97729849999999996</v>
      </c>
      <c r="S1697">
        <v>-4.2297359999999999E-2</v>
      </c>
      <c r="T1697">
        <v>-0.16348840000000001</v>
      </c>
      <c r="U1697">
        <v>-3.1073300000000001</v>
      </c>
      <c r="V1697">
        <v>-3.5945299999999999E-2</v>
      </c>
      <c r="W1697">
        <v>0.17867130000000001</v>
      </c>
      <c r="X1697">
        <v>0.98325200000000001</v>
      </c>
      <c r="Y1697">
        <v>0.109903</v>
      </c>
      <c r="Z1697">
        <v>5.201273E-2</v>
      </c>
      <c r="AA1697">
        <v>0.99258049999999998</v>
      </c>
      <c r="AB1697">
        <v>37</v>
      </c>
      <c r="AC1697">
        <v>-0.31680000000000003</v>
      </c>
      <c r="AD1697">
        <v>-1.0969006470880001</v>
      </c>
      <c r="AE1697">
        <v>-20.472249999999899</v>
      </c>
      <c r="AF1697">
        <v>2.2819587381678201</v>
      </c>
      <c r="AG1697">
        <v>-1.0969006470880001</v>
      </c>
      <c r="AH1697">
        <v>20.288173524256401</v>
      </c>
      <c r="AI1697">
        <v>93.075386388146796</v>
      </c>
      <c r="AJ1697">
        <v>83.582498306283597</v>
      </c>
      <c r="AK1697">
        <v>20.445549923213601</v>
      </c>
    </row>
    <row r="1698" spans="1:37" x14ac:dyDescent="0.2">
      <c r="A1698" t="str">
        <f>"20200111150623187"</f>
        <v>20200111150623187</v>
      </c>
      <c r="B1698" t="str">
        <f>"1578726383178232"</f>
        <v>1578726383178232</v>
      </c>
      <c r="C1698" t="s">
        <v>37</v>
      </c>
      <c r="D1698">
        <v>4.766934</v>
      </c>
      <c r="E1698">
        <v>0.55709659999999905</v>
      </c>
      <c r="F1698" t="s">
        <v>39</v>
      </c>
      <c r="G1698">
        <v>-420.55380000000002</v>
      </c>
      <c r="H1698" s="1">
        <v>-1.659572E-6</v>
      </c>
      <c r="I1698">
        <v>83.114140000000006</v>
      </c>
      <c r="J1698">
        <v>-420.06720000000001</v>
      </c>
      <c r="K1698">
        <v>1.0967559999999901</v>
      </c>
      <c r="L1698">
        <v>103.276</v>
      </c>
      <c r="M1698">
        <v>8.914147E-2</v>
      </c>
      <c r="N1698">
        <v>0</v>
      </c>
      <c r="O1698">
        <v>-0.99592259999999999</v>
      </c>
      <c r="P1698">
        <v>0.1265937</v>
      </c>
      <c r="Q1698">
        <v>0.16346440000000001</v>
      </c>
      <c r="R1698">
        <v>-0.97839330000000002</v>
      </c>
      <c r="S1698">
        <v>-6.9213869999999997E-2</v>
      </c>
      <c r="T1698">
        <v>-0.1660044</v>
      </c>
      <c r="U1698">
        <v>-3.107056</v>
      </c>
      <c r="V1698">
        <v>-3.5983050000000003E-2</v>
      </c>
      <c r="W1698">
        <v>0.1777146</v>
      </c>
      <c r="X1698">
        <v>0.98342399999999996</v>
      </c>
      <c r="Y1698">
        <v>0.111278399999999</v>
      </c>
      <c r="Z1698">
        <v>5.2861249999999999E-2</v>
      </c>
      <c r="AA1698">
        <v>0.9923824</v>
      </c>
      <c r="AB1698">
        <v>37</v>
      </c>
      <c r="AC1698">
        <v>-0.48660000000000903</v>
      </c>
      <c r="AD1698">
        <v>-1.0967576595720001</v>
      </c>
      <c r="AE1698">
        <v>-20.161860000000001</v>
      </c>
      <c r="AF1698">
        <v>2.2753637190067502</v>
      </c>
      <c r="AG1698">
        <v>-1.0967576595720001</v>
      </c>
      <c r="AH1698">
        <v>19.979113434057599</v>
      </c>
      <c r="AI1698">
        <v>93.121969373181699</v>
      </c>
      <c r="AJ1698">
        <v>83.502742503268806</v>
      </c>
      <c r="AK1698">
        <v>20.138151132329501</v>
      </c>
    </row>
    <row r="1699" spans="1:37" x14ac:dyDescent="0.2">
      <c r="A1699" t="str">
        <f>"20200111150623210"</f>
        <v>20200111150623210</v>
      </c>
      <c r="B1699" t="str">
        <f>"1578726383197752"</f>
        <v>1578726383197752</v>
      </c>
      <c r="C1699" t="s">
        <v>37</v>
      </c>
      <c r="D1699">
        <v>5.1174749999999998</v>
      </c>
      <c r="E1699">
        <v>0.55705519999999997</v>
      </c>
      <c r="F1699" t="s">
        <v>39</v>
      </c>
      <c r="G1699">
        <v>-420.66019999999997</v>
      </c>
      <c r="H1699" s="1">
        <v>-1.833758E-6</v>
      </c>
      <c r="I1699">
        <v>83.454160000000002</v>
      </c>
      <c r="J1699">
        <v>-420.04</v>
      </c>
      <c r="K1699">
        <v>1.0966389999999999</v>
      </c>
      <c r="L1699">
        <v>102.899</v>
      </c>
      <c r="M1699">
        <v>8.1705970000000003E-2</v>
      </c>
      <c r="N1699">
        <v>0</v>
      </c>
      <c r="O1699">
        <v>-0.99656029999999995</v>
      </c>
      <c r="P1699">
        <v>0.1201903</v>
      </c>
      <c r="Q1699">
        <v>0.16212550000000001</v>
      </c>
      <c r="R1699">
        <v>-0.97942320000000005</v>
      </c>
      <c r="S1699">
        <v>-9.2956540000000004E-2</v>
      </c>
      <c r="T1699">
        <v>-0.1719145</v>
      </c>
      <c r="U1699">
        <v>-3.1070250000000001</v>
      </c>
      <c r="V1699">
        <v>-3.6847199999999997E-2</v>
      </c>
      <c r="W1699">
        <v>0.1764019</v>
      </c>
      <c r="X1699">
        <v>0.98362830000000001</v>
      </c>
      <c r="Y1699">
        <v>0.1114366</v>
      </c>
      <c r="Z1699">
        <v>5.4784960000000001E-2</v>
      </c>
      <c r="AA1699">
        <v>0.99226029999999998</v>
      </c>
      <c r="AB1699">
        <v>37</v>
      </c>
      <c r="AC1699">
        <v>-0.62019999999995401</v>
      </c>
      <c r="AD1699">
        <v>-1.09664083375799</v>
      </c>
      <c r="AE1699">
        <v>-19.444839999999999</v>
      </c>
      <c r="AF1699">
        <v>2.2000472334201802</v>
      </c>
      <c r="AG1699">
        <v>-1.09664083375799</v>
      </c>
      <c r="AH1699">
        <v>19.267911563623802</v>
      </c>
      <c r="AI1699">
        <v>93.236513084068605</v>
      </c>
      <c r="AJ1699">
        <v>83.486068334411002</v>
      </c>
      <c r="AK1699">
        <v>19.424089295799</v>
      </c>
    </row>
    <row r="1700" spans="1:37" x14ac:dyDescent="0.2">
      <c r="A1700" t="str">
        <f>"20200111150623231"</f>
        <v>20200111150623231</v>
      </c>
      <c r="B1700" t="str">
        <f>"1578726383228008"</f>
        <v>1578726383228008</v>
      </c>
      <c r="C1700" t="s">
        <v>37</v>
      </c>
      <c r="D1700">
        <v>4.6140099999999897</v>
      </c>
      <c r="E1700">
        <v>0.5570406</v>
      </c>
      <c r="F1700" t="s">
        <v>39</v>
      </c>
      <c r="G1700">
        <v>-420.75369999999998</v>
      </c>
      <c r="H1700" s="1">
        <v>-1.8218989999999901E-6</v>
      </c>
      <c r="I1700">
        <v>83.368519999999904</v>
      </c>
      <c r="J1700">
        <v>-420.01780000000002</v>
      </c>
      <c r="K1700">
        <v>1.096562</v>
      </c>
      <c r="L1700">
        <v>102.5547</v>
      </c>
      <c r="M1700">
        <v>7.4892509999999995E-2</v>
      </c>
      <c r="N1700">
        <v>0</v>
      </c>
      <c r="O1700">
        <v>-0.99709530000000002</v>
      </c>
      <c r="P1700">
        <v>0.114588</v>
      </c>
      <c r="Q1700">
        <v>0.16171459999999999</v>
      </c>
      <c r="R1700">
        <v>-0.98016209999999904</v>
      </c>
      <c r="S1700">
        <v>-0.113494899999999</v>
      </c>
      <c r="T1700">
        <v>-0.1743932</v>
      </c>
      <c r="U1700">
        <v>-3.1058349999999999</v>
      </c>
      <c r="V1700">
        <v>-3.7915480000000001E-2</v>
      </c>
      <c r="W1700">
        <v>0.1760166</v>
      </c>
      <c r="X1700">
        <v>0.9836568</v>
      </c>
      <c r="Y1700">
        <v>0.11120819999999999</v>
      </c>
      <c r="Z1700">
        <v>5.563324E-2</v>
      </c>
      <c r="AA1700">
        <v>0.99223869999999903</v>
      </c>
      <c r="AB1700">
        <v>36</v>
      </c>
      <c r="AC1700">
        <v>-0.73589999999995803</v>
      </c>
      <c r="AD1700">
        <v>-1.0965638218989999</v>
      </c>
      <c r="AE1700">
        <v>-19.18618</v>
      </c>
      <c r="AF1700">
        <v>2.1638142551344899</v>
      </c>
      <c r="AG1700">
        <v>-1.0965638218989999</v>
      </c>
      <c r="AH1700">
        <v>19.015145821620902</v>
      </c>
      <c r="AI1700">
        <v>93.279355267973799</v>
      </c>
      <c r="AJ1700">
        <v>83.507995576508094</v>
      </c>
      <c r="AK1700">
        <v>19.1692544185664</v>
      </c>
    </row>
    <row r="1701" spans="1:37" x14ac:dyDescent="0.2">
      <c r="A1701" t="str">
        <f>"20200111150623254"</f>
        <v>20200111150623254</v>
      </c>
      <c r="B1701" t="str">
        <f>"1578726383248504"</f>
        <v>1578726383248504</v>
      </c>
      <c r="C1701" t="s">
        <v>37</v>
      </c>
      <c r="D1701">
        <v>4.5788589999999996</v>
      </c>
      <c r="E1701">
        <v>0.55667330000000004</v>
      </c>
      <c r="F1701" t="s">
        <v>39</v>
      </c>
      <c r="G1701">
        <v>-420.8263</v>
      </c>
      <c r="H1701" s="1">
        <v>-1.8524369999999901E-6</v>
      </c>
      <c r="I1701">
        <v>83.394669999999905</v>
      </c>
      <c r="J1701">
        <v>-419.99680000000001</v>
      </c>
      <c r="K1701">
        <v>1.0964879999999999</v>
      </c>
      <c r="L1701">
        <v>102.1892</v>
      </c>
      <c r="M1701">
        <v>6.7648109999999997E-2</v>
      </c>
      <c r="N1701">
        <v>0</v>
      </c>
      <c r="O1701">
        <v>-0.99761330000000004</v>
      </c>
      <c r="P1701">
        <v>0.108506899999999</v>
      </c>
      <c r="Q1701">
        <v>0.16247909999999999</v>
      </c>
      <c r="R1701">
        <v>-0.98072800000000004</v>
      </c>
      <c r="S1701">
        <v>-0.13104250000000001</v>
      </c>
      <c r="T1701">
        <v>-0.17772479999999999</v>
      </c>
      <c r="U1701">
        <v>-3.1053470000000001</v>
      </c>
      <c r="V1701">
        <v>-3.8928659999999997E-2</v>
      </c>
      <c r="W1701">
        <v>0.17680279999999901</v>
      </c>
      <c r="X1701">
        <v>0.98347619999999902</v>
      </c>
      <c r="Y1701">
        <v>0.10959089999999901</v>
      </c>
      <c r="Z1701">
        <v>5.6744700000000002E-2</v>
      </c>
      <c r="AA1701">
        <v>0.99235569999999895</v>
      </c>
      <c r="AB1701">
        <v>36</v>
      </c>
      <c r="AC1701">
        <v>-0.82949999999999502</v>
      </c>
      <c r="AD1701">
        <v>-1.0964898524369999</v>
      </c>
      <c r="AE1701">
        <v>-18.794530000000002</v>
      </c>
      <c r="AF1701">
        <v>2.09202888699018</v>
      </c>
      <c r="AG1701">
        <v>-1.0964898524369999</v>
      </c>
      <c r="AH1701">
        <v>18.632054657142501</v>
      </c>
      <c r="AI1701">
        <v>93.346968592029299</v>
      </c>
      <c r="AJ1701">
        <v>83.593594933344903</v>
      </c>
      <c r="AK1701">
        <v>18.7811697081743</v>
      </c>
    </row>
    <row r="1702" spans="1:37" x14ac:dyDescent="0.2">
      <c r="A1702" t="str">
        <f>"20200111150623277"</f>
        <v>20200111150623277</v>
      </c>
      <c r="B1702" t="str">
        <f>"1578726383268024"</f>
        <v>1578726383268024</v>
      </c>
      <c r="C1702" t="s">
        <v>37</v>
      </c>
      <c r="D1702">
        <v>4.4766760000000003</v>
      </c>
      <c r="E1702">
        <v>0.55642369999999997</v>
      </c>
      <c r="F1702" t="s">
        <v>38</v>
      </c>
      <c r="G1702">
        <v>-420.04649999999998</v>
      </c>
      <c r="H1702">
        <v>1.037369</v>
      </c>
      <c r="I1702">
        <v>101.1481</v>
      </c>
      <c r="J1702">
        <v>-419.97789999999998</v>
      </c>
      <c r="K1702">
        <v>1.096428</v>
      </c>
      <c r="L1702">
        <v>101.8066</v>
      </c>
      <c r="M1702">
        <v>6.005477E-2</v>
      </c>
      <c r="N1702">
        <v>0</v>
      </c>
      <c r="O1702">
        <v>-0.99809910000000002</v>
      </c>
      <c r="P1702">
        <v>0.1026242</v>
      </c>
      <c r="Q1702">
        <v>0.1628029</v>
      </c>
      <c r="R1702">
        <v>-0.98130729999999999</v>
      </c>
      <c r="S1702">
        <v>-0.14758299999999999</v>
      </c>
      <c r="T1702">
        <v>-0.1760409</v>
      </c>
      <c r="U1702">
        <v>-3.1044619999999998</v>
      </c>
      <c r="V1702">
        <v>-4.0491819999999998E-2</v>
      </c>
      <c r="W1702">
        <v>0.1771585</v>
      </c>
      <c r="X1702">
        <v>0.98334900000000003</v>
      </c>
      <c r="Y1702">
        <v>0.1073168</v>
      </c>
      <c r="Z1702">
        <v>5.6266330000000003E-2</v>
      </c>
      <c r="AA1702">
        <v>0.99263140000000005</v>
      </c>
      <c r="AB1702">
        <v>36</v>
      </c>
      <c r="AC1702">
        <v>-6.8600000000003505E-2</v>
      </c>
      <c r="AD1702">
        <v>-5.9058999999999903E-2</v>
      </c>
      <c r="AE1702">
        <v>-0.65850000000000297</v>
      </c>
      <c r="AF1702">
        <v>0.10717319126809099</v>
      </c>
      <c r="AG1702">
        <v>-5.9058999999999903E-2</v>
      </c>
      <c r="AH1702">
        <v>0.64803439498559601</v>
      </c>
      <c r="AI1702">
        <v>95.137891378933105</v>
      </c>
      <c r="AJ1702">
        <v>80.609312148314899</v>
      </c>
      <c r="AK1702">
        <v>0.659486645423495</v>
      </c>
    </row>
    <row r="1703" spans="1:37" x14ac:dyDescent="0.2">
      <c r="A1703" t="str">
        <f>"20200111150623300"</f>
        <v>20200111150623300</v>
      </c>
      <c r="B1703" t="str">
        <f>"1578726383288521"</f>
        <v>1578726383288521</v>
      </c>
      <c r="C1703" t="s">
        <v>37</v>
      </c>
      <c r="D1703">
        <v>4.4473709999999897</v>
      </c>
      <c r="E1703">
        <v>0.55612249999999996</v>
      </c>
      <c r="F1703" t="s">
        <v>38</v>
      </c>
      <c r="G1703">
        <v>-420.03039999999999</v>
      </c>
      <c r="H1703">
        <v>1.0412349999999999</v>
      </c>
      <c r="I1703">
        <v>100.818</v>
      </c>
      <c r="J1703">
        <v>-419.96230000000003</v>
      </c>
      <c r="K1703">
        <v>1.0963860000000001</v>
      </c>
      <c r="L1703">
        <v>101.4383</v>
      </c>
      <c r="M1703">
        <v>5.2738050000000002E-2</v>
      </c>
      <c r="N1703">
        <v>0</v>
      </c>
      <c r="O1703">
        <v>-0.99851229999999902</v>
      </c>
      <c r="P1703">
        <v>9.6155760000000007E-2</v>
      </c>
      <c r="Q1703">
        <v>0.16351869999999999</v>
      </c>
      <c r="R1703">
        <v>-0.98184309999999997</v>
      </c>
      <c r="S1703">
        <v>-0.16458129999999899</v>
      </c>
      <c r="T1703">
        <v>-0.17314979999999999</v>
      </c>
      <c r="U1703">
        <v>-3.1030880000000001</v>
      </c>
      <c r="V1703">
        <v>-4.1196660000000003E-2</v>
      </c>
      <c r="W1703">
        <v>0.17788960000000001</v>
      </c>
      <c r="X1703">
        <v>0.9831877</v>
      </c>
      <c r="Y1703">
        <v>0.105477099999999</v>
      </c>
      <c r="Z1703">
        <v>5.540196E-2</v>
      </c>
      <c r="AA1703">
        <v>0.99287719999999902</v>
      </c>
      <c r="AB1703">
        <v>36</v>
      </c>
      <c r="AC1703">
        <v>-6.8099999999958499E-2</v>
      </c>
      <c r="AD1703">
        <v>-5.5150999999999901E-2</v>
      </c>
      <c r="AE1703">
        <v>-0.62029999999999996</v>
      </c>
      <c r="AF1703">
        <v>9.9941135686704194E-2</v>
      </c>
      <c r="AG1703">
        <v>-5.5150999999999901E-2</v>
      </c>
      <c r="AH1703">
        <v>0.61107179790284705</v>
      </c>
      <c r="AI1703">
        <v>95.089875263583295</v>
      </c>
      <c r="AJ1703">
        <v>80.711479359456106</v>
      </c>
      <c r="AK1703">
        <v>0.62164186280813405</v>
      </c>
    </row>
    <row r="1704" spans="1:37" x14ac:dyDescent="0.2">
      <c r="A1704" t="str">
        <f>"20200111150623321"</f>
        <v>20200111150623321</v>
      </c>
      <c r="B1704" t="str">
        <f>"1578726383318776"</f>
        <v>1578726383318776</v>
      </c>
      <c r="C1704" t="s">
        <v>37</v>
      </c>
      <c r="D1704">
        <v>4.4204330000000001</v>
      </c>
      <c r="E1704">
        <v>0.55570140000000001</v>
      </c>
      <c r="F1704" t="s">
        <v>38</v>
      </c>
      <c r="G1704">
        <v>-420.01819999999998</v>
      </c>
      <c r="H1704">
        <v>1.0436729999999901</v>
      </c>
      <c r="I1704">
        <v>100.48909999999999</v>
      </c>
      <c r="J1704">
        <v>-419.9495</v>
      </c>
      <c r="K1704">
        <v>1.096347</v>
      </c>
      <c r="L1704">
        <v>101.07089999999999</v>
      </c>
      <c r="M1704">
        <v>4.5434380000000003E-2</v>
      </c>
      <c r="N1704">
        <v>0</v>
      </c>
      <c r="O1704">
        <v>-0.99887130000000002</v>
      </c>
      <c r="P1704">
        <v>8.9106790000000005E-2</v>
      </c>
      <c r="Q1704">
        <v>0.16354399999999999</v>
      </c>
      <c r="R1704">
        <v>-0.98250380000000004</v>
      </c>
      <c r="S1704">
        <v>-0.18130489999999999</v>
      </c>
      <c r="T1704">
        <v>-0.1716212</v>
      </c>
      <c r="U1704">
        <v>-3.101807</v>
      </c>
      <c r="V1704">
        <v>-4.1316909999999998E-2</v>
      </c>
      <c r="W1704">
        <v>0.17792149999999901</v>
      </c>
      <c r="X1704">
        <v>0.98317690000000002</v>
      </c>
      <c r="Y1704">
        <v>0.1035644</v>
      </c>
      <c r="Z1704">
        <v>5.4964010000000001E-2</v>
      </c>
      <c r="AA1704">
        <v>0.99310290000000001</v>
      </c>
      <c r="AB1704">
        <v>36</v>
      </c>
      <c r="AC1704">
        <v>-6.8699999999978403E-2</v>
      </c>
      <c r="AD1704">
        <v>-5.2674000000000103E-2</v>
      </c>
      <c r="AE1704">
        <v>-0.58180000000000098</v>
      </c>
      <c r="AF1704">
        <v>9.4302945731683699E-2</v>
      </c>
      <c r="AG1704">
        <v>-5.2674000000000103E-2</v>
      </c>
      <c r="AH1704">
        <v>0.57344167535425905</v>
      </c>
      <c r="AI1704">
        <v>95.179049500792203</v>
      </c>
      <c r="AJ1704">
        <v>80.661250128357196</v>
      </c>
      <c r="AK1704">
        <v>0.58352630693291996</v>
      </c>
    </row>
    <row r="1705" spans="1:37" x14ac:dyDescent="0.2">
      <c r="A1705" t="str">
        <f>"20200111150623344"</f>
        <v>20200111150623344</v>
      </c>
      <c r="B1705" t="str">
        <f>"1578726383338297"</f>
        <v>1578726383338297</v>
      </c>
      <c r="C1705" t="s">
        <v>37</v>
      </c>
      <c r="D1705">
        <v>4.4152170000000002</v>
      </c>
      <c r="E1705">
        <v>0.55607320000000005</v>
      </c>
      <c r="F1705" t="s">
        <v>38</v>
      </c>
      <c r="G1705">
        <v>-420.00790000000001</v>
      </c>
      <c r="H1705">
        <v>1.045642</v>
      </c>
      <c r="I1705">
        <v>100.16079999999999</v>
      </c>
      <c r="J1705">
        <v>-419.93970000000002</v>
      </c>
      <c r="K1705">
        <v>1.096319</v>
      </c>
      <c r="L1705">
        <v>100.7157</v>
      </c>
      <c r="M1705">
        <v>3.837115E-2</v>
      </c>
      <c r="N1705">
        <v>0</v>
      </c>
      <c r="O1705">
        <v>-0.99916749999999899</v>
      </c>
      <c r="P1705">
        <v>8.3102759999999998E-2</v>
      </c>
      <c r="Q1705">
        <v>0.1630202</v>
      </c>
      <c r="R1705">
        <v>-0.98311689999999996</v>
      </c>
      <c r="S1705">
        <v>-0.19845579999999999</v>
      </c>
      <c r="T1705">
        <v>-0.1725255</v>
      </c>
      <c r="U1705">
        <v>-3.1001590000000001</v>
      </c>
      <c r="V1705">
        <v>-4.2259360000000003E-2</v>
      </c>
      <c r="W1705">
        <v>0.17741850000000001</v>
      </c>
      <c r="X1705">
        <v>0.98322779999999999</v>
      </c>
      <c r="Y1705">
        <v>0.1020354</v>
      </c>
      <c r="Z1705">
        <v>5.5301709999999997E-2</v>
      </c>
      <c r="AA1705">
        <v>0.99324239999999997</v>
      </c>
      <c r="AB1705">
        <v>36</v>
      </c>
      <c r="AC1705">
        <v>-6.8199999999990199E-2</v>
      </c>
      <c r="AD1705">
        <v>-5.0677E-2</v>
      </c>
      <c r="AE1705">
        <v>-0.55490000000000295</v>
      </c>
      <c r="AF1705">
        <v>8.8715042475614805E-2</v>
      </c>
      <c r="AG1705">
        <v>-5.0677E-2</v>
      </c>
      <c r="AH1705">
        <v>0.54737664465793001</v>
      </c>
      <c r="AI1705">
        <v>95.221703644982597</v>
      </c>
      <c r="AJ1705">
        <v>80.793944358670501</v>
      </c>
      <c r="AK1705">
        <v>0.55683005325451296</v>
      </c>
    </row>
    <row r="1706" spans="1:37" x14ac:dyDescent="0.2">
      <c r="A1706" t="str">
        <f>"20200111150623367"</f>
        <v>20200111150623367</v>
      </c>
      <c r="B1706" t="str">
        <f>"1578726383357817"</f>
        <v>1578726383357817</v>
      </c>
      <c r="C1706" t="s">
        <v>37</v>
      </c>
      <c r="D1706">
        <v>4.4012890000000002</v>
      </c>
      <c r="E1706">
        <v>0.59882760000000002</v>
      </c>
      <c r="F1706" t="s">
        <v>38</v>
      </c>
      <c r="G1706">
        <v>-420.00290000000001</v>
      </c>
      <c r="H1706">
        <v>1.0468949999999999</v>
      </c>
      <c r="I1706">
        <v>99.832930000000005</v>
      </c>
      <c r="J1706">
        <v>-419.93180000000001</v>
      </c>
      <c r="K1706">
        <v>1.096298</v>
      </c>
      <c r="L1706">
        <v>100.32680000000001</v>
      </c>
      <c r="M1706">
        <v>3.063693E-2</v>
      </c>
      <c r="N1706">
        <v>0</v>
      </c>
      <c r="O1706">
        <v>-0.999434499999999</v>
      </c>
      <c r="P1706">
        <v>7.6409169999999998E-2</v>
      </c>
      <c r="Q1706">
        <v>0.161636</v>
      </c>
      <c r="R1706">
        <v>-0.98388799999999899</v>
      </c>
      <c r="S1706">
        <v>-0.22100829999999999</v>
      </c>
      <c r="T1706">
        <v>-0.1732543</v>
      </c>
      <c r="U1706">
        <v>-3.098938</v>
      </c>
      <c r="V1706">
        <v>-4.3188999999999998E-2</v>
      </c>
      <c r="W1706">
        <v>0.1760555</v>
      </c>
      <c r="X1706">
        <v>0.98343239999999998</v>
      </c>
      <c r="Y1706">
        <v>0.10155549999999899</v>
      </c>
      <c r="Z1706">
        <v>5.5566459999999998E-2</v>
      </c>
      <c r="AA1706">
        <v>0.99327679999999996</v>
      </c>
      <c r="AB1706">
        <v>36</v>
      </c>
      <c r="AC1706">
        <v>-7.1100000000001204E-2</v>
      </c>
      <c r="AD1706">
        <v>-4.9402999999999801E-2</v>
      </c>
      <c r="AE1706">
        <v>-0.49387000000000097</v>
      </c>
      <c r="AF1706">
        <v>8.5361903393022104E-2</v>
      </c>
      <c r="AG1706">
        <v>-4.9402999999999801E-2</v>
      </c>
      <c r="AH1706">
        <v>0.48668847542107602</v>
      </c>
      <c r="AI1706">
        <v>95.7095859798237</v>
      </c>
      <c r="AJ1706">
        <v>80.051890492998993</v>
      </c>
      <c r="AK1706">
        <v>0.49658129552729902</v>
      </c>
    </row>
    <row r="1707" spans="1:37" x14ac:dyDescent="0.2">
      <c r="A1707" t="str">
        <f>"20200111150623391"</f>
        <v>20200111150623391</v>
      </c>
      <c r="B1707" t="str">
        <f>"1578726383378312"</f>
        <v>1578726383378312</v>
      </c>
      <c r="C1707" t="s">
        <v>37</v>
      </c>
      <c r="D1707">
        <v>4.4035289999999998</v>
      </c>
      <c r="E1707">
        <v>0.59793869999999905</v>
      </c>
      <c r="F1707" t="s">
        <v>39</v>
      </c>
      <c r="G1707">
        <v>-425.40480000000002</v>
      </c>
      <c r="H1707" s="1">
        <v>-2.0325189999999999E-6</v>
      </c>
      <c r="I1707">
        <v>70.974789999999999</v>
      </c>
      <c r="J1707">
        <v>-419.926999999999</v>
      </c>
      <c r="K1707">
        <v>1.0962860000000001</v>
      </c>
      <c r="L1707">
        <v>99.953090000000003</v>
      </c>
      <c r="M1707">
        <v>2.321266E-2</v>
      </c>
      <c r="N1707">
        <v>0</v>
      </c>
      <c r="O1707">
        <v>-0.99963469999999999</v>
      </c>
      <c r="P1707">
        <v>6.9461490000000001E-2</v>
      </c>
      <c r="Q1707">
        <v>0.1597452</v>
      </c>
      <c r="R1707">
        <v>-0.98471180000000003</v>
      </c>
      <c r="S1707">
        <v>-0.58050539999999995</v>
      </c>
      <c r="T1707">
        <v>-0.1162825</v>
      </c>
      <c r="U1707">
        <v>-3.1133120000000001</v>
      </c>
      <c r="V1707">
        <v>-4.357519E-2</v>
      </c>
      <c r="W1707">
        <v>0.1741762</v>
      </c>
      <c r="X1707">
        <v>0.98374989999999995</v>
      </c>
      <c r="Y1707">
        <v>0.2059491</v>
      </c>
      <c r="Z1707">
        <v>3.6593970000000003E-2</v>
      </c>
      <c r="AA1707">
        <v>0.97787819999999903</v>
      </c>
      <c r="AB1707">
        <v>36</v>
      </c>
      <c r="AC1707">
        <v>-5.47780000000005</v>
      </c>
      <c r="AD1707">
        <v>-1.0962880325190001</v>
      </c>
      <c r="AE1707">
        <v>-28.978300000000001</v>
      </c>
      <c r="AF1707">
        <v>6.1405663696888801</v>
      </c>
      <c r="AG1707">
        <v>-1.0962880325190001</v>
      </c>
      <c r="AH1707">
        <v>28.803522121186798</v>
      </c>
      <c r="AI1707">
        <v>92.131816307766201</v>
      </c>
      <c r="AJ1707">
        <v>77.965387521213103</v>
      </c>
      <c r="AK1707">
        <v>29.4711942305787</v>
      </c>
    </row>
    <row r="1708" spans="1:37" x14ac:dyDescent="0.2">
      <c r="A1708" t="str">
        <f>"20200111150623414"</f>
        <v>20200111150623414</v>
      </c>
      <c r="B1708" t="str">
        <f>"1578726383408568"</f>
        <v>1578726383408568</v>
      </c>
      <c r="C1708" t="s">
        <v>37</v>
      </c>
      <c r="D1708">
        <v>4.3705470000000002</v>
      </c>
      <c r="E1708">
        <v>0.596522</v>
      </c>
      <c r="F1708" t="s">
        <v>39</v>
      </c>
      <c r="G1708">
        <v>-425.6379</v>
      </c>
      <c r="H1708" s="1">
        <v>-1.713172E-6</v>
      </c>
      <c r="I1708">
        <v>70.085750000000004</v>
      </c>
      <c r="J1708">
        <v>-419.92500000000001</v>
      </c>
      <c r="K1708">
        <v>1.096285</v>
      </c>
      <c r="L1708">
        <v>99.573089999999993</v>
      </c>
      <c r="M1708">
        <v>1.568311E-2</v>
      </c>
      <c r="N1708">
        <v>0</v>
      </c>
      <c r="O1708">
        <v>-0.99978099999999903</v>
      </c>
      <c r="P1708">
        <v>6.3329109999999994E-2</v>
      </c>
      <c r="Q1708">
        <v>0.1587665</v>
      </c>
      <c r="R1708">
        <v>-0.98528289999999996</v>
      </c>
      <c r="S1708">
        <v>-0.59408570000000005</v>
      </c>
      <c r="T1708">
        <v>-0.114041899999999</v>
      </c>
      <c r="U1708">
        <v>-3.1069640000000001</v>
      </c>
      <c r="V1708">
        <v>-4.4879849999999999E-2</v>
      </c>
      <c r="W1708">
        <v>0.17322109999999999</v>
      </c>
      <c r="X1708">
        <v>0.98385990000000001</v>
      </c>
      <c r="Y1708">
        <v>0.20306930000000001</v>
      </c>
      <c r="Z1708">
        <v>3.596626E-2</v>
      </c>
      <c r="AA1708">
        <v>0.97850360000000003</v>
      </c>
      <c r="AB1708">
        <v>36</v>
      </c>
      <c r="AC1708">
        <v>-5.7128999999999897</v>
      </c>
      <c r="AD1708">
        <v>-1.096286713172</v>
      </c>
      <c r="AE1708">
        <v>-29.48734</v>
      </c>
      <c r="AF1708">
        <v>6.1664797729097698</v>
      </c>
      <c r="AG1708">
        <v>-1.096286713172</v>
      </c>
      <c r="AH1708">
        <v>29.3550009301165</v>
      </c>
      <c r="AI1708">
        <v>92.093122440946999</v>
      </c>
      <c r="AJ1708">
        <v>78.136613805970498</v>
      </c>
      <c r="AK1708">
        <v>30.015719164369902</v>
      </c>
    </row>
    <row r="1709" spans="1:37" x14ac:dyDescent="0.2">
      <c r="A1709" t="str">
        <f>"20200111150623435"</f>
        <v>20200111150623435</v>
      </c>
      <c r="B1709" t="str">
        <f>"1578726383428088"</f>
        <v>1578726383428088</v>
      </c>
      <c r="C1709" t="s">
        <v>37</v>
      </c>
      <c r="D1709">
        <v>4.3718940000000002</v>
      </c>
      <c r="E1709">
        <v>0.59609449999999997</v>
      </c>
      <c r="F1709" t="s">
        <v>39</v>
      </c>
      <c r="G1709">
        <v>-425.38060000000002</v>
      </c>
      <c r="H1709" s="1">
        <v>-2.22528799999999E-6</v>
      </c>
      <c r="I1709">
        <v>71.439099999999996</v>
      </c>
      <c r="J1709">
        <v>-419.92579999999998</v>
      </c>
      <c r="K1709">
        <v>1.096301</v>
      </c>
      <c r="L1709">
        <v>99.216369999999998</v>
      </c>
      <c r="M1709">
        <v>8.6571500000000006E-3</v>
      </c>
      <c r="N1709">
        <v>0</v>
      </c>
      <c r="O1709">
        <v>-0.9998667</v>
      </c>
      <c r="P1709">
        <v>5.9127680000000002E-2</v>
      </c>
      <c r="Q1709">
        <v>0.15880739999999999</v>
      </c>
      <c r="R1709">
        <v>-0.98553789999999997</v>
      </c>
      <c r="S1709">
        <v>-0.60171509999999995</v>
      </c>
      <c r="T1709">
        <v>-0.1209122</v>
      </c>
      <c r="U1709">
        <v>-3.1029659999999999</v>
      </c>
      <c r="V1709">
        <v>-4.7614080000000003E-2</v>
      </c>
      <c r="W1709">
        <v>0.17330329999999999</v>
      </c>
      <c r="X1709">
        <v>0.98371679999999995</v>
      </c>
      <c r="Y1709">
        <v>0.19872339999999999</v>
      </c>
      <c r="Z1709">
        <v>3.8191429999999998E-2</v>
      </c>
      <c r="AA1709">
        <v>0.97931119999999905</v>
      </c>
      <c r="AB1709">
        <v>36</v>
      </c>
      <c r="AC1709">
        <v>-5.4548000000000298</v>
      </c>
      <c r="AD1709">
        <v>-1.0963032252880001</v>
      </c>
      <c r="AE1709">
        <v>-27.777270000000001</v>
      </c>
      <c r="AF1709">
        <v>5.6865615714854698</v>
      </c>
      <c r="AG1709">
        <v>-1.0963032252880001</v>
      </c>
      <c r="AH1709">
        <v>27.6874741500061</v>
      </c>
      <c r="AI1709">
        <v>92.221163108667</v>
      </c>
      <c r="AJ1709">
        <v>78.393766319208893</v>
      </c>
      <c r="AK1709">
        <v>28.286659189012202</v>
      </c>
    </row>
    <row r="1710" spans="1:37" x14ac:dyDescent="0.2">
      <c r="A1710" t="str">
        <f>"20200111150623455"</f>
        <v>20200111150623455</v>
      </c>
      <c r="B1710" t="str">
        <f>"1578726383448584"</f>
        <v>1578726383448584</v>
      </c>
      <c r="C1710" t="s">
        <v>37</v>
      </c>
      <c r="D1710">
        <v>4.4573999999999998</v>
      </c>
      <c r="E1710">
        <v>0.59514519999999904</v>
      </c>
      <c r="F1710" t="s">
        <v>39</v>
      </c>
      <c r="G1710">
        <v>-425.48230000000001</v>
      </c>
      <c r="H1710" s="1">
        <v>-2.0716659999999999E-6</v>
      </c>
      <c r="I1710">
        <v>71.017949999999999</v>
      </c>
      <c r="J1710">
        <v>-419.92860000000002</v>
      </c>
      <c r="K1710">
        <v>1.0963339999999999</v>
      </c>
      <c r="L1710">
        <v>98.891630000000006</v>
      </c>
      <c r="M1710">
        <v>2.2952060000000002E-3</v>
      </c>
      <c r="N1710">
        <v>0</v>
      </c>
      <c r="O1710">
        <v>-0.999901499999999</v>
      </c>
      <c r="P1710">
        <v>5.7035919999999997E-2</v>
      </c>
      <c r="Q1710">
        <v>0.15849260000000001</v>
      </c>
      <c r="R1710">
        <v>-0.98571169999999997</v>
      </c>
      <c r="S1710">
        <v>-0.61087040000000004</v>
      </c>
      <c r="T1710">
        <v>-0.1205262</v>
      </c>
      <c r="U1710">
        <v>-3.100098</v>
      </c>
      <c r="V1710">
        <v>-5.181322E-2</v>
      </c>
      <c r="W1710">
        <v>0.17305109999999899</v>
      </c>
      <c r="X1710">
        <v>0.98354909999999995</v>
      </c>
      <c r="Y1710">
        <v>0.19544229999999899</v>
      </c>
      <c r="Z1710">
        <v>3.8108240000000002E-2</v>
      </c>
      <c r="AA1710">
        <v>0.97997449999999997</v>
      </c>
      <c r="AB1710">
        <v>36</v>
      </c>
      <c r="AC1710">
        <v>-5.5536999999999903</v>
      </c>
      <c r="AD1710">
        <v>-1.096336071666</v>
      </c>
      <c r="AE1710">
        <v>-27.87368</v>
      </c>
      <c r="AF1710">
        <v>5.6093208943251103</v>
      </c>
      <c r="AG1710">
        <v>-1.096336071666</v>
      </c>
      <c r="AH1710">
        <v>27.8194642062235</v>
      </c>
      <c r="AI1710">
        <v>92.212320803950007</v>
      </c>
      <c r="AJ1710">
        <v>78.600132691589195</v>
      </c>
      <c r="AK1710">
        <v>28.400510953130699</v>
      </c>
    </row>
    <row r="1711" spans="1:37" x14ac:dyDescent="0.2">
      <c r="A1711" t="str">
        <f>"20200111150623477"</f>
        <v>20200111150623477</v>
      </c>
      <c r="B1711" t="str">
        <f>"1578726383468104"</f>
        <v>1578726383468104</v>
      </c>
      <c r="C1711" t="s">
        <v>37</v>
      </c>
      <c r="D1711">
        <v>4.4587709999999996</v>
      </c>
      <c r="E1711">
        <v>0.59401530000000002</v>
      </c>
      <c r="F1711" t="s">
        <v>39</v>
      </c>
      <c r="G1711">
        <v>-425.5147</v>
      </c>
      <c r="H1711" s="1">
        <v>-1.854325E-6</v>
      </c>
      <c r="I1711">
        <v>70.491200000000006</v>
      </c>
      <c r="J1711">
        <v>-419.93430000000001</v>
      </c>
      <c r="K1711">
        <v>1.0963860000000001</v>
      </c>
      <c r="L1711">
        <v>98.524690000000007</v>
      </c>
      <c r="M1711">
        <v>-4.8320469999999999E-3</v>
      </c>
      <c r="N1711">
        <v>0</v>
      </c>
      <c r="O1711">
        <v>-0.99989240000000001</v>
      </c>
      <c r="P1711">
        <v>5.368821E-2</v>
      </c>
      <c r="Q1711">
        <v>0.1580104</v>
      </c>
      <c r="R1711">
        <v>-0.98597679999999999</v>
      </c>
      <c r="S1711">
        <v>-0.60934449999999996</v>
      </c>
      <c r="T1711">
        <v>-0.11959110000000001</v>
      </c>
      <c r="U1711">
        <v>-3.0979919999999899</v>
      </c>
      <c r="V1711">
        <v>-5.5520739999999999E-2</v>
      </c>
      <c r="W1711">
        <v>0.17261989999999999</v>
      </c>
      <c r="X1711">
        <v>0.98342249999999998</v>
      </c>
      <c r="Y1711">
        <v>0.1881101</v>
      </c>
      <c r="Z1711">
        <v>3.7866829999999997E-2</v>
      </c>
      <c r="AA1711">
        <v>0.98141769999999995</v>
      </c>
      <c r="AB1711">
        <v>36</v>
      </c>
      <c r="AC1711">
        <v>-5.5803999999999903</v>
      </c>
      <c r="AD1711">
        <v>-1.0963878543250001</v>
      </c>
      <c r="AE1711">
        <v>-28.03349</v>
      </c>
      <c r="AF1711">
        <v>5.43686352192758</v>
      </c>
      <c r="AG1711">
        <v>-1.0963878543250001</v>
      </c>
      <c r="AH1711">
        <v>28.018906179412902</v>
      </c>
      <c r="AI1711">
        <v>92.199865906668293</v>
      </c>
      <c r="AJ1711">
        <v>79.018641842670803</v>
      </c>
      <c r="AK1711">
        <v>28.562574372313101</v>
      </c>
    </row>
    <row r="1712" spans="1:37" x14ac:dyDescent="0.2">
      <c r="A1712" t="str">
        <f>"20200111150623502"</f>
        <v>20200111150623502</v>
      </c>
      <c r="B1712" t="str">
        <f>"1578726383498360"</f>
        <v>1578726383498360</v>
      </c>
      <c r="C1712" t="s">
        <v>37</v>
      </c>
      <c r="D1712">
        <v>4.4536809999999996</v>
      </c>
      <c r="E1712">
        <v>0.5925049</v>
      </c>
      <c r="F1712" t="s">
        <v>39</v>
      </c>
      <c r="G1712">
        <v>-425.35820000000001</v>
      </c>
      <c r="H1712" s="1">
        <v>-2.0311369999999999E-6</v>
      </c>
      <c r="I1712">
        <v>71.000469999999893</v>
      </c>
      <c r="J1712">
        <v>-419.94279999999998</v>
      </c>
      <c r="K1712">
        <v>1.0964700000000001</v>
      </c>
      <c r="L1712">
        <v>98.148129999999995</v>
      </c>
      <c r="M1712">
        <v>-1.204994E-2</v>
      </c>
      <c r="N1712">
        <v>0</v>
      </c>
      <c r="O1712">
        <v>-0.99983169999999899</v>
      </c>
      <c r="P1712">
        <v>4.9588180000000003E-2</v>
      </c>
      <c r="Q1712">
        <v>0.1583261</v>
      </c>
      <c r="R1712">
        <v>-0.98614120000000005</v>
      </c>
      <c r="S1712">
        <v>-0.61001590000000006</v>
      </c>
      <c r="T1712">
        <v>-0.1233104</v>
      </c>
      <c r="U1712">
        <v>-3.0956419999999998</v>
      </c>
      <c r="V1712">
        <v>-5.8561620000000002E-2</v>
      </c>
      <c r="W1712">
        <v>0.17296789999999901</v>
      </c>
      <c r="X1712">
        <v>0.98318490000000003</v>
      </c>
      <c r="Y1712">
        <v>0.18135290000000001</v>
      </c>
      <c r="Z1712">
        <v>3.9092399999999999E-2</v>
      </c>
      <c r="AA1712">
        <v>0.98264079999999998</v>
      </c>
      <c r="AB1712">
        <v>36</v>
      </c>
      <c r="AC1712">
        <v>-5.4154000000000302</v>
      </c>
      <c r="AD1712">
        <v>-1.096472031137</v>
      </c>
      <c r="AE1712">
        <v>-27.147659999999998</v>
      </c>
      <c r="AF1712">
        <v>5.0798781587328596</v>
      </c>
      <c r="AG1712">
        <v>-1.096472031137</v>
      </c>
      <c r="AH1712">
        <v>27.1683268415612</v>
      </c>
      <c r="AI1712">
        <v>92.271787380517296</v>
      </c>
      <c r="AJ1712">
        <v>79.409242655786599</v>
      </c>
      <c r="AK1712">
        <v>27.660900137062299</v>
      </c>
    </row>
    <row r="1713" spans="1:37" x14ac:dyDescent="0.2">
      <c r="A1713" t="str">
        <f>"20200111150623522"</f>
        <v>20200111150623522</v>
      </c>
      <c r="B1713" t="str">
        <f>"1578726383517880"</f>
        <v>1578726383517880</v>
      </c>
      <c r="C1713" t="s">
        <v>37</v>
      </c>
      <c r="D1713">
        <v>4.4964579999999996</v>
      </c>
      <c r="E1713">
        <v>0.59157179999999998</v>
      </c>
      <c r="F1713" t="s">
        <v>39</v>
      </c>
      <c r="G1713">
        <v>-425.15480000000002</v>
      </c>
      <c r="H1713" s="1">
        <v>-2.2858339999999999E-6</v>
      </c>
      <c r="I1713">
        <v>71.720269999999999</v>
      </c>
      <c r="J1713">
        <v>-419.95310000000001</v>
      </c>
      <c r="K1713">
        <v>1.0965739999999999</v>
      </c>
      <c r="L1713">
        <v>97.797419999999903</v>
      </c>
      <c r="M1713">
        <v>-1.8648479999999999E-2</v>
      </c>
      <c r="N1713">
        <v>0</v>
      </c>
      <c r="O1713">
        <v>-0.99973040000000002</v>
      </c>
      <c r="P1713">
        <v>4.5590869999999999E-2</v>
      </c>
      <c r="Q1713">
        <v>0.159348499999999</v>
      </c>
      <c r="R1713">
        <v>-0.98616930000000003</v>
      </c>
      <c r="S1713">
        <v>-0.61007690000000003</v>
      </c>
      <c r="T1713">
        <v>-0.12834469999999901</v>
      </c>
      <c r="U1713">
        <v>-3.093445</v>
      </c>
      <c r="V1713">
        <v>-6.1089199999999899E-2</v>
      </c>
      <c r="W1713">
        <v>0.174006299999999</v>
      </c>
      <c r="X1713">
        <v>0.982847899999999</v>
      </c>
      <c r="Y1713">
        <v>0.17499719999999999</v>
      </c>
      <c r="Z1713">
        <v>4.073135E-2</v>
      </c>
      <c r="AA1713">
        <v>0.98372610000000005</v>
      </c>
      <c r="AB1713">
        <v>36</v>
      </c>
      <c r="AC1713">
        <v>-5.2017000000000104</v>
      </c>
      <c r="AD1713">
        <v>-1.096576285834</v>
      </c>
      <c r="AE1713">
        <v>-26.0771499999999</v>
      </c>
      <c r="AF1713">
        <v>4.7064455536531398</v>
      </c>
      <c r="AG1713">
        <v>-1.096576285834</v>
      </c>
      <c r="AH1713">
        <v>26.125197936635001</v>
      </c>
      <c r="AI1713">
        <v>92.365482338256498</v>
      </c>
      <c r="AJ1713">
        <v>79.787720656587595</v>
      </c>
      <c r="AK1713">
        <v>26.568384906285001</v>
      </c>
    </row>
    <row r="1714" spans="1:37" x14ac:dyDescent="0.2">
      <c r="A1714" t="str">
        <f>"20200111150623566"</f>
        <v>20200111150623566</v>
      </c>
      <c r="B1714" t="str">
        <f>"1578726383558577"</f>
        <v>1578726383558577</v>
      </c>
      <c r="C1714" t="s">
        <v>37</v>
      </c>
      <c r="D1714">
        <v>4.545045</v>
      </c>
      <c r="E1714">
        <v>0.59061430000000004</v>
      </c>
      <c r="F1714" t="s">
        <v>39</v>
      </c>
      <c r="G1714">
        <v>-425.3227</v>
      </c>
      <c r="H1714" s="1">
        <v>-1.9612119999999999E-6</v>
      </c>
      <c r="I1714">
        <v>70.859440000000006</v>
      </c>
      <c r="J1714">
        <v>-419.98070000000001</v>
      </c>
      <c r="K1714">
        <v>1.0968879999999901</v>
      </c>
      <c r="L1714">
        <v>97.078400000000002</v>
      </c>
      <c r="M1714">
        <v>-3.1634679999999998E-2</v>
      </c>
      <c r="N1714">
        <v>0</v>
      </c>
      <c r="O1714">
        <v>-0.99940399999999996</v>
      </c>
      <c r="P1714">
        <v>3.6206629999999997E-2</v>
      </c>
      <c r="Q1714">
        <v>0.16462570000000001</v>
      </c>
      <c r="R1714">
        <v>-0.98569119999999999</v>
      </c>
      <c r="S1714">
        <v>-0.61611939999999998</v>
      </c>
      <c r="T1714">
        <v>-0.12582180000000001</v>
      </c>
      <c r="U1714">
        <v>-3.090881</v>
      </c>
      <c r="V1714">
        <v>-6.4528390000000005E-2</v>
      </c>
      <c r="W1714">
        <v>0.17925350000000001</v>
      </c>
      <c r="X1714">
        <v>0.98168440000000001</v>
      </c>
      <c r="Y1714">
        <v>0.1642072</v>
      </c>
      <c r="Z1714">
        <v>3.997465E-2</v>
      </c>
      <c r="AA1714">
        <v>0.98561559999999904</v>
      </c>
      <c r="AB1714">
        <v>36</v>
      </c>
      <c r="AC1714">
        <v>-5.3419999999999801</v>
      </c>
      <c r="AD1714">
        <v>-1.09688996121199</v>
      </c>
      <c r="AE1714">
        <v>-26.218959999999999</v>
      </c>
      <c r="AF1714">
        <v>4.5022523221530202</v>
      </c>
      <c r="AG1714">
        <v>-1.09688996121199</v>
      </c>
      <c r="AH1714">
        <v>26.330595671849501</v>
      </c>
      <c r="AI1714">
        <v>92.351382728631805</v>
      </c>
      <c r="AJ1714">
        <v>80.296868457428801</v>
      </c>
      <c r="AK1714">
        <v>26.735252233591499</v>
      </c>
    </row>
    <row r="1715" spans="1:37" x14ac:dyDescent="0.2">
      <c r="A1715" t="str">
        <f>"20200111150623587"</f>
        <v>20200111150623587</v>
      </c>
      <c r="B1715" t="str">
        <f>"1578726383578097"</f>
        <v>1578726383578097</v>
      </c>
      <c r="C1715" t="s">
        <v>37</v>
      </c>
      <c r="D1715">
        <v>4.5625999999999998</v>
      </c>
      <c r="E1715">
        <v>0.58975069999999996</v>
      </c>
      <c r="F1715" t="s">
        <v>39</v>
      </c>
      <c r="G1715">
        <v>-426.29300000000001</v>
      </c>
      <c r="H1715" s="1">
        <v>-4.3620989999999999E-6</v>
      </c>
      <c r="I1715">
        <v>66.524799999999999</v>
      </c>
      <c r="J1715">
        <v>-419.99720000000002</v>
      </c>
      <c r="K1715">
        <v>1.097083</v>
      </c>
      <c r="L1715">
        <v>96.727940000000004</v>
      </c>
      <c r="M1715">
        <v>-3.7655609999999999E-2</v>
      </c>
      <c r="N1715">
        <v>0</v>
      </c>
      <c r="O1715">
        <v>-0.99919579999999997</v>
      </c>
      <c r="P1715">
        <v>3.1237919999999999E-2</v>
      </c>
      <c r="Q1715">
        <v>0.16705410000000001</v>
      </c>
      <c r="R1715">
        <v>-0.98545300000000002</v>
      </c>
      <c r="S1715">
        <v>-0.6374512</v>
      </c>
      <c r="T1715">
        <v>-0.110769399999999</v>
      </c>
      <c r="U1715">
        <v>-3.0854490000000001</v>
      </c>
      <c r="V1715">
        <v>-6.5524730000000003E-2</v>
      </c>
      <c r="W1715">
        <v>0.18164449999999999</v>
      </c>
      <c r="X1715">
        <v>0.98117880000000002</v>
      </c>
      <c r="Y1715">
        <v>0.16517699999999999</v>
      </c>
      <c r="Z1715">
        <v>3.5221540000000003E-2</v>
      </c>
      <c r="AA1715">
        <v>0.98563480000000003</v>
      </c>
      <c r="AB1715">
        <v>36</v>
      </c>
      <c r="AC1715">
        <v>-6.2957999999999803</v>
      </c>
      <c r="AD1715">
        <v>-1.097087362099</v>
      </c>
      <c r="AE1715">
        <v>-30.203140000000001</v>
      </c>
      <c r="AF1715">
        <v>5.1473997090126904</v>
      </c>
      <c r="AG1715">
        <v>-1.097087362099</v>
      </c>
      <c r="AH1715">
        <v>30.380394935166098</v>
      </c>
      <c r="AI1715">
        <v>92.039112343221007</v>
      </c>
      <c r="AJ1715">
        <v>80.383608384874506</v>
      </c>
      <c r="AK1715">
        <v>30.8328999748821</v>
      </c>
    </row>
    <row r="1716" spans="1:37" x14ac:dyDescent="0.2">
      <c r="A1716" t="str">
        <f>"20200111150623610"</f>
        <v>20200111150623610</v>
      </c>
      <c r="B1716" t="str">
        <f>"1578726383598594"</f>
        <v>1578726383598594</v>
      </c>
      <c r="C1716" t="s">
        <v>37</v>
      </c>
      <c r="D1716">
        <v>4.6090179999999998</v>
      </c>
      <c r="E1716">
        <v>0.58935700000000002</v>
      </c>
      <c r="F1716" t="s">
        <v>39</v>
      </c>
      <c r="G1716">
        <v>-426.7473</v>
      </c>
      <c r="H1716" s="1">
        <v>-3.742901E-6</v>
      </c>
      <c r="I1716">
        <v>64.468450000000004</v>
      </c>
      <c r="J1716">
        <v>-420.01609999999999</v>
      </c>
      <c r="K1716">
        <v>1.0973189999999999</v>
      </c>
      <c r="L1716">
        <v>96.368530000000007</v>
      </c>
      <c r="M1716">
        <v>-4.3543909999999998E-2</v>
      </c>
      <c r="N1716">
        <v>0</v>
      </c>
      <c r="O1716">
        <v>-0.99895659999999897</v>
      </c>
      <c r="P1716">
        <v>2.7855979999999999E-2</v>
      </c>
      <c r="Q1716">
        <v>0.16903899999999999</v>
      </c>
      <c r="R1716">
        <v>-0.98521599999999998</v>
      </c>
      <c r="S1716">
        <v>-0.64498900000000003</v>
      </c>
      <c r="T1716">
        <v>-0.1048298</v>
      </c>
      <c r="U1716">
        <v>-3.0824889999999998</v>
      </c>
      <c r="V1716">
        <v>-6.8002460000000001E-2</v>
      </c>
      <c r="W1716">
        <v>0.1836004</v>
      </c>
      <c r="X1716">
        <v>0.98064599999999902</v>
      </c>
      <c r="Y1716">
        <v>0.1618743</v>
      </c>
      <c r="Z1716">
        <v>3.3355389999999999E-2</v>
      </c>
      <c r="AA1716">
        <v>0.98624750000000005</v>
      </c>
      <c r="AB1716">
        <v>36</v>
      </c>
      <c r="AC1716">
        <v>-6.7312000000000003</v>
      </c>
      <c r="AD1716">
        <v>-1.097322742901</v>
      </c>
      <c r="AE1716">
        <v>-31.900079999999999</v>
      </c>
      <c r="AF1716">
        <v>5.32959085497441</v>
      </c>
      <c r="AG1716">
        <v>-1.097322742901</v>
      </c>
      <c r="AH1716">
        <v>32.126553976192</v>
      </c>
      <c r="AI1716">
        <v>91.929893279735396</v>
      </c>
      <c r="AJ1716">
        <v>80.580777510137693</v>
      </c>
      <c r="AK1716">
        <v>32.5841084927713</v>
      </c>
    </row>
    <row r="1717" spans="1:37" x14ac:dyDescent="0.2">
      <c r="A1717" t="str">
        <f>"20200111150623634"</f>
        <v>20200111150623634</v>
      </c>
      <c r="B1717" t="str">
        <f>"1578726383628477"</f>
        <v>1578726383628477</v>
      </c>
      <c r="C1717" t="s">
        <v>37</v>
      </c>
      <c r="D1717">
        <v>4.5233449999999999</v>
      </c>
      <c r="E1717">
        <v>0.57294480000000003</v>
      </c>
      <c r="F1717" t="s">
        <v>39</v>
      </c>
      <c r="G1717">
        <v>-427.11959999999999</v>
      </c>
      <c r="H1717" s="1">
        <v>-3.23524699999999E-6</v>
      </c>
      <c r="I1717">
        <v>62.782619999999902</v>
      </c>
      <c r="J1717">
        <v>-420.03739999999999</v>
      </c>
      <c r="K1717">
        <v>1.0976219999999901</v>
      </c>
      <c r="L1717">
        <v>95.999110000000002</v>
      </c>
      <c r="M1717">
        <v>-4.9188950000000002E-2</v>
      </c>
      <c r="N1717">
        <v>0</v>
      </c>
      <c r="O1717">
        <v>-0.99869519999999901</v>
      </c>
      <c r="P1717">
        <v>2.5963770000000001E-2</v>
      </c>
      <c r="Q1717">
        <v>0.17046459999999999</v>
      </c>
      <c r="R1717">
        <v>-0.98502219999999996</v>
      </c>
      <c r="S1717">
        <v>-0.65158079999999996</v>
      </c>
      <c r="T1717">
        <v>-0.1006536</v>
      </c>
      <c r="U1717">
        <v>-3.08071899999999</v>
      </c>
      <c r="V1717">
        <v>-7.1771470000000004E-2</v>
      </c>
      <c r="W1717">
        <v>0.18499099999999999</v>
      </c>
      <c r="X1717">
        <v>0.98011589999999904</v>
      </c>
      <c r="Y1717">
        <v>0.15843959999999899</v>
      </c>
      <c r="Z1717">
        <v>3.2035319999999999E-2</v>
      </c>
      <c r="AA1717">
        <v>0.98684879999999997</v>
      </c>
      <c r="AB1717">
        <v>36</v>
      </c>
      <c r="AC1717">
        <v>-7.0822000000000003</v>
      </c>
      <c r="AD1717">
        <v>-1.097625235247</v>
      </c>
      <c r="AE1717">
        <v>-33.21649</v>
      </c>
      <c r="AF1717">
        <v>5.4339116397847897</v>
      </c>
      <c r="AG1717">
        <v>-1.097625235247</v>
      </c>
      <c r="AH1717">
        <v>33.489693586784298</v>
      </c>
      <c r="AI1717">
        <v>91.852981986376705</v>
      </c>
      <c r="AJ1717">
        <v>80.783721588351597</v>
      </c>
      <c r="AK1717">
        <v>33.945423158398498</v>
      </c>
    </row>
    <row r="1718" spans="1:37" x14ac:dyDescent="0.2">
      <c r="A1718" t="str">
        <f>"20200111150623656"</f>
        <v>20200111150623656</v>
      </c>
      <c r="B1718" t="str">
        <f>"1578726383647986"</f>
        <v>1578726383647986</v>
      </c>
      <c r="C1718" t="s">
        <v>37</v>
      </c>
      <c r="D1718">
        <v>4.6853259999999999</v>
      </c>
      <c r="E1718">
        <v>0.57288260000000002</v>
      </c>
      <c r="F1718" t="s">
        <v>38</v>
      </c>
      <c r="G1718">
        <v>-420.21300000000002</v>
      </c>
      <c r="H1718">
        <v>1.0247109999999999</v>
      </c>
      <c r="I1718">
        <v>94.975449999999995</v>
      </c>
      <c r="J1718">
        <v>-420.06130000000002</v>
      </c>
      <c r="K1718">
        <v>1.0980129999999999</v>
      </c>
      <c r="L1718">
        <v>95.617490000000004</v>
      </c>
      <c r="M1718">
        <v>-5.4498100000000001E-2</v>
      </c>
      <c r="N1718">
        <v>0</v>
      </c>
      <c r="O1718">
        <v>-0.99841999999999997</v>
      </c>
      <c r="P1718">
        <v>2.4849840000000002E-2</v>
      </c>
      <c r="Q1718">
        <v>0.170784299999999</v>
      </c>
      <c r="R1718">
        <v>-0.98499550000000002</v>
      </c>
      <c r="S1718">
        <v>-0.53088380000000002</v>
      </c>
      <c r="T1718">
        <v>-0.2205261</v>
      </c>
      <c r="U1718">
        <v>-3.0977779999999999</v>
      </c>
      <c r="V1718">
        <v>-7.6047000000000003E-2</v>
      </c>
      <c r="W1718">
        <v>0.185252</v>
      </c>
      <c r="X1718">
        <v>0.97974409999999901</v>
      </c>
      <c r="Y1718">
        <v>0.11452619999999999</v>
      </c>
      <c r="Z1718">
        <v>7.010914E-2</v>
      </c>
      <c r="AA1718">
        <v>0.99094319999999902</v>
      </c>
      <c r="AB1718">
        <v>36</v>
      </c>
      <c r="AC1718">
        <v>-0.151700000000005</v>
      </c>
      <c r="AD1718">
        <v>-7.3301999999999701E-2</v>
      </c>
      <c r="AE1718">
        <v>-0.64204000000000805</v>
      </c>
      <c r="AF1718">
        <v>0.115060770226728</v>
      </c>
      <c r="AG1718">
        <v>-7.3301999999999701E-2</v>
      </c>
      <c r="AH1718">
        <v>0.64143486413869599</v>
      </c>
      <c r="AI1718">
        <v>96.417813482705398</v>
      </c>
      <c r="AJ1718">
        <v>79.830422591342099</v>
      </c>
      <c r="AK1718">
        <v>0.65578262326917103</v>
      </c>
    </row>
    <row r="1719" spans="1:37" x14ac:dyDescent="0.2">
      <c r="A1719" t="str">
        <f>"20200111150623679"</f>
        <v>20200111150623679</v>
      </c>
      <c r="B1719" t="str">
        <f>"1578726383668482"</f>
        <v>1578726383668482</v>
      </c>
      <c r="C1719" t="s">
        <v>37</v>
      </c>
      <c r="D1719">
        <v>4.7373830000000003</v>
      </c>
      <c r="E1719">
        <v>0.57230780000000003</v>
      </c>
      <c r="F1719" t="s">
        <v>38</v>
      </c>
      <c r="G1719">
        <v>-420.2287</v>
      </c>
      <c r="H1719">
        <v>1.0384799999999901</v>
      </c>
      <c r="I1719">
        <v>94.645359999999997</v>
      </c>
      <c r="J1719">
        <v>-420.08539999999999</v>
      </c>
      <c r="K1719">
        <v>1.0983829999999899</v>
      </c>
      <c r="L1719">
        <v>95.257019999999997</v>
      </c>
      <c r="M1719">
        <v>-5.9117589999999998E-2</v>
      </c>
      <c r="N1719">
        <v>0</v>
      </c>
      <c r="O1719">
        <v>-0.99815779999999998</v>
      </c>
      <c r="P1719">
        <v>2.3952270000000001E-2</v>
      </c>
      <c r="Q1719">
        <v>0.1720747</v>
      </c>
      <c r="R1719">
        <v>-0.98479280000000002</v>
      </c>
      <c r="S1719">
        <v>-0.5317383</v>
      </c>
      <c r="T1719">
        <v>-0.18926109999999999</v>
      </c>
      <c r="U1719">
        <v>-3.0919490000000001</v>
      </c>
      <c r="V1719">
        <v>-7.9832890000000004E-2</v>
      </c>
      <c r="W1719">
        <v>0.18646779999999999</v>
      </c>
      <c r="X1719">
        <v>0.97921219999999998</v>
      </c>
      <c r="Y1719">
        <v>0.11061410000000001</v>
      </c>
      <c r="Z1719">
        <v>6.0308420000000001E-2</v>
      </c>
      <c r="AA1719">
        <v>0.99203200000000002</v>
      </c>
      <c r="AB1719">
        <v>36</v>
      </c>
      <c r="AC1719">
        <v>-0.14330000000001</v>
      </c>
      <c r="AD1719">
        <v>-5.9902999999999998E-2</v>
      </c>
      <c r="AE1719">
        <v>-0.61165999999999998</v>
      </c>
      <c r="AF1719">
        <v>0.105923017234739</v>
      </c>
      <c r="AG1719">
        <v>-5.9902999999999998E-2</v>
      </c>
      <c r="AH1719">
        <v>0.61348441455936298</v>
      </c>
      <c r="AI1719">
        <v>95.496092288537596</v>
      </c>
      <c r="AJ1719">
        <v>80.204003142226796</v>
      </c>
      <c r="AK1719">
        <v>0.62543679288666298</v>
      </c>
    </row>
    <row r="1720" spans="1:37" x14ac:dyDescent="0.2">
      <c r="A1720" t="str">
        <f>"20200111150623699"</f>
        <v>20200111150623699</v>
      </c>
      <c r="B1720" t="str">
        <f>"1578726383688002"</f>
        <v>1578726383688002</v>
      </c>
      <c r="C1720" t="s">
        <v>37</v>
      </c>
      <c r="D1720">
        <v>4.7808859999999997</v>
      </c>
      <c r="E1720">
        <v>0.57059409999999999</v>
      </c>
      <c r="F1720" t="s">
        <v>38</v>
      </c>
      <c r="G1720">
        <v>-420.2457</v>
      </c>
      <c r="H1720">
        <v>1.043857</v>
      </c>
      <c r="I1720">
        <v>94.318869999999905</v>
      </c>
      <c r="J1720">
        <v>-420.10899999999998</v>
      </c>
      <c r="K1720">
        <v>1.09874</v>
      </c>
      <c r="L1720">
        <v>94.91901</v>
      </c>
      <c r="M1720">
        <v>-6.3052559999999994E-2</v>
      </c>
      <c r="N1720">
        <v>0</v>
      </c>
      <c r="O1720">
        <v>-0.99791759999999996</v>
      </c>
      <c r="P1720">
        <v>2.340559E-2</v>
      </c>
      <c r="Q1720">
        <v>0.17358409999999999</v>
      </c>
      <c r="R1720">
        <v>-0.98454109999999995</v>
      </c>
      <c r="S1720">
        <v>-0.5280762</v>
      </c>
      <c r="T1720">
        <v>-0.17961369999999999</v>
      </c>
      <c r="U1720">
        <v>-3.0905459999999998</v>
      </c>
      <c r="V1720">
        <v>-8.3285590000000007E-2</v>
      </c>
      <c r="W1720">
        <v>0.18789459999999999</v>
      </c>
      <c r="X1720">
        <v>0.97865170000000001</v>
      </c>
      <c r="Y1720">
        <v>0.1056578</v>
      </c>
      <c r="Z1720">
        <v>5.7270710000000002E-2</v>
      </c>
      <c r="AA1720">
        <v>0.99275199999999997</v>
      </c>
      <c r="AB1720">
        <v>36</v>
      </c>
      <c r="AC1720">
        <v>-0.13669999999996199</v>
      </c>
      <c r="AD1720">
        <v>-5.4883000000000001E-2</v>
      </c>
      <c r="AE1720">
        <v>-0.60014000000001</v>
      </c>
      <c r="AF1720">
        <v>9.7806458884074798E-2</v>
      </c>
      <c r="AG1720">
        <v>-5.4883000000000001E-2</v>
      </c>
      <c r="AH1720">
        <v>0.60277326601088099</v>
      </c>
      <c r="AI1720">
        <v>95.135680632097902</v>
      </c>
      <c r="AJ1720">
        <v>80.783468069365796</v>
      </c>
      <c r="AK1720">
        <v>0.61311814302454504</v>
      </c>
    </row>
    <row r="1721" spans="1:37" x14ac:dyDescent="0.2">
      <c r="A1721" t="str">
        <f>"20200111150623723"</f>
        <v>20200111150623723</v>
      </c>
      <c r="B1721" t="str">
        <f>"1578726383718260"</f>
        <v>1578726383718260</v>
      </c>
      <c r="C1721" t="s">
        <v>37</v>
      </c>
      <c r="D1721">
        <v>4.7242870000000003</v>
      </c>
      <c r="E1721">
        <v>0.57253209999999999</v>
      </c>
      <c r="F1721" t="s">
        <v>39</v>
      </c>
      <c r="G1721">
        <v>-423.803</v>
      </c>
      <c r="H1721" s="1">
        <v>-2.36043299999999E-6</v>
      </c>
      <c r="I1721">
        <v>72.73263</v>
      </c>
      <c r="J1721">
        <v>-420.13580000000002</v>
      </c>
      <c r="K1721">
        <v>1.0991649999999999</v>
      </c>
      <c r="L1721">
        <v>94.551479999999998</v>
      </c>
      <c r="M1721">
        <v>-6.6811229999999999E-2</v>
      </c>
      <c r="N1721">
        <v>0</v>
      </c>
      <c r="O1721">
        <v>-0.99767349999999999</v>
      </c>
      <c r="P1721">
        <v>2.338078E-2</v>
      </c>
      <c r="Q1721">
        <v>0.173568</v>
      </c>
      <c r="R1721">
        <v>-0.98454449999999905</v>
      </c>
      <c r="S1721">
        <v>-0.51385499999999995</v>
      </c>
      <c r="T1721">
        <v>-0.15284239999999999</v>
      </c>
      <c r="U1721">
        <v>-3.0862729999999998</v>
      </c>
      <c r="V1721">
        <v>-8.7148039999999996E-2</v>
      </c>
      <c r="W1721">
        <v>0.187777</v>
      </c>
      <c r="X1721">
        <v>0.97833789999999998</v>
      </c>
      <c r="Y1721">
        <v>9.7762699999999994E-2</v>
      </c>
      <c r="Z1721">
        <v>4.8843560000000001E-2</v>
      </c>
      <c r="AA1721">
        <v>0.99401039999999996</v>
      </c>
      <c r="AB1721">
        <v>36</v>
      </c>
      <c r="AC1721">
        <v>-3.66720000000003</v>
      </c>
      <c r="AD1721">
        <v>-1.0991673604329999</v>
      </c>
      <c r="AE1721">
        <v>-21.818850000000001</v>
      </c>
      <c r="AF1721">
        <v>2.1957071380167799</v>
      </c>
      <c r="AG1721">
        <v>-1.0991673604329999</v>
      </c>
      <c r="AH1721">
        <v>21.960920288296101</v>
      </c>
      <c r="AI1721">
        <v>92.851131906046305</v>
      </c>
      <c r="AJ1721">
        <v>84.290401097440594</v>
      </c>
      <c r="AK1721">
        <v>22.0977672770594</v>
      </c>
    </row>
    <row r="1722" spans="1:37" x14ac:dyDescent="0.2">
      <c r="A1722" t="str">
        <f>"20200111150623745"</f>
        <v>20200111150623745</v>
      </c>
      <c r="B1722" t="str">
        <f>"1578726383737777"</f>
        <v>1578726383737777</v>
      </c>
      <c r="C1722" t="s">
        <v>37</v>
      </c>
      <c r="D1722">
        <v>4.7419349999999998</v>
      </c>
      <c r="E1722">
        <v>0.57367829999999997</v>
      </c>
      <c r="F1722" t="s">
        <v>39</v>
      </c>
      <c r="G1722">
        <v>-423.58049999999997</v>
      </c>
      <c r="H1722" s="1">
        <v>-3.0447170000000001E-6</v>
      </c>
      <c r="I1722">
        <v>74.465699999999998</v>
      </c>
      <c r="J1722">
        <v>-420.16300000000001</v>
      </c>
      <c r="K1722">
        <v>1.0996269999999999</v>
      </c>
      <c r="L1722">
        <v>94.190950000000001</v>
      </c>
      <c r="M1722">
        <v>-6.9920079999999996E-2</v>
      </c>
      <c r="N1722">
        <v>0</v>
      </c>
      <c r="O1722">
        <v>-0.99746109999999899</v>
      </c>
      <c r="P1722">
        <v>2.3960970000000002E-2</v>
      </c>
      <c r="Q1722">
        <v>0.1716329</v>
      </c>
      <c r="R1722">
        <v>-0.98486980000000002</v>
      </c>
      <c r="S1722">
        <v>-0.52984619999999905</v>
      </c>
      <c r="T1722">
        <v>-0.1690692</v>
      </c>
      <c r="U1722">
        <v>-3.0895079999999999</v>
      </c>
      <c r="V1722">
        <v>-9.1035889999999994E-2</v>
      </c>
      <c r="W1722">
        <v>0.18572710000000001</v>
      </c>
      <c r="X1722">
        <v>0.97837510000000005</v>
      </c>
      <c r="Y1722">
        <v>9.9450620000000003E-2</v>
      </c>
      <c r="Z1722">
        <v>5.3914199999999898E-2</v>
      </c>
      <c r="AA1722">
        <v>0.99358080000000004</v>
      </c>
      <c r="AB1722">
        <v>36</v>
      </c>
      <c r="AC1722">
        <v>-3.41749999999996</v>
      </c>
      <c r="AD1722">
        <v>-1.099630044717</v>
      </c>
      <c r="AE1722">
        <v>-19.725249999999999</v>
      </c>
      <c r="AF1722">
        <v>2.02371158145972</v>
      </c>
      <c r="AG1722">
        <v>-1.099630044717</v>
      </c>
      <c r="AH1722">
        <v>19.856029662792601</v>
      </c>
      <c r="AI1722">
        <v>93.153508316691301</v>
      </c>
      <c r="AJ1722">
        <v>84.180551714708798</v>
      </c>
      <c r="AK1722">
        <v>19.989159781488599</v>
      </c>
    </row>
    <row r="1723" spans="1:37" x14ac:dyDescent="0.2">
      <c r="A1723" t="str">
        <f>"20200111150623768"</f>
        <v>20200111150623768</v>
      </c>
      <c r="B1723" t="str">
        <f>"1578726383758274"</f>
        <v>1578726383758274</v>
      </c>
      <c r="C1723" t="s">
        <v>37</v>
      </c>
      <c r="D1723">
        <v>4.7935790000000003</v>
      </c>
      <c r="E1723">
        <v>0.57366309999999998</v>
      </c>
      <c r="F1723" t="s">
        <v>39</v>
      </c>
      <c r="G1723">
        <v>-423.55029999999999</v>
      </c>
      <c r="H1723" s="1">
        <v>-3.1461880000000001E-6</v>
      </c>
      <c r="I1723">
        <v>74.720979999999997</v>
      </c>
      <c r="J1723">
        <v>-420.19040000000001</v>
      </c>
      <c r="K1723">
        <v>1.1001350000000001</v>
      </c>
      <c r="L1723">
        <v>93.834990000000005</v>
      </c>
      <c r="M1723">
        <v>-7.2398710000000005E-2</v>
      </c>
      <c r="N1723">
        <v>0</v>
      </c>
      <c r="O1723">
        <v>-0.99728510000000004</v>
      </c>
      <c r="P1723">
        <v>2.3791960000000001E-2</v>
      </c>
      <c r="Q1723">
        <v>0.171124</v>
      </c>
      <c r="R1723">
        <v>-0.98496229999999996</v>
      </c>
      <c r="S1723">
        <v>-0.53750609999999999</v>
      </c>
      <c r="T1723">
        <v>-0.1744935</v>
      </c>
      <c r="U1723">
        <v>-3.089569</v>
      </c>
      <c r="V1723">
        <v>-9.3546119999999996E-2</v>
      </c>
      <c r="W1723">
        <v>0.1850687</v>
      </c>
      <c r="X1723">
        <v>0.97826309999999905</v>
      </c>
      <c r="Y1723">
        <v>9.9350579999999994E-2</v>
      </c>
      <c r="Z1723">
        <v>5.561141E-2</v>
      </c>
      <c r="AA1723">
        <v>0.99349730000000003</v>
      </c>
      <c r="AB1723">
        <v>36</v>
      </c>
      <c r="AC1723">
        <v>-3.3598999999999801</v>
      </c>
      <c r="AD1723">
        <v>-1.100138146188</v>
      </c>
      <c r="AE1723">
        <v>-19.11401</v>
      </c>
      <c r="AF1723">
        <v>1.96082537384074</v>
      </c>
      <c r="AG1723">
        <v>-1.100138146188</v>
      </c>
      <c r="AH1723">
        <v>19.245271634989901</v>
      </c>
      <c r="AI1723">
        <v>93.254885655848398</v>
      </c>
      <c r="AJ1723">
        <v>84.182432223726195</v>
      </c>
      <c r="AK1723">
        <v>19.376161136611699</v>
      </c>
    </row>
    <row r="1724" spans="1:37" x14ac:dyDescent="0.2">
      <c r="A1724" t="str">
        <f>"20200111150623790"</f>
        <v>20200111150623790</v>
      </c>
      <c r="B1724" t="str">
        <f>"1578726383777795"</f>
        <v>1578726383777795</v>
      </c>
      <c r="C1724" t="s">
        <v>37</v>
      </c>
      <c r="D1724">
        <v>4.7977989999999897</v>
      </c>
      <c r="E1724">
        <v>0.57437899999999997</v>
      </c>
      <c r="F1724" t="s">
        <v>39</v>
      </c>
      <c r="G1724">
        <v>-423.51029999999997</v>
      </c>
      <c r="H1724" s="1">
        <v>-3.1591629999999998E-6</v>
      </c>
      <c r="I1724">
        <v>74.776030000000006</v>
      </c>
      <c r="J1724">
        <v>-420.21940000000001</v>
      </c>
      <c r="K1724">
        <v>1.100708</v>
      </c>
      <c r="L1724">
        <v>93.462739999999997</v>
      </c>
      <c r="M1724">
        <v>-7.436131E-2</v>
      </c>
      <c r="N1724">
        <v>0</v>
      </c>
      <c r="O1724">
        <v>-0.99714130000000001</v>
      </c>
      <c r="P1724">
        <v>2.268187E-2</v>
      </c>
      <c r="Q1724">
        <v>0.17135059999999999</v>
      </c>
      <c r="R1724">
        <v>-0.98494910000000002</v>
      </c>
      <c r="S1724">
        <v>-0.53820800000000002</v>
      </c>
      <c r="T1724">
        <v>-0.17835119999999999</v>
      </c>
      <c r="U1724">
        <v>-3.0897830000000002</v>
      </c>
      <c r="V1724">
        <v>-9.4624650000000005E-2</v>
      </c>
      <c r="W1724">
        <v>0.1851151</v>
      </c>
      <c r="X1724">
        <v>0.97815059999999998</v>
      </c>
      <c r="Y1724">
        <v>9.7587889999999997E-2</v>
      </c>
      <c r="Z1724">
        <v>5.6824609999999998E-2</v>
      </c>
      <c r="AA1724">
        <v>0.99360329999999997</v>
      </c>
      <c r="AB1724">
        <v>36</v>
      </c>
      <c r="AC1724">
        <v>-3.2908999999999602</v>
      </c>
      <c r="AD1724">
        <v>-1.1007111591630001</v>
      </c>
      <c r="AE1724">
        <v>-18.686709999999898</v>
      </c>
      <c r="AF1724">
        <v>1.88574801029471</v>
      </c>
      <c r="AG1724">
        <v>-1.1007111591630001</v>
      </c>
      <c r="AH1724">
        <v>18.816379958422701</v>
      </c>
      <c r="AI1724">
        <v>93.331195367804696</v>
      </c>
      <c r="AJ1724">
        <v>84.277016068564095</v>
      </c>
      <c r="AK1724">
        <v>18.942644096164901</v>
      </c>
    </row>
    <row r="1725" spans="1:37" x14ac:dyDescent="0.2">
      <c r="A1725" t="str">
        <f>"20200111150623813"</f>
        <v>20200111150623813</v>
      </c>
      <c r="B1725" t="str">
        <f>"1578726383808050"</f>
        <v>1578726383808050</v>
      </c>
      <c r="C1725" t="s">
        <v>37</v>
      </c>
      <c r="D1725">
        <v>4.8086349999999998</v>
      </c>
      <c r="E1725">
        <v>0.57533829999999997</v>
      </c>
      <c r="F1725" t="s">
        <v>39</v>
      </c>
      <c r="G1725">
        <v>-423.61380000000003</v>
      </c>
      <c r="H1725" s="1">
        <v>-2.974061E-6</v>
      </c>
      <c r="I1725">
        <v>74.280330000000006</v>
      </c>
      <c r="J1725">
        <v>-420.24860000000001</v>
      </c>
      <c r="K1725">
        <v>1.101308</v>
      </c>
      <c r="L1725">
        <v>93.090119999999999</v>
      </c>
      <c r="M1725">
        <v>-7.5655330000000007E-2</v>
      </c>
      <c r="N1725">
        <v>0</v>
      </c>
      <c r="O1725">
        <v>-0.99704490000000001</v>
      </c>
      <c r="P1725">
        <v>2.2721939999999999E-2</v>
      </c>
      <c r="Q1725">
        <v>0.17170550000000001</v>
      </c>
      <c r="R1725">
        <v>-0.98488629999999999</v>
      </c>
      <c r="S1725">
        <v>-0.54666139999999996</v>
      </c>
      <c r="T1725">
        <v>-0.177265899999999</v>
      </c>
      <c r="U1725">
        <v>-3.089264</v>
      </c>
      <c r="V1725">
        <v>-9.6195520000000007E-2</v>
      </c>
      <c r="W1725">
        <v>0.18528710000000001</v>
      </c>
      <c r="X1725">
        <v>0.97796479999999997</v>
      </c>
      <c r="Y1725">
        <v>9.8965590000000006E-2</v>
      </c>
      <c r="Z1725">
        <v>5.6463909999999999E-2</v>
      </c>
      <c r="AA1725">
        <v>0.99348760000000003</v>
      </c>
      <c r="AB1725">
        <v>36</v>
      </c>
      <c r="AC1725">
        <v>-3.36520000000001</v>
      </c>
      <c r="AD1725">
        <v>-1.1013109740610001</v>
      </c>
      <c r="AE1725">
        <v>-18.8097899999999</v>
      </c>
      <c r="AF1725">
        <v>1.92596874456218</v>
      </c>
      <c r="AG1725">
        <v>-1.1013109740610001</v>
      </c>
      <c r="AH1725">
        <v>18.947550686464201</v>
      </c>
      <c r="AI1725">
        <v>93.309512699624605</v>
      </c>
      <c r="AJ1725">
        <v>84.195969217782704</v>
      </c>
      <c r="AK1725">
        <v>19.076999724347299</v>
      </c>
    </row>
    <row r="1726" spans="1:37" x14ac:dyDescent="0.2">
      <c r="A1726" t="str">
        <f>"20200111150623857"</f>
        <v>20200111150623857</v>
      </c>
      <c r="B1726" t="str">
        <f>"1578726383848066"</f>
        <v>1578726383848066</v>
      </c>
      <c r="C1726" t="s">
        <v>37</v>
      </c>
      <c r="D1726">
        <v>4.9315550000000004</v>
      </c>
      <c r="E1726">
        <v>0.51673720000000001</v>
      </c>
      <c r="F1726" t="s">
        <v>38</v>
      </c>
      <c r="G1726">
        <v>-420.43060000000003</v>
      </c>
      <c r="H1726">
        <v>1.0406139999999999</v>
      </c>
      <c r="I1726">
        <v>92.076759999999993</v>
      </c>
      <c r="J1726">
        <v>-420.30270000000002</v>
      </c>
      <c r="K1726">
        <v>1.1023449999999999</v>
      </c>
      <c r="L1726">
        <v>92.392880000000005</v>
      </c>
      <c r="M1726">
        <v>-7.6392349999999998E-2</v>
      </c>
      <c r="N1726">
        <v>0</v>
      </c>
      <c r="O1726">
        <v>-0.99698989999999998</v>
      </c>
      <c r="P1726">
        <v>2.4606159999999998E-2</v>
      </c>
      <c r="Q1726">
        <v>0.16957629999999899</v>
      </c>
      <c r="R1726">
        <v>-0.98520959999999902</v>
      </c>
      <c r="S1726">
        <v>-0.55386349999999995</v>
      </c>
      <c r="T1726">
        <v>-0.1852578</v>
      </c>
      <c r="U1726">
        <v>-3.0910950000000001</v>
      </c>
      <c r="V1726">
        <v>-9.9295240000000007E-2</v>
      </c>
      <c r="W1726">
        <v>0.18281939999999999</v>
      </c>
      <c r="X1726">
        <v>0.97811939999999997</v>
      </c>
      <c r="Y1726">
        <v>0.100347399999999</v>
      </c>
      <c r="Z1726">
        <v>5.8945520000000001E-2</v>
      </c>
      <c r="AA1726">
        <v>0.9932048</v>
      </c>
      <c r="AB1726">
        <v>36</v>
      </c>
      <c r="AC1726">
        <v>-0.127900000000011</v>
      </c>
      <c r="AD1726">
        <v>-6.1731000000000202E-2</v>
      </c>
      <c r="AE1726">
        <v>-0.316120000000012</v>
      </c>
      <c r="AF1726">
        <v>0.10009491148098899</v>
      </c>
      <c r="AG1726">
        <v>-6.1731000000000202E-2</v>
      </c>
      <c r="AH1726">
        <v>0.31465653923764297</v>
      </c>
      <c r="AI1726">
        <v>100.589432866324</v>
      </c>
      <c r="AJ1726">
        <v>72.353691852395798</v>
      </c>
      <c r="AK1726">
        <v>0.33591434228147699</v>
      </c>
    </row>
    <row r="1727" spans="1:37" x14ac:dyDescent="0.2">
      <c r="A1727" t="str">
        <f>"20200111150623901"</f>
        <v>20200111150623901</v>
      </c>
      <c r="B1727" t="str">
        <f>"1578726383897842"</f>
        <v>1578726383897842</v>
      </c>
      <c r="C1727" t="s">
        <v>37</v>
      </c>
      <c r="D1727">
        <v>4.8031600000000001</v>
      </c>
      <c r="E1727">
        <v>0.4871277</v>
      </c>
      <c r="F1727" t="s">
        <v>84</v>
      </c>
      <c r="G1727">
        <v>-422.21030000000002</v>
      </c>
      <c r="H1727">
        <v>14.69244</v>
      </c>
      <c r="I1727">
        <v>0.45495799999999997</v>
      </c>
      <c r="J1727">
        <v>-420.35610000000003</v>
      </c>
      <c r="K1727">
        <v>1.103194</v>
      </c>
      <c r="L1727">
        <v>91.687709999999996</v>
      </c>
      <c r="M1727">
        <v>-7.5439399999999907E-2</v>
      </c>
      <c r="N1727">
        <v>0</v>
      </c>
      <c r="O1727">
        <v>-0.99706399999999995</v>
      </c>
      <c r="P1727">
        <v>3.0009020000000001E-2</v>
      </c>
      <c r="Q1727">
        <v>0.16977890000000001</v>
      </c>
      <c r="R1727">
        <v>-0.98502559999999995</v>
      </c>
      <c r="S1727">
        <v>-6.1645510000000001E-2</v>
      </c>
      <c r="T1727">
        <v>0.43916369999999999</v>
      </c>
      <c r="U1727">
        <v>-2.9709779999999899</v>
      </c>
      <c r="V1727">
        <v>-0.10410609999999999</v>
      </c>
      <c r="W1727">
        <v>0.182716299999999</v>
      </c>
      <c r="X1727">
        <v>0.97763829999999996</v>
      </c>
      <c r="Y1727">
        <v>-5.4964739999999998E-2</v>
      </c>
      <c r="Z1727">
        <v>-0.145481</v>
      </c>
      <c r="AA1727">
        <v>0.98783310000000002</v>
      </c>
      <c r="AB1727">
        <v>36</v>
      </c>
      <c r="AC1727">
        <v>-1.8541999999999901</v>
      </c>
      <c r="AD1727">
        <v>13.589245999999999</v>
      </c>
      <c r="AE1727">
        <v>-91.232752000000005</v>
      </c>
      <c r="AF1727">
        <v>-4.9249982097330101</v>
      </c>
      <c r="AG1727">
        <v>13.589245999999999</v>
      </c>
      <c r="AH1727">
        <v>89.135823882831303</v>
      </c>
      <c r="AI1727">
        <v>81.344691949852006</v>
      </c>
      <c r="AJ1727">
        <v>93.162532974679493</v>
      </c>
      <c r="AK1727">
        <v>90.300156774423698</v>
      </c>
    </row>
    <row r="1728" spans="1:37" x14ac:dyDescent="0.2">
      <c r="A1728" t="str">
        <f>"20200111150623924"</f>
        <v>20200111150623924</v>
      </c>
      <c r="B1728" t="str">
        <f>"1578726383918339"</f>
        <v>1578726383918339</v>
      </c>
      <c r="C1728" t="s">
        <v>37</v>
      </c>
      <c r="D1728">
        <v>4.9272039999999997</v>
      </c>
      <c r="E1728">
        <v>0.48804029999999998</v>
      </c>
      <c r="F1728" t="s">
        <v>39</v>
      </c>
      <c r="G1728">
        <v>-419.09879999999998</v>
      </c>
      <c r="H1728" s="1">
        <v>-4.1034749999999997E-6</v>
      </c>
      <c r="I1728">
        <v>68.825450000000004</v>
      </c>
      <c r="J1728">
        <v>-420.38249999999999</v>
      </c>
      <c r="K1728">
        <v>1.1035729999999999</v>
      </c>
      <c r="L1728">
        <v>91.328490000000002</v>
      </c>
      <c r="M1728">
        <v>-7.4420860000000005E-2</v>
      </c>
      <c r="N1728">
        <v>0</v>
      </c>
      <c r="O1728">
        <v>-0.99714099999999894</v>
      </c>
      <c r="P1728">
        <v>3.330586E-2</v>
      </c>
      <c r="Q1728">
        <v>0.1703895</v>
      </c>
      <c r="R1728">
        <v>-0.98481390000000002</v>
      </c>
      <c r="S1728">
        <v>0.1686096</v>
      </c>
      <c r="T1728">
        <v>-0.14794460000000001</v>
      </c>
      <c r="U1728">
        <v>-3.0659480000000001</v>
      </c>
      <c r="V1728">
        <v>-0.10654469999999901</v>
      </c>
      <c r="W1728">
        <v>0.18318180000000001</v>
      </c>
      <c r="X1728">
        <v>0.97728839999999995</v>
      </c>
      <c r="Y1728">
        <v>-0.12901079999999901</v>
      </c>
      <c r="Z1728">
        <v>4.7759990000000002E-2</v>
      </c>
      <c r="AA1728">
        <v>0.99049240000000005</v>
      </c>
      <c r="AB1728">
        <v>36</v>
      </c>
      <c r="AC1728">
        <v>1.2837000000000101</v>
      </c>
      <c r="AD1728">
        <v>-1.1035771034749999</v>
      </c>
      <c r="AE1728">
        <v>-22.503039999999999</v>
      </c>
      <c r="AF1728">
        <v>-2.9479118271977298</v>
      </c>
      <c r="AG1728">
        <v>-1.1035771034749999</v>
      </c>
      <c r="AH1728">
        <v>22.291645895067301</v>
      </c>
      <c r="AI1728">
        <v>92.8097659944995</v>
      </c>
      <c r="AJ1728">
        <v>97.533248517992504</v>
      </c>
      <c r="AK1728">
        <v>22.5127862175102</v>
      </c>
    </row>
    <row r="1729" spans="1:37" x14ac:dyDescent="0.2">
      <c r="A1729" t="str">
        <f>"20200111150623946"</f>
        <v>20200111150623946</v>
      </c>
      <c r="B1729" t="str">
        <f>"1578726383937858"</f>
        <v>1578726383937858</v>
      </c>
      <c r="C1729" t="s">
        <v>37</v>
      </c>
      <c r="D1729">
        <v>4.9403249999999996</v>
      </c>
      <c r="E1729">
        <v>0.48745280000000002</v>
      </c>
      <c r="F1729" t="s">
        <v>39</v>
      </c>
      <c r="G1729">
        <v>-418.64150000000001</v>
      </c>
      <c r="H1729" s="1">
        <v>-5.7426730000000002E-7</v>
      </c>
      <c r="I1729">
        <v>60.273429999999998</v>
      </c>
      <c r="J1729">
        <v>-420.40780000000001</v>
      </c>
      <c r="K1729">
        <v>1.1039139999999901</v>
      </c>
      <c r="L1729">
        <v>90.976380000000006</v>
      </c>
      <c r="M1729">
        <v>-7.3152480000000006E-2</v>
      </c>
      <c r="N1729">
        <v>0</v>
      </c>
      <c r="O1729">
        <v>-0.99723549999999905</v>
      </c>
      <c r="P1729">
        <v>3.6594639999999998E-2</v>
      </c>
      <c r="Q1729">
        <v>0.1701848</v>
      </c>
      <c r="R1729">
        <v>-0.98473279999999996</v>
      </c>
      <c r="S1729">
        <v>0.17150879999999999</v>
      </c>
      <c r="T1729">
        <v>-0.10871409999999999</v>
      </c>
      <c r="U1729">
        <v>-3.0592649999999999</v>
      </c>
      <c r="V1729">
        <v>-0.1087253</v>
      </c>
      <c r="W1729">
        <v>0.1828447</v>
      </c>
      <c r="X1729">
        <v>0.97711130000000002</v>
      </c>
      <c r="Y1729">
        <v>-0.12883319999999901</v>
      </c>
      <c r="Z1729">
        <v>3.5195190000000001E-2</v>
      </c>
      <c r="AA1729">
        <v>0.99104150000000002</v>
      </c>
      <c r="AB1729">
        <v>36</v>
      </c>
      <c r="AC1729">
        <v>1.7663</v>
      </c>
      <c r="AD1729">
        <v>-1.10391457426729</v>
      </c>
      <c r="AE1729">
        <v>-30.702950000000001</v>
      </c>
      <c r="AF1729">
        <v>-4.0025975735005996</v>
      </c>
      <c r="AG1729">
        <v>-1.10391457426729</v>
      </c>
      <c r="AH1729">
        <v>30.452218551584401</v>
      </c>
      <c r="AI1729">
        <v>92.058414518626705</v>
      </c>
      <c r="AJ1729">
        <v>97.487954144586894</v>
      </c>
      <c r="AK1729">
        <v>30.733971911162701</v>
      </c>
    </row>
    <row r="1730" spans="1:37" x14ac:dyDescent="0.2">
      <c r="A1730" t="str">
        <f>"20200111150623969"</f>
        <v>20200111150623969</v>
      </c>
      <c r="B1730" t="str">
        <f>"1578726383958353"</f>
        <v>1578726383958353</v>
      </c>
      <c r="C1730" t="s">
        <v>37</v>
      </c>
      <c r="D1730">
        <v>4.9508519999999896</v>
      </c>
      <c r="E1730">
        <v>0.48745090000000002</v>
      </c>
      <c r="F1730" t="s">
        <v>39</v>
      </c>
      <c r="G1730">
        <v>-418.70150000000001</v>
      </c>
      <c r="H1730" s="1">
        <v>-1.5733029999999999E-6</v>
      </c>
      <c r="I1730">
        <v>62.763269999999999</v>
      </c>
      <c r="J1730">
        <v>-420.43340000000001</v>
      </c>
      <c r="K1730">
        <v>1.104214</v>
      </c>
      <c r="L1730">
        <v>90.611599999999996</v>
      </c>
      <c r="M1730">
        <v>-7.1642499999999998E-2</v>
      </c>
      <c r="N1730">
        <v>0</v>
      </c>
      <c r="O1730">
        <v>-0.99734539999999905</v>
      </c>
      <c r="P1730">
        <v>4.0030389999999999E-2</v>
      </c>
      <c r="Q1730">
        <v>0.1691956</v>
      </c>
      <c r="R1730">
        <v>-0.98476939999999902</v>
      </c>
      <c r="S1730">
        <v>0.18508910000000001</v>
      </c>
      <c r="T1730">
        <v>-0.119744</v>
      </c>
      <c r="U1730">
        <v>-3.060333</v>
      </c>
      <c r="V1730">
        <v>-0.11080859999999999</v>
      </c>
      <c r="W1730">
        <v>0.18173259999999999</v>
      </c>
      <c r="X1730">
        <v>0.97708479999999998</v>
      </c>
      <c r="Y1730">
        <v>-0.13168679999999999</v>
      </c>
      <c r="Z1730">
        <v>3.8741440000000002E-2</v>
      </c>
      <c r="AA1730">
        <v>0.99053409999999997</v>
      </c>
      <c r="AB1730">
        <v>36</v>
      </c>
      <c r="AC1730">
        <v>1.73189999999999</v>
      </c>
      <c r="AD1730">
        <v>-1.1042155733029999</v>
      </c>
      <c r="AE1730">
        <v>-27.848329999999901</v>
      </c>
      <c r="AF1730">
        <v>-3.71692075570573</v>
      </c>
      <c r="AG1730">
        <v>-1.1042155733029999</v>
      </c>
      <c r="AH1730">
        <v>27.609429444812601</v>
      </c>
      <c r="AI1730">
        <v>92.269820281139999</v>
      </c>
      <c r="AJ1730">
        <v>97.667348060173794</v>
      </c>
      <c r="AK1730">
        <v>27.8803763641132</v>
      </c>
    </row>
    <row r="1731" spans="1:37" x14ac:dyDescent="0.2">
      <c r="A1731" t="str">
        <f>"20200111150623992"</f>
        <v>20200111150623992</v>
      </c>
      <c r="B1731" t="str">
        <f>"1578726383988610"</f>
        <v>1578726383988610</v>
      </c>
      <c r="C1731" t="s">
        <v>37</v>
      </c>
      <c r="D1731">
        <v>4.8682189999999999</v>
      </c>
      <c r="E1731">
        <v>0.48891849999999998</v>
      </c>
      <c r="F1731" t="s">
        <v>39</v>
      </c>
      <c r="G1731">
        <v>-418.77409999999998</v>
      </c>
      <c r="H1731" s="1">
        <v>-2.261251E-6</v>
      </c>
      <c r="I1731">
        <v>64.396919999999994</v>
      </c>
      <c r="J1731">
        <v>-420.4588</v>
      </c>
      <c r="K1731">
        <v>1.1044700000000001</v>
      </c>
      <c r="L1731">
        <v>90.238010000000003</v>
      </c>
      <c r="M1731">
        <v>-6.9956820000000003E-2</v>
      </c>
      <c r="N1731">
        <v>0</v>
      </c>
      <c r="O1731">
        <v>-0.99746579999999996</v>
      </c>
      <c r="P1731">
        <v>4.3169569999999997E-2</v>
      </c>
      <c r="Q1731">
        <v>0.16793089999999999</v>
      </c>
      <c r="R1731">
        <v>-0.98485319999999898</v>
      </c>
      <c r="S1731">
        <v>0.1937256</v>
      </c>
      <c r="T1731">
        <v>-0.1289216</v>
      </c>
      <c r="U1731">
        <v>-3.0606689999999999</v>
      </c>
      <c r="V1731">
        <v>-0.1124018</v>
      </c>
      <c r="W1731">
        <v>0.18036140000000001</v>
      </c>
      <c r="X1731">
        <v>0.97715689999999999</v>
      </c>
      <c r="Y1731">
        <v>-0.1327816</v>
      </c>
      <c r="Z1731">
        <v>4.1701960000000003E-2</v>
      </c>
      <c r="AA1731">
        <v>0.99026759999999903</v>
      </c>
      <c r="AB1731">
        <v>36</v>
      </c>
      <c r="AC1731">
        <v>1.6847000000000201</v>
      </c>
      <c r="AD1731">
        <v>-1.1044722612510001</v>
      </c>
      <c r="AE1731">
        <v>-25.841090000000001</v>
      </c>
      <c r="AF1731">
        <v>-3.4821499723640201</v>
      </c>
      <c r="AG1731">
        <v>-1.1044722612510001</v>
      </c>
      <c r="AH1731">
        <v>25.613311011290801</v>
      </c>
      <c r="AI1731">
        <v>92.446644251188502</v>
      </c>
      <c r="AJ1731">
        <v>97.741942438329701</v>
      </c>
      <c r="AK1731">
        <v>25.872512989020201</v>
      </c>
    </row>
    <row r="1732" spans="1:37" x14ac:dyDescent="0.2">
      <c r="A1732" t="str">
        <f>"20200111150624015"</f>
        <v>20200111150624015</v>
      </c>
      <c r="B1732" t="str">
        <f>"1578726384008129"</f>
        <v>1578726384008129</v>
      </c>
      <c r="C1732" t="s">
        <v>37</v>
      </c>
      <c r="D1732">
        <v>5.1534899999999997</v>
      </c>
      <c r="E1732">
        <v>0.48903940000000001</v>
      </c>
      <c r="F1732" t="s">
        <v>39</v>
      </c>
      <c r="G1732">
        <v>-419.07769999999999</v>
      </c>
      <c r="H1732" s="1">
        <v>-3.7788889999999998E-6</v>
      </c>
      <c r="I1732">
        <v>68.060100000000006</v>
      </c>
      <c r="J1732">
        <v>-420.483</v>
      </c>
      <c r="K1732">
        <v>1.104646</v>
      </c>
      <c r="L1732">
        <v>89.869659999999996</v>
      </c>
      <c r="M1732">
        <v>-6.8207760000000006E-2</v>
      </c>
      <c r="N1732">
        <v>0</v>
      </c>
      <c r="O1732">
        <v>-0.99758709999999995</v>
      </c>
      <c r="P1732">
        <v>4.4609349999999999E-2</v>
      </c>
      <c r="Q1732">
        <v>0.1659243</v>
      </c>
      <c r="R1732">
        <v>-0.98512929999999999</v>
      </c>
      <c r="S1732">
        <v>0.19079589999999999</v>
      </c>
      <c r="T1732">
        <v>-0.15257979999999999</v>
      </c>
      <c r="U1732">
        <v>-3.063812</v>
      </c>
      <c r="V1732">
        <v>-0.11221299999999999</v>
      </c>
      <c r="W1732">
        <v>0.17828179999999999</v>
      </c>
      <c r="X1732">
        <v>0.97756019999999899</v>
      </c>
      <c r="Y1732">
        <v>-0.1300143</v>
      </c>
      <c r="Z1732">
        <v>4.93064E-2</v>
      </c>
      <c r="AA1732">
        <v>0.99028539999999998</v>
      </c>
      <c r="AB1732">
        <v>36</v>
      </c>
      <c r="AC1732">
        <v>1.40530000000001</v>
      </c>
      <c r="AD1732">
        <v>-1.104649778889</v>
      </c>
      <c r="AE1732">
        <v>-21.809559999999902</v>
      </c>
      <c r="AF1732">
        <v>-2.88236880968608</v>
      </c>
      <c r="AG1732">
        <v>-1.104649778889</v>
      </c>
      <c r="AH1732">
        <v>21.607696406077299</v>
      </c>
      <c r="AI1732">
        <v>92.900931216212996</v>
      </c>
      <c r="AJ1732">
        <v>97.598141301618199</v>
      </c>
      <c r="AK1732">
        <v>21.827066799417999</v>
      </c>
    </row>
    <row r="1733" spans="1:37" x14ac:dyDescent="0.2">
      <c r="A1733" t="str">
        <f>"20200111150624040"</f>
        <v>20200111150624040</v>
      </c>
      <c r="B1733" t="str">
        <f>"1578726384028626"</f>
        <v>1578726384028626</v>
      </c>
      <c r="C1733" t="s">
        <v>37</v>
      </c>
      <c r="D1733">
        <v>5.5352439999999996</v>
      </c>
      <c r="E1733">
        <v>0.48998649999999999</v>
      </c>
      <c r="F1733" t="s">
        <v>39</v>
      </c>
      <c r="G1733">
        <v>-419.05079999999998</v>
      </c>
      <c r="H1733" s="1">
        <v>-3.573526E-6</v>
      </c>
      <c r="I1733">
        <v>67.570279999999997</v>
      </c>
      <c r="J1733">
        <v>-420.5077</v>
      </c>
      <c r="K1733">
        <v>1.1047629999999999</v>
      </c>
      <c r="L1733">
        <v>89.483090000000004</v>
      </c>
      <c r="M1733">
        <v>-6.6342150000000003E-2</v>
      </c>
      <c r="N1733">
        <v>0</v>
      </c>
      <c r="O1733">
        <v>-0.99771330000000003</v>
      </c>
      <c r="P1733">
        <v>4.4748660000000003E-2</v>
      </c>
      <c r="Q1733">
        <v>0.16474359999999999</v>
      </c>
      <c r="R1733">
        <v>-0.98532109999999995</v>
      </c>
      <c r="S1733">
        <v>0.19665529999999901</v>
      </c>
      <c r="T1733">
        <v>-0.15167900000000001</v>
      </c>
      <c r="U1733">
        <v>-3.0619200000000002</v>
      </c>
      <c r="V1733">
        <v>-0.1105817</v>
      </c>
      <c r="W1733">
        <v>0.17704909999999999</v>
      </c>
      <c r="X1733">
        <v>0.97797000000000001</v>
      </c>
      <c r="Y1733">
        <v>-0.13008649999999999</v>
      </c>
      <c r="Z1733">
        <v>4.90523E-2</v>
      </c>
      <c r="AA1733">
        <v>0.99028859999999996</v>
      </c>
      <c r="AB1733">
        <v>36</v>
      </c>
      <c r="AC1733">
        <v>1.4569000000000101</v>
      </c>
      <c r="AD1733">
        <v>-1.1047665735259999</v>
      </c>
      <c r="AE1733">
        <v>-21.91281</v>
      </c>
      <c r="AF1733">
        <v>-2.9002146834293998</v>
      </c>
      <c r="AG1733">
        <v>-1.1047665735259999</v>
      </c>
      <c r="AH1733">
        <v>21.712917145157601</v>
      </c>
      <c r="AI1733">
        <v>92.887135538175997</v>
      </c>
      <c r="AJ1733">
        <v>97.608018833578399</v>
      </c>
      <c r="AK1733">
        <v>21.9335935346773</v>
      </c>
    </row>
    <row r="1734" spans="1:37" x14ac:dyDescent="0.2">
      <c r="A1734" t="str">
        <f>"20200111150624059"</f>
        <v>20200111150624059</v>
      </c>
      <c r="B1734" t="str">
        <f>"1578726384047912"</f>
        <v>1578726384047912</v>
      </c>
      <c r="C1734" t="s">
        <v>37</v>
      </c>
      <c r="D1734">
        <v>4.9247170000000002</v>
      </c>
      <c r="E1734">
        <v>0.490810999999999</v>
      </c>
      <c r="F1734" t="s">
        <v>39</v>
      </c>
      <c r="G1734">
        <v>-418.41239999999999</v>
      </c>
      <c r="H1734" s="1">
        <v>-3.1397719999999899E-6</v>
      </c>
      <c r="I1734">
        <v>56.295189999999998</v>
      </c>
      <c r="J1734">
        <v>-420.5274</v>
      </c>
      <c r="K1734">
        <v>1.104824</v>
      </c>
      <c r="L1734">
        <v>89.166409999999999</v>
      </c>
      <c r="M1734">
        <v>-6.4813220000000005E-2</v>
      </c>
      <c r="N1734">
        <v>0</v>
      </c>
      <c r="O1734">
        <v>-0.99781430000000004</v>
      </c>
      <c r="P1734">
        <v>4.513843E-2</v>
      </c>
      <c r="Q1734">
        <v>0.16350049999999999</v>
      </c>
      <c r="R1734">
        <v>-0.98551060000000001</v>
      </c>
      <c r="S1734">
        <v>0.192749</v>
      </c>
      <c r="T1734">
        <v>-0.101627199999999</v>
      </c>
      <c r="U1734">
        <v>-3.05294799999999</v>
      </c>
      <c r="V1734">
        <v>-0.10950409999999999</v>
      </c>
      <c r="W1734">
        <v>0.17577479999999901</v>
      </c>
      <c r="X1734">
        <v>0.978320999999999</v>
      </c>
      <c r="Y1734">
        <v>-0.1275327</v>
      </c>
      <c r="Z1734">
        <v>3.299614E-2</v>
      </c>
      <c r="AA1734">
        <v>0.99128539999999998</v>
      </c>
      <c r="AB1734">
        <v>36</v>
      </c>
      <c r="AC1734">
        <v>2.1150000000000002</v>
      </c>
      <c r="AD1734">
        <v>-1.104827139772</v>
      </c>
      <c r="AE1734">
        <v>-32.871219999999902</v>
      </c>
      <c r="AF1734">
        <v>-4.2364524945921396</v>
      </c>
      <c r="AG1734">
        <v>-1.104827139772</v>
      </c>
      <c r="AH1734">
        <v>32.628294885397302</v>
      </c>
      <c r="AI1734">
        <v>91.923221032300901</v>
      </c>
      <c r="AJ1734">
        <v>97.397887796872197</v>
      </c>
      <c r="AK1734">
        <v>32.920719917343199</v>
      </c>
    </row>
    <row r="1735" spans="1:37" x14ac:dyDescent="0.2">
      <c r="A1735" t="str">
        <f>"20200111150624082"</f>
        <v>20200111150624082</v>
      </c>
      <c r="B1735" t="str">
        <f>"1578726384078168"</f>
        <v>1578726384078168</v>
      </c>
      <c r="C1735" t="s">
        <v>37</v>
      </c>
      <c r="D1735">
        <v>4.9880149999999999</v>
      </c>
      <c r="E1735">
        <v>0.49146339999999999</v>
      </c>
      <c r="F1735" t="s">
        <v>39</v>
      </c>
      <c r="G1735">
        <v>-418.48520000000002</v>
      </c>
      <c r="H1735" s="1">
        <v>-2.9663380000000001E-6</v>
      </c>
      <c r="I1735">
        <v>55.921039999999998</v>
      </c>
      <c r="J1735">
        <v>-420.54910000000001</v>
      </c>
      <c r="K1735">
        <v>1.10486</v>
      </c>
      <c r="L1735">
        <v>88.809419999999903</v>
      </c>
      <c r="M1735">
        <v>-6.3116549999999993E-2</v>
      </c>
      <c r="N1735">
        <v>0</v>
      </c>
      <c r="O1735">
        <v>-0.99792309999999995</v>
      </c>
      <c r="P1735">
        <v>4.5286689999999998E-2</v>
      </c>
      <c r="Q1735">
        <v>0.16310269999999999</v>
      </c>
      <c r="R1735">
        <v>-0.98556909999999898</v>
      </c>
      <c r="S1735">
        <v>0.1875</v>
      </c>
      <c r="T1735">
        <v>-0.10143779999999999</v>
      </c>
      <c r="U1735">
        <v>-3.052368</v>
      </c>
      <c r="V1735">
        <v>-0.10800510000000001</v>
      </c>
      <c r="W1735">
        <v>0.1753458</v>
      </c>
      <c r="X1735">
        <v>0.97856460000000001</v>
      </c>
      <c r="Y1735">
        <v>-0.1241594</v>
      </c>
      <c r="Z1735">
        <v>3.295522E-2</v>
      </c>
      <c r="AA1735">
        <v>0.99171489999999995</v>
      </c>
      <c r="AB1735">
        <v>36</v>
      </c>
      <c r="AC1735">
        <v>2.0638999999999799</v>
      </c>
      <c r="AD1735">
        <v>-1.1048629663380001</v>
      </c>
      <c r="AE1735">
        <v>-32.888379999999898</v>
      </c>
      <c r="AF1735">
        <v>-4.1311134115811203</v>
      </c>
      <c r="AG1735">
        <v>-1.1048629663380001</v>
      </c>
      <c r="AH1735">
        <v>32.655807914289603</v>
      </c>
      <c r="AI1735">
        <v>91.9224719100459</v>
      </c>
      <c r="AJ1735">
        <v>97.209887569423998</v>
      </c>
      <c r="AK1735">
        <v>32.934611136746597</v>
      </c>
    </row>
    <row r="1736" spans="1:37" x14ac:dyDescent="0.2">
      <c r="A1736" t="str">
        <f>"20200111150624103"</f>
        <v>20200111150624103</v>
      </c>
      <c r="B1736" t="str">
        <f>"1578726384098665"</f>
        <v>1578726384098665</v>
      </c>
      <c r="C1736" t="s">
        <v>37</v>
      </c>
      <c r="D1736">
        <v>4.2537989999999999</v>
      </c>
      <c r="E1736">
        <v>0.49100509999999897</v>
      </c>
      <c r="F1736" t="s">
        <v>85</v>
      </c>
      <c r="G1736">
        <v>-415.85480000000001</v>
      </c>
      <c r="H1736" s="1">
        <v>-1.3272119999999999E-5</v>
      </c>
      <c r="I1736">
        <v>11.81987</v>
      </c>
      <c r="J1736">
        <v>-420.56950000000001</v>
      </c>
      <c r="K1736">
        <v>1.104873</v>
      </c>
      <c r="L1736">
        <v>88.461759999999998</v>
      </c>
      <c r="M1736">
        <v>-6.1510589999999997E-2</v>
      </c>
      <c r="N1736">
        <v>0</v>
      </c>
      <c r="O1736">
        <v>-0.99802420000000003</v>
      </c>
      <c r="P1736">
        <v>4.5685829999999997E-2</v>
      </c>
      <c r="Q1736">
        <v>0.16303019999999999</v>
      </c>
      <c r="R1736">
        <v>-0.98556319999999997</v>
      </c>
      <c r="S1736">
        <v>0.1855164</v>
      </c>
      <c r="T1736">
        <v>-4.3664689999999999E-2</v>
      </c>
      <c r="U1736">
        <v>-3.0426329999999999</v>
      </c>
      <c r="V1736">
        <v>-0.1068331</v>
      </c>
      <c r="W1736">
        <v>0.1752406</v>
      </c>
      <c r="X1736">
        <v>0.97871209999999997</v>
      </c>
      <c r="Y1736">
        <v>-0.1221394</v>
      </c>
      <c r="Z1736">
        <v>1.4241749999999999E-2</v>
      </c>
      <c r="AA1736">
        <v>0.99241080000000004</v>
      </c>
      <c r="AB1736">
        <v>36</v>
      </c>
      <c r="AC1736">
        <v>4.7146999999999899</v>
      </c>
      <c r="AD1736">
        <v>-1.1048862721199999</v>
      </c>
      <c r="AE1736">
        <v>-76.641890000000004</v>
      </c>
      <c r="AF1736">
        <v>-9.4184957108811602</v>
      </c>
      <c r="AG1736">
        <v>-1.1048862721199999</v>
      </c>
      <c r="AH1736">
        <v>76.190936784564002</v>
      </c>
      <c r="AI1736">
        <v>90.824543836372698</v>
      </c>
      <c r="AJ1736">
        <v>97.046982631812696</v>
      </c>
      <c r="AK1736">
        <v>76.778823143101306</v>
      </c>
    </row>
    <row r="1737" spans="1:37" x14ac:dyDescent="0.2">
      <c r="A1737" t="str">
        <f>"20200111150624128"</f>
        <v>20200111150624128</v>
      </c>
      <c r="B1737" t="str">
        <f>"1578726384118184"</f>
        <v>1578726384118184</v>
      </c>
      <c r="C1737" t="s">
        <v>37</v>
      </c>
      <c r="D1737">
        <v>5.9390769999999904</v>
      </c>
      <c r="E1737">
        <v>0.4907223</v>
      </c>
      <c r="F1737" t="s">
        <v>85</v>
      </c>
      <c r="G1737">
        <v>-416.233</v>
      </c>
      <c r="H1737" s="1">
        <v>-1.182678E-5</v>
      </c>
      <c r="I1737">
        <v>19.17306</v>
      </c>
      <c r="J1737">
        <v>-420.59249999999997</v>
      </c>
      <c r="K1737">
        <v>1.104873</v>
      </c>
      <c r="L1737">
        <v>88.06223</v>
      </c>
      <c r="M1737">
        <v>-5.9728339999999998E-2</v>
      </c>
      <c r="N1737">
        <v>0</v>
      </c>
      <c r="O1737">
        <v>-0.99813289999999999</v>
      </c>
      <c r="P1737">
        <v>4.6641790000000002E-2</v>
      </c>
      <c r="Q1737">
        <v>0.163216</v>
      </c>
      <c r="R1737">
        <v>-0.98548760000000002</v>
      </c>
      <c r="S1737">
        <v>0.1904602</v>
      </c>
      <c r="T1737">
        <v>-4.8526409999999999E-2</v>
      </c>
      <c r="U1737">
        <v>-3.0431520000000001</v>
      </c>
      <c r="V1737">
        <v>-0.106034199999999</v>
      </c>
      <c r="W1737">
        <v>0.17538010000000001</v>
      </c>
      <c r="X1737">
        <v>0.97877400000000003</v>
      </c>
      <c r="Y1737">
        <v>-0.1219614</v>
      </c>
      <c r="Z1737">
        <v>1.5826349999999999E-2</v>
      </c>
      <c r="AA1737">
        <v>0.99240859999999997</v>
      </c>
      <c r="AB1737">
        <v>36</v>
      </c>
      <c r="AC1737">
        <v>4.3594999999999597</v>
      </c>
      <c r="AD1737">
        <v>-1.10488482677999</v>
      </c>
      <c r="AE1737">
        <v>-68.889169999999993</v>
      </c>
      <c r="AF1737">
        <v>-8.4645185263206404</v>
      </c>
      <c r="AG1737">
        <v>-1.10488482677999</v>
      </c>
      <c r="AH1737">
        <v>68.488205602837695</v>
      </c>
      <c r="AI1737">
        <v>90.917265301221505</v>
      </c>
      <c r="AJ1737">
        <v>97.045508847171007</v>
      </c>
      <c r="AK1737">
        <v>69.018136392251506</v>
      </c>
    </row>
    <row r="1738" spans="1:37" x14ac:dyDescent="0.2">
      <c r="A1738" t="str">
        <f>"20200111150624150"</f>
        <v>20200111150624150</v>
      </c>
      <c r="B1738" t="str">
        <f>"1578726384138681"</f>
        <v>1578726384138681</v>
      </c>
      <c r="C1738" t="s">
        <v>37</v>
      </c>
      <c r="D1738">
        <v>4.9691879999999999</v>
      </c>
      <c r="E1738">
        <v>0.49072680000000002</v>
      </c>
      <c r="F1738" t="s">
        <v>85</v>
      </c>
      <c r="G1738">
        <v>-417.21859999999998</v>
      </c>
      <c r="H1738" s="1">
        <v>-3.4031219999999998E-6</v>
      </c>
      <c r="I1738">
        <v>35.312550000000002</v>
      </c>
      <c r="J1738">
        <v>-420.61189999999999</v>
      </c>
      <c r="K1738">
        <v>1.1048559999999901</v>
      </c>
      <c r="L1738">
        <v>87.714290000000005</v>
      </c>
      <c r="M1738">
        <v>-5.8231899999999899E-2</v>
      </c>
      <c r="N1738">
        <v>0</v>
      </c>
      <c r="O1738">
        <v>-0.99822219999999995</v>
      </c>
      <c r="P1738">
        <v>4.754717E-2</v>
      </c>
      <c r="Q1738">
        <v>0.1627536</v>
      </c>
      <c r="R1738">
        <v>-0.98552119999999999</v>
      </c>
      <c r="S1738">
        <v>0.19479369999999999</v>
      </c>
      <c r="T1738">
        <v>-6.3790680000000002E-2</v>
      </c>
      <c r="U1738">
        <v>-3.0455320000000001</v>
      </c>
      <c r="V1738">
        <v>-0.10546510000000001</v>
      </c>
      <c r="W1738">
        <v>0.17487349999999999</v>
      </c>
      <c r="X1738">
        <v>0.97892610000000002</v>
      </c>
      <c r="Y1738">
        <v>-0.1218257</v>
      </c>
      <c r="Z1738">
        <v>2.078851E-2</v>
      </c>
      <c r="AA1738">
        <v>0.99233379999999904</v>
      </c>
      <c r="AB1738">
        <v>36</v>
      </c>
      <c r="AC1738">
        <v>3.3933</v>
      </c>
      <c r="AD1738">
        <v>-1.10485940312199</v>
      </c>
      <c r="AE1738">
        <v>-52.401739999999997</v>
      </c>
      <c r="AF1738">
        <v>-6.4363908543252304</v>
      </c>
      <c r="AG1738">
        <v>-1.10485940312199</v>
      </c>
      <c r="AH1738">
        <v>52.092129005687099</v>
      </c>
      <c r="AI1738">
        <v>91.2058780038777</v>
      </c>
      <c r="AJ1738">
        <v>97.043643410844297</v>
      </c>
      <c r="AK1738">
        <v>52.499883293922203</v>
      </c>
    </row>
    <row r="1739" spans="1:37" x14ac:dyDescent="0.2">
      <c r="A1739" t="str">
        <f>"20200111150624173"</f>
        <v>20200111150624173</v>
      </c>
      <c r="B1739" t="str">
        <f>"1578726384167960"</f>
        <v>1578726384167960</v>
      </c>
      <c r="C1739" t="s">
        <v>37</v>
      </c>
      <c r="D1739">
        <v>5.0772810000000002</v>
      </c>
      <c r="E1739">
        <v>0.46101920000000002</v>
      </c>
      <c r="F1739" t="s">
        <v>39</v>
      </c>
      <c r="G1739">
        <v>-417.63080000000002</v>
      </c>
      <c r="H1739" s="1">
        <v>-1.2687189999999999E-6</v>
      </c>
      <c r="I1739">
        <v>41.523850000000003</v>
      </c>
      <c r="J1739">
        <v>-420.63139999999999</v>
      </c>
      <c r="K1739">
        <v>1.1048340000000001</v>
      </c>
      <c r="L1739">
        <v>87.354770000000002</v>
      </c>
      <c r="M1739">
        <v>-5.673135E-2</v>
      </c>
      <c r="N1739">
        <v>0</v>
      </c>
      <c r="O1739">
        <v>-0.998309</v>
      </c>
      <c r="P1739">
        <v>4.8495490000000002E-2</v>
      </c>
      <c r="Q1739">
        <v>0.16230600000000001</v>
      </c>
      <c r="R1739">
        <v>-0.98554830000000004</v>
      </c>
      <c r="S1739">
        <v>0.19662479999999999</v>
      </c>
      <c r="T1739">
        <v>-7.2874190000000005E-2</v>
      </c>
      <c r="U1739">
        <v>-3.0466310000000001</v>
      </c>
      <c r="V1739">
        <v>-0.104932199999999</v>
      </c>
      <c r="W1739">
        <v>0.1743702</v>
      </c>
      <c r="X1739">
        <v>0.97907319999999998</v>
      </c>
      <c r="Y1739">
        <v>-0.1209006</v>
      </c>
      <c r="Z1739">
        <v>2.3742559999999999E-2</v>
      </c>
      <c r="AA1739">
        <v>0.99238059999999995</v>
      </c>
      <c r="AB1739">
        <v>36</v>
      </c>
      <c r="AC1739">
        <v>3.00059999999996</v>
      </c>
      <c r="AD1739">
        <v>-1.104835268719</v>
      </c>
      <c r="AE1739">
        <v>-45.830919999999999</v>
      </c>
      <c r="AF1739">
        <v>-5.5927892920425402</v>
      </c>
      <c r="AG1739">
        <v>-1.104835268719</v>
      </c>
      <c r="AH1739">
        <v>45.560490908165796</v>
      </c>
      <c r="AI1739">
        <v>91.378796497766601</v>
      </c>
      <c r="AJ1739">
        <v>96.998345348029204</v>
      </c>
      <c r="AK1739">
        <v>45.915773812811402</v>
      </c>
    </row>
    <row r="1740" spans="1:37" x14ac:dyDescent="0.2">
      <c r="A1740" t="str">
        <f>"20200111150624214"</f>
        <v>20200111150624214</v>
      </c>
      <c r="B1740" t="str">
        <f>"1578726384207976"</f>
        <v>1578726384207976</v>
      </c>
      <c r="C1740" t="s">
        <v>37</v>
      </c>
      <c r="D1740">
        <v>4.9014160000000002</v>
      </c>
      <c r="E1740">
        <v>0.4872765</v>
      </c>
      <c r="F1740" t="s">
        <v>84</v>
      </c>
      <c r="G1740">
        <v>-406.95359999999999</v>
      </c>
      <c r="H1740">
        <v>19.240400000000001</v>
      </c>
      <c r="I1740">
        <v>0.61013030000000001</v>
      </c>
      <c r="J1740">
        <v>-420.66579999999999</v>
      </c>
      <c r="K1740">
        <v>1.104784</v>
      </c>
      <c r="L1740">
        <v>86.696039999999996</v>
      </c>
      <c r="M1740">
        <v>-5.4069470000000001E-2</v>
      </c>
      <c r="N1740">
        <v>0</v>
      </c>
      <c r="O1740">
        <v>-0.99845839999999997</v>
      </c>
      <c r="P1740">
        <v>5.145446E-2</v>
      </c>
      <c r="Q1740">
        <v>0.16126949999999901</v>
      </c>
      <c r="R1740">
        <v>-0.98556829999999995</v>
      </c>
      <c r="S1740">
        <v>0.46054079999999997</v>
      </c>
      <c r="T1740">
        <v>0.61063469999999997</v>
      </c>
      <c r="U1740">
        <v>-2.9207459999999998</v>
      </c>
      <c r="V1740">
        <v>-0.105257399999999</v>
      </c>
      <c r="W1740">
        <v>0.17321639999999999</v>
      </c>
      <c r="X1740">
        <v>0.97924299999999997</v>
      </c>
      <c r="Y1740">
        <v>-0.20575089999999999</v>
      </c>
      <c r="Z1740">
        <v>-0.20080970000000001</v>
      </c>
      <c r="AA1740">
        <v>0.95777969999999901</v>
      </c>
      <c r="AB1740">
        <v>36</v>
      </c>
      <c r="AC1740">
        <v>13.7121999999999</v>
      </c>
      <c r="AD1740">
        <v>18.135615999999999</v>
      </c>
      <c r="AE1740">
        <v>-86.085909700000002</v>
      </c>
      <c r="AF1740">
        <v>-17.5859482673131</v>
      </c>
      <c r="AG1740">
        <v>18.135615999999999</v>
      </c>
      <c r="AH1740">
        <v>81.682992197418301</v>
      </c>
      <c r="AI1740">
        <v>77.753846220561599</v>
      </c>
      <c r="AJ1740">
        <v>102.150040332071</v>
      </c>
      <c r="AK1740">
        <v>85.500159990982198</v>
      </c>
    </row>
    <row r="1741" spans="1:37" x14ac:dyDescent="0.2">
      <c r="A1741" t="str">
        <f>"20200111150624236"</f>
        <v>20200111150624236</v>
      </c>
      <c r="B1741" t="str">
        <f>"1578726384228472"</f>
        <v>1578726384228472</v>
      </c>
      <c r="C1741" t="s">
        <v>37</v>
      </c>
      <c r="D1741">
        <v>4.9327909999999999</v>
      </c>
      <c r="E1741">
        <v>0.48757509999999998</v>
      </c>
      <c r="F1741" t="s">
        <v>39</v>
      </c>
      <c r="G1741">
        <v>-419.3116</v>
      </c>
      <c r="H1741" s="1">
        <v>-4.0192399999999998E-6</v>
      </c>
      <c r="I1741">
        <v>68.717089999999999</v>
      </c>
      <c r="J1741">
        <v>-420.68360000000001</v>
      </c>
      <c r="K1741">
        <v>1.1047559999999901</v>
      </c>
      <c r="L1741">
        <v>86.342410000000001</v>
      </c>
      <c r="M1741">
        <v>-5.2667609999999997E-2</v>
      </c>
      <c r="N1741">
        <v>0</v>
      </c>
      <c r="O1741">
        <v>-0.99853400000000003</v>
      </c>
      <c r="P1741">
        <v>5.388093E-2</v>
      </c>
      <c r="Q1741">
        <v>0.16152130000000001</v>
      </c>
      <c r="R1741">
        <v>-0.98539719999999997</v>
      </c>
      <c r="S1741">
        <v>0.23068240000000001</v>
      </c>
      <c r="T1741">
        <v>-0.18819859999999999</v>
      </c>
      <c r="U1741">
        <v>-3.0626829999999998</v>
      </c>
      <c r="V1741">
        <v>-0.1062895</v>
      </c>
      <c r="W1741">
        <v>0.17339959999999999</v>
      </c>
      <c r="X1741">
        <v>0.97909919999999995</v>
      </c>
      <c r="Y1741">
        <v>-0.12738640000000001</v>
      </c>
      <c r="Z1741">
        <v>6.0869689999999997E-2</v>
      </c>
      <c r="AA1741">
        <v>0.98998359999999996</v>
      </c>
      <c r="AB1741">
        <v>36</v>
      </c>
      <c r="AC1741">
        <v>1.3720000000000101</v>
      </c>
      <c r="AD1741">
        <v>-1.10476001923999</v>
      </c>
      <c r="AE1741">
        <v>-17.625319999999999</v>
      </c>
      <c r="AF1741">
        <v>-2.2895104915536302</v>
      </c>
      <c r="AG1741">
        <v>-1.10476001923999</v>
      </c>
      <c r="AH1741">
        <v>17.4604028012801</v>
      </c>
      <c r="AI1741">
        <v>93.589761915621807</v>
      </c>
      <c r="AJ1741">
        <v>97.470338459626504</v>
      </c>
      <c r="AK1741">
        <v>17.6444897623591</v>
      </c>
    </row>
    <row r="1742" spans="1:37" x14ac:dyDescent="0.2">
      <c r="A1742" t="str">
        <f>"20200111150624263"</f>
        <v>20200111150624263</v>
      </c>
      <c r="B1742" t="str">
        <f>"1578726384258727"</f>
        <v>1578726384258727</v>
      </c>
      <c r="C1742" t="s">
        <v>37</v>
      </c>
      <c r="D1742">
        <v>4.9469969999999996</v>
      </c>
      <c r="E1742">
        <v>0.49044939999999998</v>
      </c>
      <c r="F1742" t="s">
        <v>39</v>
      </c>
      <c r="G1742">
        <v>-419.17899999999997</v>
      </c>
      <c r="H1742" s="1">
        <v>-3.2357420000000001E-6</v>
      </c>
      <c r="I1742">
        <v>66.835899999999995</v>
      </c>
      <c r="J1742">
        <v>-420.70429999999999</v>
      </c>
      <c r="K1742">
        <v>1.1047400000000001</v>
      </c>
      <c r="L1742">
        <v>85.915469999999999</v>
      </c>
      <c r="M1742">
        <v>-5.098888E-2</v>
      </c>
      <c r="N1742">
        <v>0</v>
      </c>
      <c r="O1742">
        <v>-0.99862240000000002</v>
      </c>
      <c r="P1742">
        <v>5.630491E-2</v>
      </c>
      <c r="Q1742">
        <v>0.16147590000000001</v>
      </c>
      <c r="R1742">
        <v>-0.98526939999999996</v>
      </c>
      <c r="S1742">
        <v>0.23602289999999901</v>
      </c>
      <c r="T1742">
        <v>-0.1733025</v>
      </c>
      <c r="U1742">
        <v>-3.0599669999999999</v>
      </c>
      <c r="V1742">
        <v>-0.10704959999999999</v>
      </c>
      <c r="W1742">
        <v>0.17327419999999999</v>
      </c>
      <c r="X1742">
        <v>0.97903850000000003</v>
      </c>
      <c r="Y1742">
        <v>-0.1275241</v>
      </c>
      <c r="Z1742">
        <v>5.6120459999999997E-2</v>
      </c>
      <c r="AA1742">
        <v>0.99024650000000003</v>
      </c>
      <c r="AB1742">
        <v>36</v>
      </c>
      <c r="AC1742">
        <v>1.5252999999999499</v>
      </c>
      <c r="AD1742">
        <v>-1.104743235742</v>
      </c>
      <c r="AE1742">
        <v>-19.07957</v>
      </c>
      <c r="AF1742">
        <v>-2.4879479690641202</v>
      </c>
      <c r="AG1742">
        <v>-1.104743235742</v>
      </c>
      <c r="AH1742">
        <v>18.913959777467799</v>
      </c>
      <c r="AI1742">
        <v>93.314298471234395</v>
      </c>
      <c r="AJ1742">
        <v>97.493681058750099</v>
      </c>
      <c r="AK1742">
        <v>19.108851801648299</v>
      </c>
    </row>
    <row r="1743" spans="1:37" x14ac:dyDescent="0.2">
      <c r="A1743" t="str">
        <f>"20200111150624286"</f>
        <v>20200111150624286</v>
      </c>
      <c r="B1743" t="str">
        <f>"1578726384278248"</f>
        <v>1578726384278248</v>
      </c>
      <c r="C1743" t="s">
        <v>37</v>
      </c>
      <c r="D1743">
        <v>4.8862670000000001</v>
      </c>
      <c r="E1743">
        <v>0.49218649999999903</v>
      </c>
      <c r="F1743" t="s">
        <v>39</v>
      </c>
      <c r="G1743">
        <v>-419.09390000000002</v>
      </c>
      <c r="H1743" s="1">
        <v>-1.9356760000000001E-6</v>
      </c>
      <c r="I1743">
        <v>63.770229999999998</v>
      </c>
      <c r="J1743">
        <v>-420.72149999999999</v>
      </c>
      <c r="K1743">
        <v>1.104722</v>
      </c>
      <c r="L1743">
        <v>85.551540000000003</v>
      </c>
      <c r="M1743">
        <v>-4.9565329999999998E-2</v>
      </c>
      <c r="N1743">
        <v>0</v>
      </c>
      <c r="O1743">
        <v>-0.99869470000000005</v>
      </c>
      <c r="P1743">
        <v>5.7760369999999998E-2</v>
      </c>
      <c r="Q1743">
        <v>0.161356</v>
      </c>
      <c r="R1743">
        <v>-0.98520450000000004</v>
      </c>
      <c r="S1743">
        <v>0.22232060000000001</v>
      </c>
      <c r="T1743">
        <v>-0.15250999999999901</v>
      </c>
      <c r="U1743">
        <v>-3.057159</v>
      </c>
      <c r="V1743">
        <v>-0.107098</v>
      </c>
      <c r="W1743">
        <v>0.17308959999999901</v>
      </c>
      <c r="X1743">
        <v>0.97906589999999905</v>
      </c>
      <c r="Y1743">
        <v>-0.12179</v>
      </c>
      <c r="Z1743">
        <v>4.948168E-2</v>
      </c>
      <c r="AA1743">
        <v>0.99132169999999897</v>
      </c>
      <c r="AB1743">
        <v>36</v>
      </c>
      <c r="AC1743">
        <v>1.62759999999997</v>
      </c>
      <c r="AD1743">
        <v>-1.1047239356759999</v>
      </c>
      <c r="AE1743">
        <v>-21.781310000000001</v>
      </c>
      <c r="AF1743">
        <v>-2.69837638002035</v>
      </c>
      <c r="AG1743">
        <v>-1.1047239356759999</v>
      </c>
      <c r="AH1743">
        <v>21.618552590491301</v>
      </c>
      <c r="AI1743">
        <v>92.902826128346206</v>
      </c>
      <c r="AJ1743">
        <v>97.1147275322339</v>
      </c>
      <c r="AK1743">
        <v>21.814294995945801</v>
      </c>
    </row>
    <row r="1744" spans="1:37" x14ac:dyDescent="0.2">
      <c r="A1744" t="str">
        <f>"20200111150624308"</f>
        <v>20200111150624308</v>
      </c>
      <c r="B1744" t="str">
        <f>"1578726384298744"</f>
        <v>1578726384298744</v>
      </c>
      <c r="C1744" t="s">
        <v>37</v>
      </c>
      <c r="D1744">
        <v>4.7113420000000001</v>
      </c>
      <c r="E1744">
        <v>0.49292809999999998</v>
      </c>
      <c r="F1744" t="s">
        <v>39</v>
      </c>
      <c r="G1744">
        <v>-418.74180000000001</v>
      </c>
      <c r="H1744" s="1">
        <v>-3.5274880000000002E-6</v>
      </c>
      <c r="I1744">
        <v>57.335180000000001</v>
      </c>
      <c r="J1744">
        <v>-420.73820000000001</v>
      </c>
      <c r="K1744">
        <v>1.1047129999999901</v>
      </c>
      <c r="L1744">
        <v>85.188810000000004</v>
      </c>
      <c r="M1744">
        <v>-4.8151680000000002E-2</v>
      </c>
      <c r="N1744">
        <v>0</v>
      </c>
      <c r="O1744">
        <v>-0.99876480000000001</v>
      </c>
      <c r="P1744">
        <v>5.9837990000000001E-2</v>
      </c>
      <c r="Q1744">
        <v>0.16141449999999999</v>
      </c>
      <c r="R1744">
        <v>-0.98507089999999997</v>
      </c>
      <c r="S1744">
        <v>0.21414179999999899</v>
      </c>
      <c r="T1744">
        <v>-0.1194943</v>
      </c>
      <c r="U1744">
        <v>-3.052063</v>
      </c>
      <c r="V1744">
        <v>-0.107775</v>
      </c>
      <c r="W1744">
        <v>0.1730835</v>
      </c>
      <c r="X1744">
        <v>0.97899259999999999</v>
      </c>
      <c r="Y1744">
        <v>-0.117893899999999</v>
      </c>
      <c r="Z1744">
        <v>3.8869750000000002E-2</v>
      </c>
      <c r="AA1744">
        <v>0.99226519999999996</v>
      </c>
      <c r="AB1744">
        <v>36</v>
      </c>
      <c r="AC1744">
        <v>1.99639999999999</v>
      </c>
      <c r="AD1744">
        <v>-1.10471652748799</v>
      </c>
      <c r="AE1744">
        <v>-27.853629999999999</v>
      </c>
      <c r="AF1744">
        <v>-3.3301720722358401</v>
      </c>
      <c r="AG1744">
        <v>-1.10471652748799</v>
      </c>
      <c r="AH1744">
        <v>27.6818567244222</v>
      </c>
      <c r="AI1744">
        <v>92.268981846507501</v>
      </c>
      <c r="AJ1744">
        <v>96.859808757444497</v>
      </c>
      <c r="AK1744">
        <v>27.903326617954399</v>
      </c>
    </row>
    <row r="1745" spans="1:37" x14ac:dyDescent="0.2">
      <c r="A1745" t="str">
        <f>"20200111150624349"</f>
        <v>20200111150624349</v>
      </c>
      <c r="B1745" t="str">
        <f>"1578726384338761"</f>
        <v>1578726384338761</v>
      </c>
      <c r="C1745" t="s">
        <v>37</v>
      </c>
      <c r="D1745">
        <v>4.6884189999999997</v>
      </c>
      <c r="E1745">
        <v>0.49980979999999903</v>
      </c>
      <c r="F1745" t="s">
        <v>39</v>
      </c>
      <c r="G1745">
        <v>-418.36059999999998</v>
      </c>
      <c r="H1745" s="1">
        <v>-1.0866689999999999E-6</v>
      </c>
      <c r="I1745">
        <v>51.487960000000001</v>
      </c>
      <c r="J1745">
        <v>-420.76639999999998</v>
      </c>
      <c r="K1745">
        <v>1.104692</v>
      </c>
      <c r="L1745">
        <v>84.546940000000006</v>
      </c>
      <c r="M1745">
        <v>-4.5672959999999999E-2</v>
      </c>
      <c r="N1745">
        <v>0</v>
      </c>
      <c r="O1745">
        <v>-0.99888269999999901</v>
      </c>
      <c r="P1745">
        <v>6.1381650000000003E-2</v>
      </c>
      <c r="Q1745">
        <v>0.1623829</v>
      </c>
      <c r="R1745">
        <v>-0.98481739999999995</v>
      </c>
      <c r="S1745">
        <v>0.2150879</v>
      </c>
      <c r="T1745">
        <v>-9.993958E-2</v>
      </c>
      <c r="U1745">
        <v>-3.0487980000000001</v>
      </c>
      <c r="V1745">
        <v>-0.10686610000000001</v>
      </c>
      <c r="W1745">
        <v>0.1739607</v>
      </c>
      <c r="X1745">
        <v>0.97893680000000005</v>
      </c>
      <c r="Y1745">
        <v>-0.1158257</v>
      </c>
      <c r="Z1745">
        <v>3.2560409999999998E-2</v>
      </c>
      <c r="AA1745">
        <v>0.9927357</v>
      </c>
      <c r="AB1745">
        <v>36</v>
      </c>
      <c r="AC1745">
        <v>2.4058000000000002</v>
      </c>
      <c r="AD1745">
        <v>-1.1046930866689999</v>
      </c>
      <c r="AE1745">
        <v>-33.058979999999998</v>
      </c>
      <c r="AF1745">
        <v>-3.9089599408171498</v>
      </c>
      <c r="AG1745">
        <v>-1.1046930866689999</v>
      </c>
      <c r="AH1745">
        <v>32.878069153492397</v>
      </c>
      <c r="AI1745">
        <v>91.910948158942404</v>
      </c>
      <c r="AJ1745">
        <v>96.780217999218195</v>
      </c>
      <c r="AK1745">
        <v>33.128050740972903</v>
      </c>
    </row>
    <row r="1746" spans="1:37" x14ac:dyDescent="0.2">
      <c r="A1746" t="str">
        <f>"20200111150624373"</f>
        <v>20200111150624373</v>
      </c>
      <c r="B1746" t="str">
        <f>"1578726384368040"</f>
        <v>1578726384368040</v>
      </c>
      <c r="C1746" t="s">
        <v>37</v>
      </c>
      <c r="D1746">
        <v>4.8875890000000002</v>
      </c>
      <c r="E1746">
        <v>0.49608909999999901</v>
      </c>
      <c r="F1746" t="s">
        <v>84</v>
      </c>
      <c r="G1746">
        <v>-415.52550000000002</v>
      </c>
      <c r="H1746">
        <v>14.921099999999999</v>
      </c>
      <c r="I1746">
        <v>1.2793159999999999</v>
      </c>
      <c r="J1746">
        <v>-420.78309999999999</v>
      </c>
      <c r="K1746">
        <v>1.104679</v>
      </c>
      <c r="L1746">
        <v>84.149509999999907</v>
      </c>
      <c r="M1746">
        <v>-4.4160440000000002E-2</v>
      </c>
      <c r="N1746">
        <v>0</v>
      </c>
      <c r="O1746">
        <v>-0.99895109999999998</v>
      </c>
      <c r="P1746">
        <v>6.1886799999999999E-2</v>
      </c>
      <c r="Q1746">
        <v>0.16301379999999999</v>
      </c>
      <c r="R1746">
        <v>-0.98468140000000004</v>
      </c>
      <c r="S1746">
        <v>0.1859131</v>
      </c>
      <c r="T1746">
        <v>0.4901258</v>
      </c>
      <c r="U1746">
        <v>-2.9538570000000002</v>
      </c>
      <c r="V1746">
        <v>-0.1058742</v>
      </c>
      <c r="W1746">
        <v>0.17454720000000001</v>
      </c>
      <c r="X1746">
        <v>0.97894020000000004</v>
      </c>
      <c r="Y1746">
        <v>-0.1059891</v>
      </c>
      <c r="Z1746">
        <v>-0.16283139999999999</v>
      </c>
      <c r="AA1746">
        <v>0.98094459999999895</v>
      </c>
      <c r="AB1746">
        <v>36</v>
      </c>
      <c r="AC1746">
        <v>5.2575999999999601</v>
      </c>
      <c r="AD1746">
        <v>13.816420999999901</v>
      </c>
      <c r="AE1746">
        <v>-82.870193999999998</v>
      </c>
      <c r="AF1746">
        <v>-8.6722290402028896</v>
      </c>
      <c r="AG1746">
        <v>13.816420999999901</v>
      </c>
      <c r="AH1746">
        <v>80.333094476505593</v>
      </c>
      <c r="AI1746">
        <v>80.296519347392504</v>
      </c>
      <c r="AJ1746">
        <v>96.161412073037098</v>
      </c>
      <c r="AK1746">
        <v>81.972599775450206</v>
      </c>
    </row>
    <row r="1747" spans="1:37" x14ac:dyDescent="0.2">
      <c r="A1747" t="str">
        <f>"20200111150624397"</f>
        <v>20200111150624397</v>
      </c>
      <c r="B1747" t="str">
        <f>"1578726384388536"</f>
        <v>1578726384388536</v>
      </c>
      <c r="C1747" t="s">
        <v>37</v>
      </c>
      <c r="D1747">
        <v>4.8914160000000004</v>
      </c>
      <c r="E1747">
        <v>0.49635370000000001</v>
      </c>
      <c r="F1747" t="s">
        <v>85</v>
      </c>
      <c r="G1747">
        <v>-417.88010000000003</v>
      </c>
      <c r="H1747" s="1">
        <v>-5.8084250000000002E-7</v>
      </c>
      <c r="I1747">
        <v>39.569740000000003</v>
      </c>
      <c r="J1747">
        <v>-420.79820000000001</v>
      </c>
      <c r="K1747">
        <v>1.104652</v>
      </c>
      <c r="L1747">
        <v>83.773439999999994</v>
      </c>
      <c r="M1747">
        <v>-4.2773489999999997E-2</v>
      </c>
      <c r="N1747">
        <v>0</v>
      </c>
      <c r="O1747">
        <v>-0.99901219999999902</v>
      </c>
      <c r="P1747">
        <v>6.2686439999999996E-2</v>
      </c>
      <c r="Q1747">
        <v>0.16337689999999999</v>
      </c>
      <c r="R1747">
        <v>-0.98457030000000001</v>
      </c>
      <c r="S1747">
        <v>0.19839479999999901</v>
      </c>
      <c r="T1747">
        <v>-7.5496549999999996E-2</v>
      </c>
      <c r="U1747">
        <v>-3.04669199999999</v>
      </c>
      <c r="V1747">
        <v>-0.10529569999999901</v>
      </c>
      <c r="W1747">
        <v>0.1748711</v>
      </c>
      <c r="X1747">
        <v>0.97894479999999995</v>
      </c>
      <c r="Y1747">
        <v>-0.1075874</v>
      </c>
      <c r="Z1747">
        <v>2.4640240000000001E-2</v>
      </c>
      <c r="AA1747">
        <v>0.99389019999999995</v>
      </c>
      <c r="AB1747">
        <v>36</v>
      </c>
      <c r="AC1747">
        <v>2.9180999999999799</v>
      </c>
      <c r="AD1747">
        <v>-1.1046525808425001</v>
      </c>
      <c r="AE1747">
        <v>-44.203699999999998</v>
      </c>
      <c r="AF1747">
        <v>-4.80332594470004</v>
      </c>
      <c r="AG1747">
        <v>-1.1046525808425001</v>
      </c>
      <c r="AH1747">
        <v>44.011046577831301</v>
      </c>
      <c r="AI1747">
        <v>91.429306321092199</v>
      </c>
      <c r="AJ1747">
        <v>96.228557624018507</v>
      </c>
      <c r="AK1747">
        <v>44.286165089465896</v>
      </c>
    </row>
    <row r="1748" spans="1:37" x14ac:dyDescent="0.2">
      <c r="A1748" t="str">
        <f>"20200111150624421"</f>
        <v>20200111150624421</v>
      </c>
      <c r="B1748" t="str">
        <f>"1578726384417816"</f>
        <v>1578726384417816</v>
      </c>
      <c r="C1748" t="s">
        <v>37</v>
      </c>
      <c r="D1748">
        <v>4.7126099999999997</v>
      </c>
      <c r="E1748">
        <v>0.49175869999999999</v>
      </c>
      <c r="F1748" t="s">
        <v>39</v>
      </c>
      <c r="G1748">
        <v>-418.2131</v>
      </c>
      <c r="H1748" s="1">
        <v>-2.1940300000000001E-6</v>
      </c>
      <c r="I1748">
        <v>44.008240000000001</v>
      </c>
      <c r="J1748">
        <v>-420.81319999999999</v>
      </c>
      <c r="K1748">
        <v>1.104608</v>
      </c>
      <c r="L1748">
        <v>83.392759999999996</v>
      </c>
      <c r="M1748">
        <v>-4.1420220000000001E-2</v>
      </c>
      <c r="N1748">
        <v>0</v>
      </c>
      <c r="O1748">
        <v>-0.99906980000000001</v>
      </c>
      <c r="P1748">
        <v>6.358461E-2</v>
      </c>
      <c r="Q1748">
        <v>0.16364899999999999</v>
      </c>
      <c r="R1748">
        <v>-0.98446769999999995</v>
      </c>
      <c r="S1748">
        <v>0.1981812</v>
      </c>
      <c r="T1748">
        <v>-8.4683659999999994E-2</v>
      </c>
      <c r="U1748">
        <v>-3.0484309999999999</v>
      </c>
      <c r="V1748">
        <v>-0.10484449999999999</v>
      </c>
      <c r="W1748">
        <v>0.17510729999999999</v>
      </c>
      <c r="X1748">
        <v>0.97895100000000002</v>
      </c>
      <c r="Y1748">
        <v>-0.106129399999999</v>
      </c>
      <c r="Z1748">
        <v>2.762539E-2</v>
      </c>
      <c r="AA1748">
        <v>0.99396849999999903</v>
      </c>
      <c r="AB1748">
        <v>36</v>
      </c>
      <c r="AC1748">
        <v>2.6000999999999901</v>
      </c>
      <c r="AD1748">
        <v>-1.1046101940299999</v>
      </c>
      <c r="AE1748">
        <v>-39.384520000000002</v>
      </c>
      <c r="AF1748">
        <v>-4.2259913404411904</v>
      </c>
      <c r="AG1748">
        <v>-1.1046101940299999</v>
      </c>
      <c r="AH1748">
        <v>39.212299976051497</v>
      </c>
      <c r="AI1748">
        <v>91.604309852022197</v>
      </c>
      <c r="AJ1748">
        <v>96.151144141164295</v>
      </c>
      <c r="AK1748">
        <v>39.454830324081797</v>
      </c>
    </row>
    <row r="1749" spans="1:37" x14ac:dyDescent="0.2">
      <c r="A1749" t="str">
        <f>"20200111150624641"</f>
        <v>20200111150624641</v>
      </c>
      <c r="B1749" t="str">
        <f>"1578726384638392"</f>
        <v>1578726384638392</v>
      </c>
      <c r="C1749" t="s">
        <v>37</v>
      </c>
      <c r="D1749">
        <v>5.1480050000000004</v>
      </c>
      <c r="E1749">
        <v>0.49695909999999899</v>
      </c>
      <c r="F1749" t="s">
        <v>84</v>
      </c>
      <c r="G1749">
        <v>-413.36860000000001</v>
      </c>
      <c r="H1749">
        <v>20.11844</v>
      </c>
      <c r="I1749">
        <v>0.54489709999999902</v>
      </c>
      <c r="J1749">
        <v>-420.94119999999998</v>
      </c>
      <c r="K1749">
        <v>1.1034919999999999</v>
      </c>
      <c r="L1749">
        <v>79.853999999999999</v>
      </c>
      <c r="M1749">
        <v>-3.5912939999999997E-2</v>
      </c>
      <c r="N1749">
        <v>0</v>
      </c>
      <c r="O1749">
        <v>-0.9992858</v>
      </c>
      <c r="P1749">
        <v>6.6047270000000005E-2</v>
      </c>
      <c r="Q1749">
        <v>0.1642236</v>
      </c>
      <c r="R1749">
        <v>-0.98420949999999996</v>
      </c>
      <c r="S1749">
        <v>0.26229859999999999</v>
      </c>
      <c r="T1749">
        <v>0.66992659999999904</v>
      </c>
      <c r="U1749">
        <v>-2.9190369999999999</v>
      </c>
      <c r="V1749">
        <v>-0.1014241</v>
      </c>
      <c r="W1749">
        <v>0.1757175</v>
      </c>
      <c r="X1749">
        <v>0.97920200000000002</v>
      </c>
      <c r="Y1749">
        <v>-0.1229686</v>
      </c>
      <c r="Z1749">
        <v>-0.222193899999999</v>
      </c>
      <c r="AA1749">
        <v>0.96721689999999905</v>
      </c>
      <c r="AB1749">
        <v>36</v>
      </c>
      <c r="AC1749">
        <v>7.5725999999999596</v>
      </c>
      <c r="AD1749">
        <v>19.014948</v>
      </c>
      <c r="AE1749">
        <v>-79.309102899999999</v>
      </c>
      <c r="AF1749">
        <v>-9.8547644734831294</v>
      </c>
      <c r="AG1749">
        <v>19.014948</v>
      </c>
      <c r="AH1749">
        <v>74.729072909120006</v>
      </c>
      <c r="AI1749">
        <v>75.841533635166002</v>
      </c>
      <c r="AJ1749">
        <v>97.512431403163603</v>
      </c>
      <c r="AK1749">
        <v>77.737500397987404</v>
      </c>
    </row>
    <row r="1750" spans="1:37" x14ac:dyDescent="0.2">
      <c r="A1750" t="str">
        <f>"20200111150624661"</f>
        <v>20200111150624661</v>
      </c>
      <c r="B1750" t="str">
        <f>"1578726384657912"</f>
        <v>1578726384657912</v>
      </c>
      <c r="C1750" t="s">
        <v>37</v>
      </c>
      <c r="D1750">
        <v>5.9948879999999898</v>
      </c>
      <c r="E1750">
        <v>0.50188940000000004</v>
      </c>
      <c r="F1750" t="s">
        <v>84</v>
      </c>
      <c r="G1750">
        <v>-414.7398</v>
      </c>
      <c r="H1750">
        <v>19.827850000000002</v>
      </c>
      <c r="I1750">
        <v>0.53094859999999999</v>
      </c>
      <c r="J1750">
        <v>-420.9529</v>
      </c>
      <c r="K1750">
        <v>1.103423</v>
      </c>
      <c r="L1750">
        <v>79.52704</v>
      </c>
      <c r="M1750">
        <v>-3.5994869999999998E-2</v>
      </c>
      <c r="N1750">
        <v>0</v>
      </c>
      <c r="O1750">
        <v>-0.99928309999999998</v>
      </c>
      <c r="P1750">
        <v>6.5619029999999995E-2</v>
      </c>
      <c r="Q1750">
        <v>0.1639612</v>
      </c>
      <c r="R1750">
        <v>-0.9842822</v>
      </c>
      <c r="S1750">
        <v>0.22811889999999899</v>
      </c>
      <c r="T1750">
        <v>0.68877650000000001</v>
      </c>
      <c r="U1750">
        <v>-2.9179080000000002</v>
      </c>
      <c r="V1750">
        <v>-0.1010506</v>
      </c>
      <c r="W1750">
        <v>0.1754627</v>
      </c>
      <c r="X1750">
        <v>0.97928630000000005</v>
      </c>
      <c r="Y1750">
        <v>-0.1117126</v>
      </c>
      <c r="Z1750">
        <v>-0.2284629</v>
      </c>
      <c r="AA1750">
        <v>0.96712199999999904</v>
      </c>
      <c r="AB1750">
        <v>36</v>
      </c>
      <c r="AC1750">
        <v>6.2130999999999901</v>
      </c>
      <c r="AD1750">
        <v>18.724426999999999</v>
      </c>
      <c r="AE1750">
        <v>-78.996091399999997</v>
      </c>
      <c r="AF1750">
        <v>-8.57397198135636</v>
      </c>
      <c r="AG1750">
        <v>18.724426999999999</v>
      </c>
      <c r="AH1750">
        <v>74.558084817412194</v>
      </c>
      <c r="AI1750">
        <v>75.991018915658799</v>
      </c>
      <c r="AJ1750">
        <v>96.560038817159196</v>
      </c>
      <c r="AK1750">
        <v>77.350017282841307</v>
      </c>
    </row>
    <row r="1751" spans="1:37" x14ac:dyDescent="0.2">
      <c r="A1751" t="str">
        <f>"20200111150624684"</f>
        <v>20200111150624684</v>
      </c>
      <c r="B1751" t="str">
        <f>"1578726384678409"</f>
        <v>1578726384678409</v>
      </c>
      <c r="C1751" t="s">
        <v>37</v>
      </c>
      <c r="D1751">
        <v>8.1687259999999995</v>
      </c>
      <c r="E1751">
        <v>0.50188940000000004</v>
      </c>
      <c r="F1751" t="s">
        <v>84</v>
      </c>
      <c r="G1751">
        <v>-415.9024</v>
      </c>
      <c r="H1751">
        <v>20.197029999999899</v>
      </c>
      <c r="I1751">
        <v>1.2778320000000001</v>
      </c>
      <c r="J1751">
        <v>-420.96600000000001</v>
      </c>
      <c r="K1751">
        <v>1.103361</v>
      </c>
      <c r="L1751">
        <v>79.166690000000003</v>
      </c>
      <c r="M1751">
        <v>-3.6114309999999997E-2</v>
      </c>
      <c r="N1751">
        <v>0</v>
      </c>
      <c r="O1751">
        <v>-0.99927849999999996</v>
      </c>
      <c r="P1751">
        <v>6.4575549999999995E-2</v>
      </c>
      <c r="Q1751">
        <v>0.16382060000000001</v>
      </c>
      <c r="R1751">
        <v>-0.98437419999999998</v>
      </c>
      <c r="S1751">
        <v>0.18826289999999901</v>
      </c>
      <c r="T1751">
        <v>0.71173039999999999</v>
      </c>
      <c r="U1751">
        <v>-2.9168090000000002</v>
      </c>
      <c r="V1751">
        <v>-0.100102199999999</v>
      </c>
      <c r="W1751">
        <v>0.17532979999999901</v>
      </c>
      <c r="X1751">
        <v>0.97940749999999999</v>
      </c>
      <c r="Y1751">
        <v>-9.8586489999999999E-2</v>
      </c>
      <c r="Z1751">
        <v>-0.23601179999999999</v>
      </c>
      <c r="AA1751">
        <v>0.96673629999999999</v>
      </c>
      <c r="AB1751">
        <v>36</v>
      </c>
      <c r="AC1751">
        <v>5.0636000000000001</v>
      </c>
      <c r="AD1751">
        <v>19.093668999999998</v>
      </c>
      <c r="AE1751">
        <v>-77.888857999999999</v>
      </c>
      <c r="AF1751">
        <v>-7.4288460284202902</v>
      </c>
      <c r="AG1751">
        <v>19.093668999999998</v>
      </c>
      <c r="AH1751">
        <v>73.270598277701794</v>
      </c>
      <c r="AI1751">
        <v>75.465399143716397</v>
      </c>
      <c r="AJ1751">
        <v>95.7893884570327</v>
      </c>
      <c r="AK1751">
        <v>76.081118033109206</v>
      </c>
    </row>
    <row r="1752" spans="1:37" x14ac:dyDescent="0.2">
      <c r="A1752" t="str">
        <f>"20200111150624705"</f>
        <v>20200111150624705</v>
      </c>
      <c r="B1752" t="str">
        <f>"1578726384697928"</f>
        <v>1578726384697928</v>
      </c>
      <c r="C1752" t="s">
        <v>37</v>
      </c>
      <c r="D1752">
        <v>5.2208990000000002</v>
      </c>
      <c r="E1752">
        <v>0.50412690000000004</v>
      </c>
      <c r="F1752" t="s">
        <v>84</v>
      </c>
      <c r="G1752">
        <v>-416.02960000000002</v>
      </c>
      <c r="H1752">
        <v>20.095939999999999</v>
      </c>
      <c r="I1752">
        <v>1.2773299999999901</v>
      </c>
      <c r="J1752">
        <v>-420.97840000000002</v>
      </c>
      <c r="K1752">
        <v>1.1033109999999999</v>
      </c>
      <c r="L1752">
        <v>78.82602</v>
      </c>
      <c r="M1752">
        <v>-3.6240130000000002E-2</v>
      </c>
      <c r="N1752">
        <v>0</v>
      </c>
      <c r="O1752">
        <v>-0.99927440000000001</v>
      </c>
      <c r="P1752">
        <v>6.4418790000000004E-2</v>
      </c>
      <c r="Q1752">
        <v>0.1639745</v>
      </c>
      <c r="R1752">
        <v>-0.9843596</v>
      </c>
      <c r="S1752">
        <v>0.1848755</v>
      </c>
      <c r="T1752">
        <v>0.71130919999999997</v>
      </c>
      <c r="U1752">
        <v>-2.91711399999999</v>
      </c>
      <c r="V1752">
        <v>-0.1000489</v>
      </c>
      <c r="W1752">
        <v>0.17548749999999999</v>
      </c>
      <c r="X1752">
        <v>0.9793847</v>
      </c>
      <c r="Y1752">
        <v>-9.7589309999999999E-2</v>
      </c>
      <c r="Z1752">
        <v>-0.2358751</v>
      </c>
      <c r="AA1752">
        <v>0.96687080000000003</v>
      </c>
      <c r="AB1752">
        <v>36</v>
      </c>
      <c r="AC1752">
        <v>4.9488000000000003</v>
      </c>
      <c r="AD1752">
        <v>18.992629000000001</v>
      </c>
      <c r="AE1752">
        <v>-77.548689999999993</v>
      </c>
      <c r="AF1752">
        <v>-7.3188946422874501</v>
      </c>
      <c r="AG1752">
        <v>18.992629000000001</v>
      </c>
      <c r="AH1752">
        <v>72.959853422868704</v>
      </c>
      <c r="AI1752">
        <v>75.478595015089795</v>
      </c>
      <c r="AJ1752">
        <v>95.728405257391501</v>
      </c>
      <c r="AK1752">
        <v>75.7458011153293</v>
      </c>
    </row>
    <row r="1753" spans="1:37" x14ac:dyDescent="0.2">
      <c r="A1753" t="str">
        <f>"20200111150624749"</f>
        <v>20200111150624749</v>
      </c>
      <c r="B1753" t="str">
        <f>"1578726384737943"</f>
        <v>1578726384737943</v>
      </c>
      <c r="C1753" t="s">
        <v>37</v>
      </c>
      <c r="D1753">
        <v>5.6458979999999999</v>
      </c>
      <c r="E1753">
        <v>0.51494870000000004</v>
      </c>
      <c r="F1753" t="s">
        <v>39</v>
      </c>
      <c r="G1753">
        <v>-420.10890000000001</v>
      </c>
      <c r="H1753" s="1">
        <v>-1.88799E-7</v>
      </c>
      <c r="I1753">
        <v>59.96163</v>
      </c>
      <c r="J1753">
        <v>-421.0043</v>
      </c>
      <c r="K1753">
        <v>1.1032360000000001</v>
      </c>
      <c r="L1753">
        <v>78.116389999999996</v>
      </c>
      <c r="M1753">
        <v>-3.6515800000000001E-2</v>
      </c>
      <c r="N1753">
        <v>0</v>
      </c>
      <c r="O1753">
        <v>-0.99926440000000005</v>
      </c>
      <c r="P1753">
        <v>6.5887360000000006E-2</v>
      </c>
      <c r="Q1753">
        <v>0.16301399999999999</v>
      </c>
      <c r="R1753">
        <v>-0.9844214</v>
      </c>
      <c r="S1753">
        <v>0.1414185</v>
      </c>
      <c r="T1753">
        <v>-0.1794557</v>
      </c>
      <c r="U1753">
        <v>-3.0683289999999999</v>
      </c>
      <c r="V1753">
        <v>-0.10176159999999999</v>
      </c>
      <c r="W1753">
        <v>0.1745303</v>
      </c>
      <c r="X1753">
        <v>0.97937929999999995</v>
      </c>
      <c r="Y1753">
        <v>-8.2411540000000005E-2</v>
      </c>
      <c r="Z1753">
        <v>5.8198159999999999E-2</v>
      </c>
      <c r="AA1753">
        <v>0.994897699999999</v>
      </c>
      <c r="AB1753">
        <v>36</v>
      </c>
      <c r="AC1753">
        <v>0.89539999999999498</v>
      </c>
      <c r="AD1753">
        <v>-1.1032361887990001</v>
      </c>
      <c r="AE1753">
        <v>-18.1547599999999</v>
      </c>
      <c r="AF1753">
        <v>-1.5520662748103999</v>
      </c>
      <c r="AG1753">
        <v>-1.1032361887990001</v>
      </c>
      <c r="AH1753">
        <v>18.0434826819343</v>
      </c>
      <c r="AI1753">
        <v>93.486050042269795</v>
      </c>
      <c r="AJ1753">
        <v>94.9163728837636</v>
      </c>
      <c r="AK1753">
        <v>18.143685047501901</v>
      </c>
    </row>
    <row r="1754" spans="1:37" x14ac:dyDescent="0.2">
      <c r="A1754" t="str">
        <f>"20200111150624774"</f>
        <v>20200111150624774</v>
      </c>
      <c r="B1754" t="str">
        <f>"1578726384768201"</f>
        <v>1578726384768201</v>
      </c>
      <c r="C1754" t="s">
        <v>37</v>
      </c>
      <c r="D1754">
        <v>5.1197290000000004</v>
      </c>
      <c r="E1754">
        <v>0.44479479999999999</v>
      </c>
      <c r="F1754" t="s">
        <v>39</v>
      </c>
      <c r="G1754">
        <v>-420.75259999999997</v>
      </c>
      <c r="H1754" s="1">
        <v>-2.17800199999999E-6</v>
      </c>
      <c r="I1754">
        <v>64.199299999999994</v>
      </c>
      <c r="J1754">
        <v>-421.0188</v>
      </c>
      <c r="K1754">
        <v>1.1032059999999999</v>
      </c>
      <c r="L1754">
        <v>77.724269999999905</v>
      </c>
      <c r="M1754">
        <v>-3.6669779999999999E-2</v>
      </c>
      <c r="N1754">
        <v>0</v>
      </c>
      <c r="O1754">
        <v>-0.99925889999999995</v>
      </c>
      <c r="P1754">
        <v>6.5252039999999997E-2</v>
      </c>
      <c r="Q1754">
        <v>0.1630337</v>
      </c>
      <c r="R1754">
        <v>-0.98446039999999901</v>
      </c>
      <c r="S1754">
        <v>5.5786130000000003E-2</v>
      </c>
      <c r="T1754">
        <v>-0.244493399999999</v>
      </c>
      <c r="U1754">
        <v>-3.0842290000000001</v>
      </c>
      <c r="V1754">
        <v>-0.1012699</v>
      </c>
      <c r="W1754">
        <v>0.17455100000000001</v>
      </c>
      <c r="X1754">
        <v>0.97942659999999904</v>
      </c>
      <c r="Y1754">
        <v>-5.4682269999999998E-2</v>
      </c>
      <c r="Z1754">
        <v>7.8879030000000003E-2</v>
      </c>
      <c r="AA1754">
        <v>0.99538329999999997</v>
      </c>
      <c r="AB1754">
        <v>36</v>
      </c>
      <c r="AC1754">
        <v>0.26620000000002603</v>
      </c>
      <c r="AD1754">
        <v>-1.103208178002</v>
      </c>
      <c r="AE1754">
        <v>-13.5249699999999</v>
      </c>
      <c r="AF1754">
        <v>-0.75697807243423598</v>
      </c>
      <c r="AG1754">
        <v>-1.103208178002</v>
      </c>
      <c r="AH1754">
        <v>13.416877187094901</v>
      </c>
      <c r="AI1754">
        <v>94.693163900466303</v>
      </c>
      <c r="AJ1754">
        <v>93.229195261900998</v>
      </c>
      <c r="AK1754">
        <v>13.483422322976599</v>
      </c>
    </row>
    <row r="1755" spans="1:37" x14ac:dyDescent="0.2">
      <c r="A1755" t="str">
        <f>"20200111150624794"</f>
        <v>20200111150624794</v>
      </c>
      <c r="B1755" t="str">
        <f>"1578726384788696"</f>
        <v>1578726384788696</v>
      </c>
      <c r="C1755" t="s">
        <v>37</v>
      </c>
      <c r="D1755">
        <v>5.2256039999999997</v>
      </c>
      <c r="E1755">
        <v>0.44396799999999997</v>
      </c>
      <c r="F1755" t="s">
        <v>39</v>
      </c>
      <c r="G1755">
        <v>-418.59629999999999</v>
      </c>
      <c r="H1755" s="1">
        <v>-2.83776299999999E-6</v>
      </c>
      <c r="I1755">
        <v>65.667249999999996</v>
      </c>
      <c r="J1755">
        <v>-421.03129999999999</v>
      </c>
      <c r="K1755">
        <v>1.103189</v>
      </c>
      <c r="L1755">
        <v>77.388310000000004</v>
      </c>
      <c r="M1755">
        <v>-3.680112E-2</v>
      </c>
      <c r="N1755">
        <v>0</v>
      </c>
      <c r="O1755">
        <v>-0.99925409999999903</v>
      </c>
      <c r="P1755">
        <v>6.4231259999999998E-2</v>
      </c>
      <c r="Q1755">
        <v>0.16357279999999999</v>
      </c>
      <c r="R1755">
        <v>-0.98443819999999904</v>
      </c>
      <c r="S1755">
        <v>0.61340329999999998</v>
      </c>
      <c r="T1755">
        <v>-0.27934239999999999</v>
      </c>
      <c r="U1755">
        <v>-3.05294799999999</v>
      </c>
      <c r="V1755">
        <v>-0.1003713</v>
      </c>
      <c r="W1755">
        <v>0.17508940000000001</v>
      </c>
      <c r="X1755">
        <v>0.97942289999999999</v>
      </c>
      <c r="Y1755">
        <v>-0.23215149999999901</v>
      </c>
      <c r="Z1755">
        <v>8.8899599999999995E-2</v>
      </c>
      <c r="AA1755">
        <v>0.96860859999999904</v>
      </c>
      <c r="AB1755">
        <v>36</v>
      </c>
      <c r="AC1755">
        <v>2.4350000000000001</v>
      </c>
      <c r="AD1755">
        <v>-1.1031918377629999</v>
      </c>
      <c r="AE1755">
        <v>-11.72106</v>
      </c>
      <c r="AF1755">
        <v>-2.8406051278325402</v>
      </c>
      <c r="AG1755">
        <v>-1.1031918377629999</v>
      </c>
      <c r="AH1755">
        <v>11.525624880099</v>
      </c>
      <c r="AI1755">
        <v>95.309559894395093</v>
      </c>
      <c r="AJ1755">
        <v>103.845187200916</v>
      </c>
      <c r="AK1755">
        <v>11.921665093431001</v>
      </c>
    </row>
    <row r="1756" spans="1:37" x14ac:dyDescent="0.2">
      <c r="A1756" t="str">
        <f>"20200111150624819"</f>
        <v>20200111150624819</v>
      </c>
      <c r="B1756" t="str">
        <f>"1578726384808216"</f>
        <v>1578726384808216</v>
      </c>
      <c r="C1756" t="s">
        <v>37</v>
      </c>
      <c r="D1756">
        <v>5.166131</v>
      </c>
      <c r="E1756">
        <v>0.44451099999999999</v>
      </c>
      <c r="F1756" t="s">
        <v>39</v>
      </c>
      <c r="G1756">
        <v>-418.43630000000002</v>
      </c>
      <c r="H1756" s="1">
        <v>-2.3969540000000001E-6</v>
      </c>
      <c r="I1756">
        <v>64.573560000000001</v>
      </c>
      <c r="J1756">
        <v>-421.04649999999998</v>
      </c>
      <c r="K1756">
        <v>1.103175</v>
      </c>
      <c r="L1756">
        <v>76.97824</v>
      </c>
      <c r="M1756">
        <v>-3.6959880000000001E-2</v>
      </c>
      <c r="N1756">
        <v>0</v>
      </c>
      <c r="O1756">
        <v>-0.99924809999999997</v>
      </c>
      <c r="P1756">
        <v>6.2885899999999995E-2</v>
      </c>
      <c r="Q1756">
        <v>0.163251799999999</v>
      </c>
      <c r="R1756">
        <v>-0.98457830000000002</v>
      </c>
      <c r="S1756">
        <v>0.61776730000000002</v>
      </c>
      <c r="T1756">
        <v>-0.26263209999999998</v>
      </c>
      <c r="U1756">
        <v>-3.050751</v>
      </c>
      <c r="V1756">
        <v>-9.9183289999999993E-2</v>
      </c>
      <c r="W1756">
        <v>0.1747697</v>
      </c>
      <c r="X1756">
        <v>0.97960100000000006</v>
      </c>
      <c r="Y1756">
        <v>-0.2338623</v>
      </c>
      <c r="Z1756">
        <v>8.3650020000000005E-2</v>
      </c>
      <c r="AA1756">
        <v>0.96866459999999999</v>
      </c>
      <c r="AB1756">
        <v>36</v>
      </c>
      <c r="AC1756">
        <v>2.6101999999999599</v>
      </c>
      <c r="AD1756">
        <v>-1.103177396954</v>
      </c>
      <c r="AE1756">
        <v>-12.404680000000001</v>
      </c>
      <c r="AF1756">
        <v>-3.0438701374045398</v>
      </c>
      <c r="AG1756">
        <v>-1.103177396954</v>
      </c>
      <c r="AH1756">
        <v>12.2072707230141</v>
      </c>
      <c r="AI1756">
        <v>95.011203279468702</v>
      </c>
      <c r="AJ1756">
        <v>104.001129937055</v>
      </c>
      <c r="AK1756">
        <v>12.629315273897101</v>
      </c>
    </row>
    <row r="1757" spans="1:37" x14ac:dyDescent="0.2">
      <c r="A1757" t="str">
        <f>"20200111150624840"</f>
        <v>20200111150624840</v>
      </c>
      <c r="B1757" t="str">
        <f>"1578726384828711"</f>
        <v>1578726384828711</v>
      </c>
      <c r="C1757" t="s">
        <v>37</v>
      </c>
      <c r="D1757">
        <v>5.1455039999999999</v>
      </c>
      <c r="E1757">
        <v>0.44502759999999902</v>
      </c>
      <c r="F1757" t="s">
        <v>39</v>
      </c>
      <c r="G1757">
        <v>-418.41520000000003</v>
      </c>
      <c r="H1757" s="1">
        <v>-2.07427699999999E-6</v>
      </c>
      <c r="I1757">
        <v>63.812649999999998</v>
      </c>
      <c r="J1757">
        <v>-421.05860000000001</v>
      </c>
      <c r="K1757">
        <v>1.1031679999999999</v>
      </c>
      <c r="L1757">
        <v>76.653899999999993</v>
      </c>
      <c r="M1757">
        <v>-3.7084369999999998E-2</v>
      </c>
      <c r="N1757">
        <v>0</v>
      </c>
      <c r="O1757">
        <v>-0.99924360000000001</v>
      </c>
      <c r="P1757">
        <v>6.1486109999999997E-2</v>
      </c>
      <c r="Q1757">
        <v>0.16258590000000001</v>
      </c>
      <c r="R1757">
        <v>-0.98477689999999996</v>
      </c>
      <c r="S1757">
        <v>0.60968020000000001</v>
      </c>
      <c r="T1757">
        <v>-0.25560440000000001</v>
      </c>
      <c r="U1757">
        <v>-3.050446</v>
      </c>
      <c r="V1757">
        <v>-9.7911269999999995E-2</v>
      </c>
      <c r="W1757">
        <v>0.17410580000000001</v>
      </c>
      <c r="X1757">
        <v>0.97984720000000003</v>
      </c>
      <c r="Y1757">
        <v>-0.23156879999999999</v>
      </c>
      <c r="Z1757">
        <v>8.1478159999999994E-2</v>
      </c>
      <c r="AA1757">
        <v>0.96940040000000005</v>
      </c>
      <c r="AB1757">
        <v>36</v>
      </c>
      <c r="AC1757">
        <v>2.6433999999999802</v>
      </c>
      <c r="AD1757">
        <v>-1.1031700742770001</v>
      </c>
      <c r="AE1757">
        <v>-12.841249999999899</v>
      </c>
      <c r="AF1757">
        <v>-3.0959040824836399</v>
      </c>
      <c r="AG1757">
        <v>-1.1031700742770001</v>
      </c>
      <c r="AH1757">
        <v>12.6448520056354</v>
      </c>
      <c r="AI1757">
        <v>94.843658689351003</v>
      </c>
      <c r="AJ1757">
        <v>103.757389318615</v>
      </c>
      <c r="AK1757">
        <v>13.0649871238031</v>
      </c>
    </row>
    <row r="1758" spans="1:37" x14ac:dyDescent="0.2">
      <c r="A1758" t="str">
        <f>"20200111150624884"</f>
        <v>20200111150624884</v>
      </c>
      <c r="B1758" t="str">
        <f>"1578726384878489"</f>
        <v>1578726384878489</v>
      </c>
      <c r="C1758" t="s">
        <v>37</v>
      </c>
      <c r="D1758">
        <v>5.154547</v>
      </c>
      <c r="E1758">
        <v>0.44652330000000001</v>
      </c>
      <c r="F1758" t="s">
        <v>39</v>
      </c>
      <c r="G1758">
        <v>-418.38040000000001</v>
      </c>
      <c r="H1758" s="1">
        <v>-1.760719E-6</v>
      </c>
      <c r="I1758">
        <v>63.06738</v>
      </c>
      <c r="J1758">
        <v>-421.08510000000001</v>
      </c>
      <c r="K1758">
        <v>1.1031599999999999</v>
      </c>
      <c r="L1758">
        <v>75.947540000000004</v>
      </c>
      <c r="M1758">
        <v>-3.7353730000000002E-2</v>
      </c>
      <c r="N1758">
        <v>0</v>
      </c>
      <c r="O1758">
        <v>-0.99923379999999995</v>
      </c>
      <c r="P1758">
        <v>5.9552729999999998E-2</v>
      </c>
      <c r="Q1758">
        <v>0.16240669999999999</v>
      </c>
      <c r="R1758">
        <v>-0.98492539999999995</v>
      </c>
      <c r="S1758">
        <v>0.60116579999999997</v>
      </c>
      <c r="T1758">
        <v>-0.24762419999999999</v>
      </c>
      <c r="U1758">
        <v>-3.0497130000000001</v>
      </c>
      <c r="V1758">
        <v>-9.6245259999999999E-2</v>
      </c>
      <c r="W1758">
        <v>0.1739269</v>
      </c>
      <c r="X1758">
        <v>0.98004400000000003</v>
      </c>
      <c r="Y1758">
        <v>-0.22930990000000001</v>
      </c>
      <c r="Z1758">
        <v>7.9010810000000001E-2</v>
      </c>
      <c r="AA1758">
        <v>0.97014140000000004</v>
      </c>
      <c r="AB1758">
        <v>36</v>
      </c>
      <c r="AC1758">
        <v>2.7046999999999999</v>
      </c>
      <c r="AD1758">
        <v>-1.1031617607190001</v>
      </c>
      <c r="AE1758">
        <v>-12.880159999999901</v>
      </c>
      <c r="AF1758">
        <v>-3.1617531737473699</v>
      </c>
      <c r="AG1758">
        <v>-1.1031617607190001</v>
      </c>
      <c r="AH1758">
        <v>12.681037856376101</v>
      </c>
      <c r="AI1758">
        <v>94.824838360521895</v>
      </c>
      <c r="AJ1758">
        <v>104.000065215002</v>
      </c>
      <c r="AK1758">
        <v>13.1157298735853</v>
      </c>
    </row>
    <row r="1759" spans="1:37" x14ac:dyDescent="0.2">
      <c r="A1759" t="str">
        <f>"20200111150624907"</f>
        <v>20200111150624907</v>
      </c>
      <c r="B1759" t="str">
        <f>"1578726384898008"</f>
        <v>1578726384898008</v>
      </c>
      <c r="C1759" t="s">
        <v>37</v>
      </c>
      <c r="D1759">
        <v>5.1560809999999897</v>
      </c>
      <c r="E1759">
        <v>0.44727099999999997</v>
      </c>
      <c r="F1759" t="s">
        <v>39</v>
      </c>
      <c r="G1759">
        <v>-418.4</v>
      </c>
      <c r="H1759" s="1">
        <v>-1.2694150000000001E-6</v>
      </c>
      <c r="I1759">
        <v>61.930209999999903</v>
      </c>
      <c r="J1759">
        <v>-421.09969999999998</v>
      </c>
      <c r="K1759">
        <v>1.103159</v>
      </c>
      <c r="L1759">
        <v>75.561800000000005</v>
      </c>
      <c r="M1759">
        <v>-3.7500659999999998E-2</v>
      </c>
      <c r="N1759">
        <v>0</v>
      </c>
      <c r="O1759">
        <v>-0.99922809999999995</v>
      </c>
      <c r="P1759">
        <v>5.9475390000000003E-2</v>
      </c>
      <c r="Q1759">
        <v>0.16258399999999901</v>
      </c>
      <c r="R1759">
        <v>-0.98490100000000003</v>
      </c>
      <c r="S1759">
        <v>0.58428959999999996</v>
      </c>
      <c r="T1759">
        <v>-0.24004789999999901</v>
      </c>
      <c r="U1759">
        <v>-3.05017099999999</v>
      </c>
      <c r="V1759">
        <v>-9.6310000000000007E-2</v>
      </c>
      <c r="W1759">
        <v>0.17410300000000001</v>
      </c>
      <c r="X1759">
        <v>0.98000640000000006</v>
      </c>
      <c r="Y1759">
        <v>-0.22428419999999999</v>
      </c>
      <c r="Z1759">
        <v>7.6681730000000003E-2</v>
      </c>
      <c r="AA1759">
        <v>0.97150219999999898</v>
      </c>
      <c r="AB1759">
        <v>36</v>
      </c>
      <c r="AC1759">
        <v>2.6997</v>
      </c>
      <c r="AD1759">
        <v>-1.103160269415</v>
      </c>
      <c r="AE1759">
        <v>-13.631589999999999</v>
      </c>
      <c r="AF1759">
        <v>-3.18893287332385</v>
      </c>
      <c r="AG1759">
        <v>-1.103160269415</v>
      </c>
      <c r="AH1759">
        <v>13.4360791869314</v>
      </c>
      <c r="AI1759">
        <v>94.567383028094</v>
      </c>
      <c r="AJ1759">
        <v>103.35159615971899</v>
      </c>
      <c r="AK1759">
        <v>13.8533201568459</v>
      </c>
    </row>
    <row r="1760" spans="1:37" x14ac:dyDescent="0.2">
      <c r="A1760" t="str">
        <f>"20200111150624930"</f>
        <v>20200111150624930</v>
      </c>
      <c r="B1760" t="str">
        <f>"1578726384918504"</f>
        <v>1578726384918504</v>
      </c>
      <c r="C1760" t="s">
        <v>37</v>
      </c>
      <c r="D1760">
        <v>5.2204920000000001</v>
      </c>
      <c r="E1760">
        <v>0.44774740000000002</v>
      </c>
      <c r="F1760" t="s">
        <v>39</v>
      </c>
      <c r="G1760">
        <v>-418.43020000000001</v>
      </c>
      <c r="H1760" s="1">
        <v>-1.067671E-6</v>
      </c>
      <c r="I1760">
        <v>61.472459999999998</v>
      </c>
      <c r="J1760">
        <v>-421.11349999999999</v>
      </c>
      <c r="K1760">
        <v>1.1031549999999899</v>
      </c>
      <c r="L1760">
        <v>75.196960000000004</v>
      </c>
      <c r="M1760">
        <v>-3.7639829999999999E-2</v>
      </c>
      <c r="N1760">
        <v>0</v>
      </c>
      <c r="O1760">
        <v>-0.99922289999999903</v>
      </c>
      <c r="P1760">
        <v>5.914382E-2</v>
      </c>
      <c r="Q1760">
        <v>0.1624651</v>
      </c>
      <c r="R1760">
        <v>-0.9849405</v>
      </c>
      <c r="S1760">
        <v>0.57797240000000005</v>
      </c>
      <c r="T1760">
        <v>-0.23884939999999999</v>
      </c>
      <c r="U1760">
        <v>-3.0505369999999998</v>
      </c>
      <c r="V1760">
        <v>-9.6116240000000006E-2</v>
      </c>
      <c r="W1760">
        <v>0.17398369999999999</v>
      </c>
      <c r="X1760">
        <v>0.98004659999999999</v>
      </c>
      <c r="Y1760">
        <v>-0.22246179999999999</v>
      </c>
      <c r="Z1760">
        <v>7.6322349999999997E-2</v>
      </c>
      <c r="AA1760">
        <v>0.97194939999999996</v>
      </c>
      <c r="AB1760">
        <v>36</v>
      </c>
      <c r="AC1760">
        <v>2.6832999999999698</v>
      </c>
      <c r="AD1760">
        <v>-1.1031560676709999</v>
      </c>
      <c r="AE1760">
        <v>-13.724500000000001</v>
      </c>
      <c r="AF1760">
        <v>-3.1782437301711499</v>
      </c>
      <c r="AG1760">
        <v>-1.1031560676709999</v>
      </c>
      <c r="AH1760">
        <v>13.5295746801907</v>
      </c>
      <c r="AI1760">
        <v>94.538391074797602</v>
      </c>
      <c r="AJ1760">
        <v>103.219709864853</v>
      </c>
      <c r="AK1760">
        <v>13.941577297596901</v>
      </c>
    </row>
    <row r="1761" spans="1:37" x14ac:dyDescent="0.2">
      <c r="A1761" t="str">
        <f>"20200111150624954"</f>
        <v>20200111150624954</v>
      </c>
      <c r="B1761" t="str">
        <f>"1578726384948760"</f>
        <v>1578726384948760</v>
      </c>
      <c r="C1761" t="s">
        <v>37</v>
      </c>
      <c r="D1761">
        <v>5.1564899999999998</v>
      </c>
      <c r="E1761">
        <v>0.44818199999999903</v>
      </c>
      <c r="F1761" t="s">
        <v>39</v>
      </c>
      <c r="G1761">
        <v>-418.3972</v>
      </c>
      <c r="H1761" s="1">
        <v>-8.0602689999999995E-7</v>
      </c>
      <c r="I1761">
        <v>60.76341</v>
      </c>
      <c r="J1761">
        <v>-421.12810000000002</v>
      </c>
      <c r="K1761">
        <v>1.1031530000000001</v>
      </c>
      <c r="L1761">
        <v>74.814940000000007</v>
      </c>
      <c r="M1761">
        <v>-3.7785739999999998E-2</v>
      </c>
      <c r="N1761">
        <v>0</v>
      </c>
      <c r="O1761">
        <v>-0.99921740000000003</v>
      </c>
      <c r="P1761">
        <v>5.8831250000000002E-2</v>
      </c>
      <c r="Q1761">
        <v>0.16304549999999901</v>
      </c>
      <c r="R1761">
        <v>-0.98486319999999905</v>
      </c>
      <c r="S1761">
        <v>0.5739746</v>
      </c>
      <c r="T1761">
        <v>-0.23310110000000001</v>
      </c>
      <c r="U1761">
        <v>-3.0498660000000002</v>
      </c>
      <c r="V1761">
        <v>-9.594316E-2</v>
      </c>
      <c r="W1761">
        <v>0.1745631</v>
      </c>
      <c r="X1761">
        <v>0.97996049999999901</v>
      </c>
      <c r="Y1761">
        <v>-0.2214382</v>
      </c>
      <c r="Z1761">
        <v>7.4529310000000001E-2</v>
      </c>
      <c r="AA1761">
        <v>0.97232220000000003</v>
      </c>
      <c r="AB1761">
        <v>36</v>
      </c>
      <c r="AC1761">
        <v>2.7309000000000201</v>
      </c>
      <c r="AD1761">
        <v>-1.1031538060268999</v>
      </c>
      <c r="AE1761">
        <v>-14.05153</v>
      </c>
      <c r="AF1761">
        <v>-3.2406864127948598</v>
      </c>
      <c r="AG1761">
        <v>-1.1031538060268999</v>
      </c>
      <c r="AH1761">
        <v>13.8560051063451</v>
      </c>
      <c r="AI1761">
        <v>94.432902238633204</v>
      </c>
      <c r="AJ1761">
        <v>103.163895427846</v>
      </c>
      <c r="AK1761">
        <v>14.272626746779499</v>
      </c>
    </row>
    <row r="1762" spans="1:37" x14ac:dyDescent="0.2">
      <c r="A1762" t="str">
        <f>"20200111150624974"</f>
        <v>20200111150624974</v>
      </c>
      <c r="B1762" t="str">
        <f>"1578726384968280"</f>
        <v>1578726384968280</v>
      </c>
      <c r="C1762" t="s">
        <v>37</v>
      </c>
      <c r="D1762">
        <v>5.1606550000000002</v>
      </c>
      <c r="E1762">
        <v>0.44844449999999902</v>
      </c>
      <c r="F1762" t="s">
        <v>39</v>
      </c>
      <c r="G1762">
        <v>-418.40620000000001</v>
      </c>
      <c r="H1762" s="1">
        <v>-6.2148939999999998E-7</v>
      </c>
      <c r="I1762">
        <v>60.228159999999903</v>
      </c>
      <c r="J1762">
        <v>-421.14069999999998</v>
      </c>
      <c r="K1762">
        <v>1.103154</v>
      </c>
      <c r="L1762">
        <v>74.482849999999999</v>
      </c>
      <c r="M1762">
        <v>-3.7912710000000002E-2</v>
      </c>
      <c r="N1762">
        <v>0</v>
      </c>
      <c r="O1762">
        <v>-0.99921289999999996</v>
      </c>
      <c r="P1762">
        <v>5.9228509999999998E-2</v>
      </c>
      <c r="Q1762">
        <v>0.163268</v>
      </c>
      <c r="R1762">
        <v>-0.98480249999999903</v>
      </c>
      <c r="S1762">
        <v>0.56918329999999995</v>
      </c>
      <c r="T1762">
        <v>-0.23068440000000001</v>
      </c>
      <c r="U1762">
        <v>-3.0502929999999999</v>
      </c>
      <c r="V1762">
        <v>-9.6461710000000006E-2</v>
      </c>
      <c r="W1762">
        <v>0.174784299999999</v>
      </c>
      <c r="X1762">
        <v>0.97987019999999903</v>
      </c>
      <c r="Y1762">
        <v>-0.22007189999999999</v>
      </c>
      <c r="Z1762">
        <v>7.3772370000000004E-2</v>
      </c>
      <c r="AA1762">
        <v>0.97268999999999906</v>
      </c>
      <c r="AB1762">
        <v>36</v>
      </c>
      <c r="AC1762">
        <v>2.7344999999999602</v>
      </c>
      <c r="AD1762">
        <v>-1.1031546214893999</v>
      </c>
      <c r="AE1762">
        <v>-14.25469</v>
      </c>
      <c r="AF1762">
        <v>-3.2542066872255599</v>
      </c>
      <c r="AG1762">
        <v>-1.1031546214893999</v>
      </c>
      <c r="AH1762">
        <v>14.059546351485301</v>
      </c>
      <c r="AI1762">
        <v>94.371309634954898</v>
      </c>
      <c r="AJ1762">
        <v>103.032126573843</v>
      </c>
      <c r="AK1762">
        <v>14.4733429065873</v>
      </c>
    </row>
    <row r="1763" spans="1:37" x14ac:dyDescent="0.2">
      <c r="A1763" t="str">
        <f>"20200111150625018"</f>
        <v>20200111150625018</v>
      </c>
      <c r="B1763" t="str">
        <f>"1578726385008295"</f>
        <v>1578726385008295</v>
      </c>
      <c r="C1763" t="s">
        <v>37</v>
      </c>
      <c r="D1763">
        <v>5.1757619999999998</v>
      </c>
      <c r="E1763">
        <v>0.44847510000000002</v>
      </c>
      <c r="F1763" t="s">
        <v>39</v>
      </c>
      <c r="G1763">
        <v>-418.45260000000002</v>
      </c>
      <c r="H1763" s="1">
        <v>-5.4450669999999999E-7</v>
      </c>
      <c r="I1763">
        <v>60.038240000000002</v>
      </c>
      <c r="J1763">
        <v>-421.16759999999999</v>
      </c>
      <c r="K1763">
        <v>1.1031500000000001</v>
      </c>
      <c r="L1763">
        <v>73.781679999999994</v>
      </c>
      <c r="M1763">
        <v>-3.8181E-2</v>
      </c>
      <c r="N1763">
        <v>0</v>
      </c>
      <c r="O1763">
        <v>-0.99920239999999905</v>
      </c>
      <c r="P1763">
        <v>5.9531390000000003E-2</v>
      </c>
      <c r="Q1763">
        <v>0.16347779999999901</v>
      </c>
      <c r="R1763">
        <v>-0.9847494</v>
      </c>
      <c r="S1763">
        <v>0.56774899999999995</v>
      </c>
      <c r="T1763">
        <v>-0.23299239999999999</v>
      </c>
      <c r="U1763">
        <v>-3.0507810000000002</v>
      </c>
      <c r="V1763">
        <v>-9.7025739999999999E-2</v>
      </c>
      <c r="W1763">
        <v>0.1749937</v>
      </c>
      <c r="X1763">
        <v>0.97977719999999902</v>
      </c>
      <c r="Y1763">
        <v>-0.21985389999999899</v>
      </c>
      <c r="Z1763">
        <v>7.4498490000000001E-2</v>
      </c>
      <c r="AA1763">
        <v>0.97268399999999999</v>
      </c>
      <c r="AB1763">
        <v>36</v>
      </c>
      <c r="AC1763">
        <v>2.7149999999999701</v>
      </c>
      <c r="AD1763">
        <v>-1.10315054450669</v>
      </c>
      <c r="AE1763">
        <v>-13.74344</v>
      </c>
      <c r="AF1763">
        <v>-3.2178408265093301</v>
      </c>
      <c r="AG1763">
        <v>-1.10315054450669</v>
      </c>
      <c r="AH1763">
        <v>13.545753531783401</v>
      </c>
      <c r="AI1763">
        <v>94.530302192627602</v>
      </c>
      <c r="AJ1763">
        <v>103.363118721006</v>
      </c>
      <c r="AK1763">
        <v>13.9663481072332</v>
      </c>
    </row>
    <row r="1764" spans="1:37" x14ac:dyDescent="0.2">
      <c r="A1764" t="str">
        <f>"20200111150625040"</f>
        <v>20200111150625040</v>
      </c>
      <c r="B1764" t="str">
        <f>"1578726385027817"</f>
        <v>1578726385027817</v>
      </c>
      <c r="C1764" t="s">
        <v>37</v>
      </c>
      <c r="D1764">
        <v>4.4012029999999998</v>
      </c>
      <c r="E1764">
        <v>0.42941479999999999</v>
      </c>
      <c r="F1764" t="s">
        <v>39</v>
      </c>
      <c r="G1764">
        <v>-418.47539999999998</v>
      </c>
      <c r="H1764" s="1">
        <v>-4.4337329999999999E-6</v>
      </c>
      <c r="I1764">
        <v>59.337509999999902</v>
      </c>
      <c r="J1764">
        <v>-421.18180000000001</v>
      </c>
      <c r="K1764">
        <v>1.1031439999999999</v>
      </c>
      <c r="L1764">
        <v>73.414829999999995</v>
      </c>
      <c r="M1764">
        <v>-3.8321460000000002E-2</v>
      </c>
      <c r="N1764">
        <v>0</v>
      </c>
      <c r="O1764">
        <v>-0.99919690000000005</v>
      </c>
      <c r="P1764">
        <v>5.9788130000000002E-2</v>
      </c>
      <c r="Q1764">
        <v>0.16337360000000001</v>
      </c>
      <c r="R1764">
        <v>-0.98475100000000004</v>
      </c>
      <c r="S1764">
        <v>0.56863399999999997</v>
      </c>
      <c r="T1764">
        <v>-0.2329994</v>
      </c>
      <c r="U1764">
        <v>-3.0507810000000002</v>
      </c>
      <c r="V1764">
        <v>-9.7419980000000003E-2</v>
      </c>
      <c r="W1764">
        <v>0.17488989999999999</v>
      </c>
      <c r="X1764">
        <v>0.97975650000000003</v>
      </c>
      <c r="Y1764">
        <v>-0.22026379999999901</v>
      </c>
      <c r="Z1764">
        <v>7.4494660000000004E-2</v>
      </c>
      <c r="AA1764">
        <v>0.972591599999999</v>
      </c>
      <c r="AB1764">
        <v>36</v>
      </c>
      <c r="AC1764">
        <v>2.7064000000000301</v>
      </c>
      <c r="AD1764">
        <v>-1.103148433733</v>
      </c>
      <c r="AE1764">
        <v>-14.07732</v>
      </c>
      <c r="AF1764">
        <v>-3.2248149678172102</v>
      </c>
      <c r="AG1764">
        <v>-1.103148433733</v>
      </c>
      <c r="AH1764">
        <v>13.8810549068103</v>
      </c>
      <c r="AI1764">
        <v>94.426438595017402</v>
      </c>
      <c r="AJ1764">
        <v>103.078823888325</v>
      </c>
      <c r="AK1764">
        <v>14.2933569664158</v>
      </c>
    </row>
    <row r="1765" spans="1:37" x14ac:dyDescent="0.2">
      <c r="A1765" t="str">
        <f>"20200111150625064"</f>
        <v>20200111150625064</v>
      </c>
      <c r="B1765" t="str">
        <f>"1578726385058072"</f>
        <v>1578726385058072</v>
      </c>
      <c r="C1765" t="s">
        <v>37</v>
      </c>
      <c r="D1765">
        <v>5.6472110000000004</v>
      </c>
      <c r="E1765">
        <v>0.42941479999999999</v>
      </c>
      <c r="F1765" t="s">
        <v>84</v>
      </c>
      <c r="G1765">
        <v>-402.77640000000002</v>
      </c>
      <c r="H1765">
        <v>12.118259999999999</v>
      </c>
      <c r="I1765">
        <v>0.6525936</v>
      </c>
      <c r="J1765">
        <v>-421.19690000000003</v>
      </c>
      <c r="K1765">
        <v>1.103138</v>
      </c>
      <c r="L1765">
        <v>73.025570000000002</v>
      </c>
      <c r="M1765">
        <v>-3.8470230000000001E-2</v>
      </c>
      <c r="N1765">
        <v>0</v>
      </c>
      <c r="O1765">
        <v>-0.99919139999999995</v>
      </c>
      <c r="P1765">
        <v>6.0615389999999998E-2</v>
      </c>
      <c r="Q1765">
        <v>0.16312019999999999</v>
      </c>
      <c r="R1765">
        <v>-0.98474249999999997</v>
      </c>
      <c r="S1765">
        <v>0.74063109999999999</v>
      </c>
      <c r="T1765">
        <v>0.44324659999999899</v>
      </c>
      <c r="U1765">
        <v>-2.92794799999999</v>
      </c>
      <c r="V1765">
        <v>-9.8392439999999998E-2</v>
      </c>
      <c r="W1765">
        <v>0.1746364</v>
      </c>
      <c r="X1765">
        <v>0.97970460000000004</v>
      </c>
      <c r="Y1765">
        <v>-0.27976839999999997</v>
      </c>
      <c r="Z1765">
        <v>-0.1442986</v>
      </c>
      <c r="AA1765">
        <v>0.94916149999999999</v>
      </c>
      <c r="AB1765">
        <v>36</v>
      </c>
      <c r="AC1765">
        <v>18.420500000000001</v>
      </c>
      <c r="AD1765">
        <v>11.015122</v>
      </c>
      <c r="AE1765">
        <v>-72.372976399999999</v>
      </c>
      <c r="AF1765">
        <v>-20.740051220711401</v>
      </c>
      <c r="AG1765">
        <v>11.015122</v>
      </c>
      <c r="AH1765">
        <v>70.085963449791393</v>
      </c>
      <c r="AI1765">
        <v>81.429696795016</v>
      </c>
      <c r="AJ1765">
        <v>106.484699247493</v>
      </c>
      <c r="AK1765">
        <v>73.915660789836096</v>
      </c>
    </row>
    <row r="1766" spans="1:37" x14ac:dyDescent="0.2">
      <c r="A1766" t="str">
        <f>"20200111150625088"</f>
        <v>20200111150625088</v>
      </c>
      <c r="B1766" t="str">
        <f>"1578726385078568"</f>
        <v>1578726385078568</v>
      </c>
      <c r="C1766" t="s">
        <v>37</v>
      </c>
      <c r="D1766">
        <v>6.0003209999999996</v>
      </c>
      <c r="E1766">
        <v>0.46771109999999999</v>
      </c>
      <c r="F1766" t="s">
        <v>84</v>
      </c>
      <c r="G1766">
        <v>-402.84199999999998</v>
      </c>
      <c r="H1766">
        <v>12.034939999999899</v>
      </c>
      <c r="I1766">
        <v>0.65192220000000001</v>
      </c>
      <c r="J1766">
        <v>-421.21170000000001</v>
      </c>
      <c r="K1766">
        <v>1.103137</v>
      </c>
      <c r="L1766">
        <v>72.642849999999996</v>
      </c>
      <c r="M1766">
        <v>-3.8616499999999998E-2</v>
      </c>
      <c r="N1766">
        <v>0</v>
      </c>
      <c r="O1766">
        <v>-0.99918569999999995</v>
      </c>
      <c r="P1766">
        <v>6.1045439999999999E-2</v>
      </c>
      <c r="Q1766">
        <v>0.16288820000000001</v>
      </c>
      <c r="R1766">
        <v>-0.98475460000000004</v>
      </c>
      <c r="S1766">
        <v>0.74246219999999996</v>
      </c>
      <c r="T1766">
        <v>0.44219550000000002</v>
      </c>
      <c r="U1766">
        <v>-2.9275509999999998</v>
      </c>
      <c r="V1766">
        <v>-9.8965570000000003E-2</v>
      </c>
      <c r="W1766">
        <v>0.1744049</v>
      </c>
      <c r="X1766">
        <v>0.97968809999999995</v>
      </c>
      <c r="Y1766">
        <v>-0.28050949999999902</v>
      </c>
      <c r="Z1766">
        <v>-0.14395450000000001</v>
      </c>
      <c r="AA1766">
        <v>0.94899500000000003</v>
      </c>
      <c r="AB1766">
        <v>36</v>
      </c>
      <c r="AC1766">
        <v>18.369700000000002</v>
      </c>
      <c r="AD1766">
        <v>10.931803</v>
      </c>
      <c r="AE1766">
        <v>-71.990927799999994</v>
      </c>
      <c r="AF1766">
        <v>-20.688346385674599</v>
      </c>
      <c r="AG1766">
        <v>10.931803</v>
      </c>
      <c r="AH1766">
        <v>69.718480335569893</v>
      </c>
      <c r="AI1766">
        <v>81.451272545990307</v>
      </c>
      <c r="AJ1766">
        <v>106.52779301199899</v>
      </c>
      <c r="AK1766">
        <v>73.540318827876405</v>
      </c>
    </row>
    <row r="1767" spans="1:37" x14ac:dyDescent="0.2">
      <c r="A1767" t="str">
        <f>"20200111150625108"</f>
        <v>20200111150625108</v>
      </c>
      <c r="B1767" t="str">
        <f>"1578726385098088"</f>
        <v>1578726385098088</v>
      </c>
      <c r="C1767" t="s">
        <v>37</v>
      </c>
      <c r="D1767">
        <v>5.0705689999999999</v>
      </c>
      <c r="E1767">
        <v>0.46010469999999998</v>
      </c>
      <c r="F1767" t="s">
        <v>84</v>
      </c>
      <c r="G1767">
        <v>-409.6703</v>
      </c>
      <c r="H1767">
        <v>27.382459999999998</v>
      </c>
      <c r="I1767">
        <v>0.58252910000000002</v>
      </c>
      <c r="J1767">
        <v>-421.22480000000002</v>
      </c>
      <c r="K1767">
        <v>1.1031329999999999</v>
      </c>
      <c r="L1767">
        <v>72.307980000000001</v>
      </c>
      <c r="M1767">
        <v>-3.8744670000000002E-2</v>
      </c>
      <c r="N1767">
        <v>0</v>
      </c>
      <c r="O1767">
        <v>-0.99918069999999903</v>
      </c>
      <c r="P1767">
        <v>6.1078939999999998E-2</v>
      </c>
      <c r="Q1767">
        <v>0.16285050000000001</v>
      </c>
      <c r="R1767">
        <v>-0.98475840000000003</v>
      </c>
      <c r="S1767">
        <v>0.45590209999999998</v>
      </c>
      <c r="T1767">
        <v>1.038073</v>
      </c>
      <c r="U1767">
        <v>-2.8464969999999998</v>
      </c>
      <c r="V1767">
        <v>-9.9125519999999995E-2</v>
      </c>
      <c r="W1767">
        <v>0.17436779999999999</v>
      </c>
      <c r="X1767">
        <v>0.97967850000000001</v>
      </c>
      <c r="Y1767">
        <v>-0.18699089999999999</v>
      </c>
      <c r="Z1767">
        <v>-0.33728330000000001</v>
      </c>
      <c r="AA1767">
        <v>0.9226453</v>
      </c>
      <c r="AB1767">
        <v>36</v>
      </c>
      <c r="AC1767">
        <v>11.554500000000001</v>
      </c>
      <c r="AD1767">
        <v>26.279326999999999</v>
      </c>
      <c r="AE1767">
        <v>-71.725450899999998</v>
      </c>
      <c r="AF1767">
        <v>-12.667517870063101</v>
      </c>
      <c r="AG1767">
        <v>26.279326999999999</v>
      </c>
      <c r="AH1767">
        <v>62.982918017714198</v>
      </c>
      <c r="AI1767">
        <v>67.752795261357093</v>
      </c>
      <c r="AJ1767">
        <v>101.371966272687</v>
      </c>
      <c r="AK1767">
        <v>69.411216662636093</v>
      </c>
    </row>
    <row r="1768" spans="1:37" x14ac:dyDescent="0.2">
      <c r="A1768" t="str">
        <f>"20200111150625138"</f>
        <v>20200111150625138</v>
      </c>
      <c r="B1768" t="str">
        <f>"1578726385128344"</f>
        <v>1578726385128344</v>
      </c>
      <c r="C1768" t="s">
        <v>37</v>
      </c>
      <c r="D1768">
        <v>5.0421709999999997</v>
      </c>
      <c r="E1768">
        <v>0.49454090000000001</v>
      </c>
      <c r="F1768" t="s">
        <v>84</v>
      </c>
      <c r="G1768">
        <v>-408.13440000000003</v>
      </c>
      <c r="H1768">
        <v>28.177150000000001</v>
      </c>
      <c r="I1768">
        <v>0.59815220000000002</v>
      </c>
      <c r="J1768">
        <v>-421.24279999999999</v>
      </c>
      <c r="K1768">
        <v>1.103138</v>
      </c>
      <c r="L1768">
        <v>71.849090000000004</v>
      </c>
      <c r="M1768">
        <v>-3.8920469999999999E-2</v>
      </c>
      <c r="N1768">
        <v>0</v>
      </c>
      <c r="O1768">
        <v>-0.9991738</v>
      </c>
      <c r="P1768">
        <v>6.0835689999999998E-2</v>
      </c>
      <c r="Q1768">
        <v>0.1626744</v>
      </c>
      <c r="R1768">
        <v>-0.98480249999999903</v>
      </c>
      <c r="S1768">
        <v>0.51791379999999998</v>
      </c>
      <c r="T1768">
        <v>1.0711660000000001</v>
      </c>
      <c r="U1768">
        <v>-2.8371580000000001</v>
      </c>
      <c r="V1768">
        <v>-9.9056690000000003E-2</v>
      </c>
      <c r="W1768">
        <v>0.17419309999999999</v>
      </c>
      <c r="X1768">
        <v>0.97971649999999999</v>
      </c>
      <c r="Y1768">
        <v>-0.20657210000000001</v>
      </c>
      <c r="Z1768">
        <v>-0.346464099999999</v>
      </c>
      <c r="AA1768">
        <v>0.91503579999999995</v>
      </c>
      <c r="AB1768">
        <v>36</v>
      </c>
      <c r="AC1768">
        <v>13.1083999999999</v>
      </c>
      <c r="AD1768">
        <v>27.074012</v>
      </c>
      <c r="AE1768">
        <v>-71.250937800000003</v>
      </c>
      <c r="AF1768">
        <v>-13.926780902594</v>
      </c>
      <c r="AG1768">
        <v>27.074012</v>
      </c>
      <c r="AH1768">
        <v>62.024470234063301</v>
      </c>
      <c r="AI1768">
        <v>66.930793651309202</v>
      </c>
      <c r="AJ1768">
        <v>102.655124651202</v>
      </c>
      <c r="AK1768">
        <v>69.094082669221507</v>
      </c>
    </row>
    <row r="1769" spans="1:37" x14ac:dyDescent="0.2">
      <c r="A1769" t="str">
        <f>"20200111150625159"</f>
        <v>20200111150625159</v>
      </c>
      <c r="B1769" t="str">
        <f>"1578726385148840"</f>
        <v>1578726385148840</v>
      </c>
      <c r="C1769" t="s">
        <v>37</v>
      </c>
      <c r="D1769">
        <v>5.0153379999999999</v>
      </c>
      <c r="E1769">
        <v>0.4949904</v>
      </c>
      <c r="F1769" t="s">
        <v>84</v>
      </c>
      <c r="G1769">
        <v>-416.33879999999999</v>
      </c>
      <c r="H1769">
        <v>0.15862229999999999</v>
      </c>
      <c r="I1769">
        <v>1.276087</v>
      </c>
      <c r="J1769">
        <v>-421.2568</v>
      </c>
      <c r="K1769">
        <v>1.10314</v>
      </c>
      <c r="L1769">
        <v>71.494050000000001</v>
      </c>
      <c r="M1769">
        <v>-3.9056599999999997E-2</v>
      </c>
      <c r="N1769">
        <v>0</v>
      </c>
      <c r="O1769">
        <v>-0.99916849999999902</v>
      </c>
      <c r="P1769">
        <v>6.0360869999999997E-2</v>
      </c>
      <c r="Q1769">
        <v>0.16310949999999999</v>
      </c>
      <c r="R1769">
        <v>-0.98475990000000002</v>
      </c>
      <c r="S1769">
        <v>0.21124270000000001</v>
      </c>
      <c r="T1769">
        <v>-4.0686729999999997E-2</v>
      </c>
      <c r="U1769">
        <v>-3.0399780000000001</v>
      </c>
      <c r="V1769">
        <v>-9.871402E-2</v>
      </c>
      <c r="W1769">
        <v>0.17462800000000001</v>
      </c>
      <c r="X1769">
        <v>0.97967369999999898</v>
      </c>
      <c r="Y1769">
        <v>-0.1082273</v>
      </c>
      <c r="Z1769">
        <v>1.3312020000000001E-2</v>
      </c>
      <c r="AA1769">
        <v>0.99403699999999995</v>
      </c>
      <c r="AB1769">
        <v>36</v>
      </c>
      <c r="AC1769">
        <v>4.9180000000000001</v>
      </c>
      <c r="AD1769">
        <v>-0.94451770000000002</v>
      </c>
      <c r="AE1769">
        <v>-70.217962999999997</v>
      </c>
      <c r="AF1769">
        <v>-7.6555312785518996</v>
      </c>
      <c r="AG1769">
        <v>-0.94451770000000002</v>
      </c>
      <c r="AH1769">
        <v>69.959689444041999</v>
      </c>
      <c r="AI1769">
        <v>90.768907359571102</v>
      </c>
      <c r="AJ1769">
        <v>96.244900850505005</v>
      </c>
      <c r="AK1769">
        <v>70.383644548640007</v>
      </c>
    </row>
    <row r="1770" spans="1:37" x14ac:dyDescent="0.2">
      <c r="A1770" t="str">
        <f>"20200111150625180"</f>
        <v>20200111150625180</v>
      </c>
      <c r="B1770" t="str">
        <f>"1578726385168360"</f>
        <v>1578726385168360</v>
      </c>
      <c r="C1770" t="s">
        <v>37</v>
      </c>
      <c r="D1770">
        <v>4.2465960000000003</v>
      </c>
      <c r="E1770">
        <v>0.49161149999999998</v>
      </c>
      <c r="F1770" t="s">
        <v>85</v>
      </c>
      <c r="G1770">
        <v>-417.54039999999998</v>
      </c>
      <c r="H1770" s="1">
        <v>-1.2824189999999999E-5</v>
      </c>
      <c r="I1770">
        <v>16.479769999999998</v>
      </c>
      <c r="J1770">
        <v>-421.27</v>
      </c>
      <c r="K1770">
        <v>1.103138</v>
      </c>
      <c r="L1770">
        <v>71.158999999999907</v>
      </c>
      <c r="M1770">
        <v>-3.9185070000000002E-2</v>
      </c>
      <c r="N1770">
        <v>0</v>
      </c>
      <c r="O1770">
        <v>-0.99916329999999998</v>
      </c>
      <c r="P1770">
        <v>5.9723430000000001E-2</v>
      </c>
      <c r="Q1770">
        <v>0.16344210000000001</v>
      </c>
      <c r="R1770">
        <v>-0.98474340000000005</v>
      </c>
      <c r="S1770">
        <v>0.20562739999999999</v>
      </c>
      <c r="T1770">
        <v>-6.1037540000000001E-2</v>
      </c>
      <c r="U1770">
        <v>-3.0439449999999999</v>
      </c>
      <c r="V1770">
        <v>-9.8202159999999997E-2</v>
      </c>
      <c r="W1770">
        <v>0.1749617</v>
      </c>
      <c r="X1770">
        <v>0.97966559999999903</v>
      </c>
      <c r="Y1770">
        <v>-0.10643279999999999</v>
      </c>
      <c r="Z1770">
        <v>1.9945319999999999E-2</v>
      </c>
      <c r="AA1770">
        <v>0.9941198</v>
      </c>
      <c r="AB1770">
        <v>36</v>
      </c>
      <c r="AC1770">
        <v>3.7296</v>
      </c>
      <c r="AD1770">
        <v>-1.1031508241900001</v>
      </c>
      <c r="AE1770">
        <v>-54.679229999999897</v>
      </c>
      <c r="AF1770">
        <v>-5.8671146234573204</v>
      </c>
      <c r="AG1770">
        <v>-1.1031508241900001</v>
      </c>
      <c r="AH1770">
        <v>54.469006511747502</v>
      </c>
      <c r="AI1770">
        <v>91.153571306658506</v>
      </c>
      <c r="AJ1770">
        <v>96.1478959368837</v>
      </c>
      <c r="AK1770">
        <v>54.795188165773197</v>
      </c>
    </row>
    <row r="1771" spans="1:37" x14ac:dyDescent="0.2">
      <c r="A1771" t="str">
        <f>"20200111150625199"</f>
        <v>20200111150625199</v>
      </c>
      <c r="B1771" t="str">
        <f>"1578726385187880"</f>
        <v>1578726385187880</v>
      </c>
      <c r="C1771" t="s">
        <v>37</v>
      </c>
      <c r="D1771">
        <v>4.243563</v>
      </c>
      <c r="E1771">
        <v>0.4897685</v>
      </c>
      <c r="F1771" t="s">
        <v>84</v>
      </c>
      <c r="G1771">
        <v>-415.92399999999998</v>
      </c>
      <c r="H1771">
        <v>0.96820969999999995</v>
      </c>
      <c r="I1771">
        <v>1.277725</v>
      </c>
      <c r="J1771">
        <v>-421.28250000000003</v>
      </c>
      <c r="K1771">
        <v>1.103137</v>
      </c>
      <c r="L1771">
        <v>70.842619999999997</v>
      </c>
      <c r="M1771">
        <v>-3.9306420000000002E-2</v>
      </c>
      <c r="N1771">
        <v>0</v>
      </c>
      <c r="O1771">
        <v>-0.99915869999999996</v>
      </c>
      <c r="P1771">
        <v>5.9381459999999997E-2</v>
      </c>
      <c r="Q1771">
        <v>0.16318350000000001</v>
      </c>
      <c r="R1771">
        <v>-0.98480730000000005</v>
      </c>
      <c r="S1771">
        <v>0.2320557</v>
      </c>
      <c r="T1771">
        <v>-5.8580639999999996E-3</v>
      </c>
      <c r="U1771">
        <v>-3.0333860000000001</v>
      </c>
      <c r="V1771">
        <v>-9.7982440000000004E-2</v>
      </c>
      <c r="W1771">
        <v>0.1747049</v>
      </c>
      <c r="X1771">
        <v>0.97973349999999904</v>
      </c>
      <c r="Y1771">
        <v>-0.1154131</v>
      </c>
      <c r="Z1771">
        <v>1.9196949999999999E-3</v>
      </c>
      <c r="AA1771">
        <v>0.99331569999999902</v>
      </c>
      <c r="AB1771">
        <v>36</v>
      </c>
      <c r="AC1771">
        <v>5.3584999999999896</v>
      </c>
      <c r="AD1771">
        <v>-0.1349273</v>
      </c>
      <c r="AE1771">
        <v>-69.564894999999893</v>
      </c>
      <c r="AF1771">
        <v>-8.0888623170079494</v>
      </c>
      <c r="AG1771">
        <v>-0.1349273</v>
      </c>
      <c r="AH1771">
        <v>69.300231128613106</v>
      </c>
      <c r="AI1771">
        <v>90.110802303560305</v>
      </c>
      <c r="AJ1771">
        <v>96.657553422751505</v>
      </c>
      <c r="AK1771">
        <v>69.770838703852405</v>
      </c>
    </row>
    <row r="1772" spans="1:37" x14ac:dyDescent="0.2">
      <c r="A1772" t="str">
        <f>"20200111150625222"</f>
        <v>20200111150625222</v>
      </c>
      <c r="B1772" t="str">
        <f>"1578726385218136"</f>
        <v>1578726385218136</v>
      </c>
      <c r="C1772" t="s">
        <v>37</v>
      </c>
      <c r="D1772">
        <v>5.0454369999999997</v>
      </c>
      <c r="E1772">
        <v>0.491129599999999</v>
      </c>
      <c r="F1772" t="s">
        <v>84</v>
      </c>
      <c r="G1772">
        <v>-415.63900000000001</v>
      </c>
      <c r="H1772">
        <v>1.0390189999999999</v>
      </c>
      <c r="I1772">
        <v>1.2788520000000001</v>
      </c>
      <c r="J1772">
        <v>-421.29649999999998</v>
      </c>
      <c r="K1772">
        <v>1.103135</v>
      </c>
      <c r="L1772">
        <v>70.489009999999993</v>
      </c>
      <c r="M1772">
        <v>-3.9442089999999999E-2</v>
      </c>
      <c r="N1772">
        <v>0</v>
      </c>
      <c r="O1772">
        <v>-0.99915350000000003</v>
      </c>
      <c r="P1772">
        <v>5.9520459999999997E-2</v>
      </c>
      <c r="Q1772">
        <v>0.16336429999999999</v>
      </c>
      <c r="R1772">
        <v>-0.98476889999999995</v>
      </c>
      <c r="S1772">
        <v>0.24597169999999999</v>
      </c>
      <c r="T1772">
        <v>-2.7956959999999999E-3</v>
      </c>
      <c r="U1772">
        <v>-3.0319210000000001</v>
      </c>
      <c r="V1772">
        <v>-9.8253380000000001E-2</v>
      </c>
      <c r="W1772">
        <v>0.17489179999999999</v>
      </c>
      <c r="X1772">
        <v>0.97967299999999902</v>
      </c>
      <c r="Y1772">
        <v>-0.12011429999999999</v>
      </c>
      <c r="Z1772">
        <v>9.1616709999999999E-4</v>
      </c>
      <c r="AA1772">
        <v>0.99275959999999996</v>
      </c>
      <c r="AB1772">
        <v>36</v>
      </c>
      <c r="AC1772">
        <v>5.6574999999999704</v>
      </c>
      <c r="AD1772">
        <v>-6.4115999999999798E-2</v>
      </c>
      <c r="AE1772">
        <v>-69.210157999999893</v>
      </c>
      <c r="AF1772">
        <v>-8.3830696648787093</v>
      </c>
      <c r="AG1772">
        <v>-6.4115999999999798E-2</v>
      </c>
      <c r="AH1772">
        <v>68.933077676224102</v>
      </c>
      <c r="AI1772">
        <v>90.052902146916594</v>
      </c>
      <c r="AJ1772">
        <v>96.933789458812697</v>
      </c>
      <c r="AK1772">
        <v>69.440976129256796</v>
      </c>
    </row>
    <row r="1773" spans="1:37" x14ac:dyDescent="0.2">
      <c r="A1773" t="str">
        <f>"20200111150625264"</f>
        <v>20200111150625264</v>
      </c>
      <c r="B1773" t="str">
        <f>"1578726385258152"</f>
        <v>1578726385258152</v>
      </c>
      <c r="C1773" t="s">
        <v>37</v>
      </c>
      <c r="D1773">
        <v>5.0371600000000001</v>
      </c>
      <c r="E1773">
        <v>0.49417139999999998</v>
      </c>
      <c r="F1773" t="s">
        <v>84</v>
      </c>
      <c r="G1773">
        <v>-415.94619999999998</v>
      </c>
      <c r="H1773">
        <v>0.39198449999999901</v>
      </c>
      <c r="I1773">
        <v>1.277636</v>
      </c>
      <c r="J1773">
        <v>-421.32400000000001</v>
      </c>
      <c r="K1773">
        <v>1.1031409999999999</v>
      </c>
      <c r="L1773">
        <v>69.800899999999999</v>
      </c>
      <c r="M1773">
        <v>-3.9705839999999999E-2</v>
      </c>
      <c r="N1773">
        <v>0</v>
      </c>
      <c r="O1773">
        <v>-0.9991428</v>
      </c>
      <c r="P1773">
        <v>5.9893960000000003E-2</v>
      </c>
      <c r="Q1773">
        <v>0.16321340000000001</v>
      </c>
      <c r="R1773">
        <v>-0.98477130000000002</v>
      </c>
      <c r="S1773">
        <v>0.23480219999999999</v>
      </c>
      <c r="T1773">
        <v>-3.1210419999999999E-2</v>
      </c>
      <c r="U1773">
        <v>-3.0373839999999999</v>
      </c>
      <c r="V1773">
        <v>-9.8885379999999995E-2</v>
      </c>
      <c r="W1773">
        <v>0.17476129999999901</v>
      </c>
      <c r="X1773">
        <v>0.97963269999999902</v>
      </c>
      <c r="Y1773">
        <v>-0.1165998</v>
      </c>
      <c r="Z1773">
        <v>1.021245E-2</v>
      </c>
      <c r="AA1773">
        <v>0.99312649999999902</v>
      </c>
      <c r="AB1773">
        <v>36</v>
      </c>
      <c r="AC1773">
        <v>5.3778000000000299</v>
      </c>
      <c r="AD1773">
        <v>-0.71115649999999997</v>
      </c>
      <c r="AE1773">
        <v>-68.523263999999998</v>
      </c>
      <c r="AF1773">
        <v>-8.0936524240479102</v>
      </c>
      <c r="AG1773">
        <v>-0.71115649999999997</v>
      </c>
      <c r="AH1773">
        <v>68.248369268093796</v>
      </c>
      <c r="AI1773">
        <v>90.592853495871907</v>
      </c>
      <c r="AJ1773">
        <v>96.763184781134797</v>
      </c>
      <c r="AK1773">
        <v>68.730290708557902</v>
      </c>
    </row>
    <row r="1774" spans="1:37" x14ac:dyDescent="0.2">
      <c r="A1774" t="str">
        <f>"20200111150625288"</f>
        <v>20200111150625288</v>
      </c>
      <c r="B1774" t="str">
        <f>"1578726385278647"</f>
        <v>1578726385278647</v>
      </c>
      <c r="C1774" t="s">
        <v>37</v>
      </c>
      <c r="D1774">
        <v>5.0117620000000001</v>
      </c>
      <c r="E1774">
        <v>0.494847599999999</v>
      </c>
      <c r="F1774" t="s">
        <v>85</v>
      </c>
      <c r="G1774">
        <v>-417.61720000000003</v>
      </c>
      <c r="H1774" s="1">
        <v>-1.29010899999999E-5</v>
      </c>
      <c r="I1774">
        <v>16.23874</v>
      </c>
      <c r="J1774">
        <v>-421.34039999999999</v>
      </c>
      <c r="K1774">
        <v>1.10314</v>
      </c>
      <c r="L1774">
        <v>69.393979999999999</v>
      </c>
      <c r="M1774">
        <v>-3.9861779999999999E-2</v>
      </c>
      <c r="N1774">
        <v>0</v>
      </c>
      <c r="O1774">
        <v>-0.99913609999999897</v>
      </c>
      <c r="P1774">
        <v>5.9961699999999903E-2</v>
      </c>
      <c r="Q1774">
        <v>0.16312379999999899</v>
      </c>
      <c r="R1774">
        <v>-0.98478199999999905</v>
      </c>
      <c r="S1774">
        <v>0.21066279999999901</v>
      </c>
      <c r="T1774">
        <v>-6.2692999999999999E-2</v>
      </c>
      <c r="U1774">
        <v>-3.0439759999999998</v>
      </c>
      <c r="V1774">
        <v>-9.9106219999999995E-2</v>
      </c>
      <c r="W1774">
        <v>0.17468989999999901</v>
      </c>
      <c r="X1774">
        <v>0.97962309999999997</v>
      </c>
      <c r="Y1774">
        <v>-0.1087413</v>
      </c>
      <c r="Z1774">
        <v>2.0481289999999999E-2</v>
      </c>
      <c r="AA1774">
        <v>0.9938591</v>
      </c>
      <c r="AB1774">
        <v>36</v>
      </c>
      <c r="AC1774">
        <v>3.7231999999999599</v>
      </c>
      <c r="AD1774">
        <v>-1.1031529010900001</v>
      </c>
      <c r="AE1774">
        <v>-53.155239999999999</v>
      </c>
      <c r="AF1774">
        <v>-5.8367475623252503</v>
      </c>
      <c r="AG1774">
        <v>-1.1031529010900001</v>
      </c>
      <c r="AH1774">
        <v>52.941871961675901</v>
      </c>
      <c r="AI1774">
        <v>91.186515785250606</v>
      </c>
      <c r="AJ1774">
        <v>96.291350484097805</v>
      </c>
      <c r="AK1774">
        <v>53.274068506506801</v>
      </c>
    </row>
    <row r="1775" spans="1:37" x14ac:dyDescent="0.2">
      <c r="A1775" t="str">
        <f>"20200111150625310"</f>
        <v>20200111150625310</v>
      </c>
      <c r="B1775" t="str">
        <f>"1578726385307928"</f>
        <v>1578726385307928</v>
      </c>
      <c r="C1775" t="s">
        <v>37</v>
      </c>
      <c r="D1775">
        <v>5.0287100000000002</v>
      </c>
      <c r="E1775">
        <v>0.49606670000000003</v>
      </c>
      <c r="F1775" t="s">
        <v>85</v>
      </c>
      <c r="G1775">
        <v>-418.51229999999998</v>
      </c>
      <c r="H1775" s="1">
        <v>-7.5427269999999902E-6</v>
      </c>
      <c r="I1775">
        <v>27.37968</v>
      </c>
      <c r="J1775">
        <v>-421.35500000000002</v>
      </c>
      <c r="K1775">
        <v>1.103138</v>
      </c>
      <c r="L1775">
        <v>69.030789999999996</v>
      </c>
      <c r="M1775">
        <v>-4.0001000000000002E-2</v>
      </c>
      <c r="N1775">
        <v>0</v>
      </c>
      <c r="O1775">
        <v>-0.99913059999999998</v>
      </c>
      <c r="P1775">
        <v>6.1007909999999999E-2</v>
      </c>
      <c r="Q1775">
        <v>0.16309119999999999</v>
      </c>
      <c r="R1775">
        <v>-0.98472349999999997</v>
      </c>
      <c r="S1775">
        <v>0.2051086</v>
      </c>
      <c r="T1775">
        <v>-8.0006599999999997E-2</v>
      </c>
      <c r="U1775">
        <v>-3.0471189999999999</v>
      </c>
      <c r="V1775">
        <v>-0.1002864</v>
      </c>
      <c r="W1775">
        <v>0.17467489999999999</v>
      </c>
      <c r="X1775">
        <v>0.97950569999999904</v>
      </c>
      <c r="Y1775">
        <v>-0.1069971</v>
      </c>
      <c r="Z1775">
        <v>2.611103E-2</v>
      </c>
      <c r="AA1775">
        <v>0.99391640000000003</v>
      </c>
      <c r="AB1775">
        <v>36</v>
      </c>
      <c r="AC1775">
        <v>2.84270000000003</v>
      </c>
      <c r="AD1775">
        <v>-1.1031455427270001</v>
      </c>
      <c r="AE1775">
        <v>-41.651109999999903</v>
      </c>
      <c r="AF1775">
        <v>-4.5034810605533302</v>
      </c>
      <c r="AG1775">
        <v>-1.1031455427270001</v>
      </c>
      <c r="AH1775">
        <v>41.475091951403002</v>
      </c>
      <c r="AI1775">
        <v>91.514682688420194</v>
      </c>
      <c r="AJ1775">
        <v>96.197056616410904</v>
      </c>
      <c r="AK1775">
        <v>41.733458089745398</v>
      </c>
    </row>
    <row r="1776" spans="1:37" x14ac:dyDescent="0.2">
      <c r="A1776" t="str">
        <f>"20200111150625335"</f>
        <v>20200111150625335</v>
      </c>
      <c r="B1776" t="str">
        <f>"1578726385328423"</f>
        <v>1578726385328423</v>
      </c>
      <c r="C1776" t="s">
        <v>37</v>
      </c>
      <c r="D1776">
        <v>5.0126999999999997</v>
      </c>
      <c r="E1776">
        <v>0.49617289999999997</v>
      </c>
      <c r="F1776" t="s">
        <v>85</v>
      </c>
      <c r="G1776">
        <v>-419.01049999999998</v>
      </c>
      <c r="H1776" s="1">
        <v>-4.279276E-6</v>
      </c>
      <c r="I1776">
        <v>32.864359999999998</v>
      </c>
      <c r="J1776">
        <v>-421.37020000000001</v>
      </c>
      <c r="K1776">
        <v>1.103143</v>
      </c>
      <c r="L1776">
        <v>68.654910000000001</v>
      </c>
      <c r="M1776">
        <v>-4.0144989999999998E-2</v>
      </c>
      <c r="N1776">
        <v>0</v>
      </c>
      <c r="O1776">
        <v>-0.99912440000000002</v>
      </c>
      <c r="P1776">
        <v>6.1996009999999997E-2</v>
      </c>
      <c r="Q1776">
        <v>0.16249340000000001</v>
      </c>
      <c r="R1776">
        <v>-0.98476010000000003</v>
      </c>
      <c r="S1776">
        <v>0.19769289999999901</v>
      </c>
      <c r="T1776">
        <v>-9.3020920000000007E-2</v>
      </c>
      <c r="U1776">
        <v>-3.0496829999999999</v>
      </c>
      <c r="V1776">
        <v>-0.1014164</v>
      </c>
      <c r="W1776">
        <v>0.174095</v>
      </c>
      <c r="X1776">
        <v>0.97949249999999899</v>
      </c>
      <c r="Y1776">
        <v>-0.10467</v>
      </c>
      <c r="Z1776">
        <v>3.0335230000000001E-2</v>
      </c>
      <c r="AA1776">
        <v>0.99404419999999905</v>
      </c>
      <c r="AB1776">
        <v>36</v>
      </c>
      <c r="AC1776">
        <v>2.3597000000000299</v>
      </c>
      <c r="AD1776">
        <v>-1.103147279276</v>
      </c>
      <c r="AE1776">
        <v>-35.790550000000003</v>
      </c>
      <c r="AF1776">
        <v>-3.7911224718561698</v>
      </c>
      <c r="AG1776">
        <v>-1.103147279276</v>
      </c>
      <c r="AH1776">
        <v>35.633251674662603</v>
      </c>
      <c r="AI1776">
        <v>91.763272208655096</v>
      </c>
      <c r="AJ1776">
        <v>96.073014501465394</v>
      </c>
      <c r="AK1776">
        <v>35.851334262844802</v>
      </c>
    </row>
    <row r="1777" spans="1:37" x14ac:dyDescent="0.2">
      <c r="A1777" t="str">
        <f>"20200111150625358"</f>
        <v>20200111150625358</v>
      </c>
      <c r="B1777" t="str">
        <f>"1578726385347944"</f>
        <v>1578726385347944</v>
      </c>
      <c r="C1777" t="s">
        <v>37</v>
      </c>
      <c r="D1777">
        <v>4.9983649999999997</v>
      </c>
      <c r="E1777">
        <v>0.49625239999999998</v>
      </c>
      <c r="F1777" t="s">
        <v>85</v>
      </c>
      <c r="G1777">
        <v>-419.13459999999998</v>
      </c>
      <c r="H1777" s="1">
        <v>-3.3780749999999998E-6</v>
      </c>
      <c r="I1777">
        <v>34.579039999999999</v>
      </c>
      <c r="J1777">
        <v>-421.385999999999</v>
      </c>
      <c r="K1777">
        <v>1.1031489999999999</v>
      </c>
      <c r="L1777">
        <v>68.265630000000002</v>
      </c>
      <c r="M1777">
        <v>-4.0291979999999998E-2</v>
      </c>
      <c r="N1777">
        <v>0</v>
      </c>
      <c r="O1777">
        <v>-0.99911799999999995</v>
      </c>
      <c r="P1777">
        <v>6.0934410000000001E-2</v>
      </c>
      <c r="Q1777">
        <v>0.16197779999999901</v>
      </c>
      <c r="R1777">
        <v>-0.98491130000000005</v>
      </c>
      <c r="S1777">
        <v>0.200103799999999</v>
      </c>
      <c r="T1777">
        <v>-9.8742010000000005E-2</v>
      </c>
      <c r="U1777">
        <v>-3.0501099999999899</v>
      </c>
      <c r="V1777">
        <v>-0.1005071</v>
      </c>
      <c r="W1777">
        <v>0.17359820000000001</v>
      </c>
      <c r="X1777">
        <v>0.9796745</v>
      </c>
      <c r="Y1777">
        <v>-0.1055859</v>
      </c>
      <c r="Z1777">
        <v>3.2191879999999999E-2</v>
      </c>
      <c r="AA1777">
        <v>0.99388899999999902</v>
      </c>
      <c r="AB1777">
        <v>36</v>
      </c>
      <c r="AC1777">
        <v>2.2513999999999799</v>
      </c>
      <c r="AD1777">
        <v>-1.1031523780750001</v>
      </c>
      <c r="AE1777">
        <v>-33.686590000000002</v>
      </c>
      <c r="AF1777">
        <v>-3.6031189695334702</v>
      </c>
      <c r="AG1777">
        <v>-1.1031523780750001</v>
      </c>
      <c r="AH1777">
        <v>33.532710647166503</v>
      </c>
      <c r="AI1777">
        <v>91.873449153890803</v>
      </c>
      <c r="AJ1777">
        <v>96.132950605110807</v>
      </c>
      <c r="AK1777">
        <v>33.7437712003928</v>
      </c>
    </row>
    <row r="1778" spans="1:37" x14ac:dyDescent="0.2">
      <c r="A1778" t="str">
        <f>"20200111150625398"</f>
        <v>20200111150625398</v>
      </c>
      <c r="B1778" t="str">
        <f>"1578726385387960"</f>
        <v>1578726385387960</v>
      </c>
      <c r="C1778" t="s">
        <v>37</v>
      </c>
      <c r="D1778">
        <v>4.9987059999999897</v>
      </c>
      <c r="E1778">
        <v>0.49608590000000002</v>
      </c>
      <c r="F1778" t="s">
        <v>85</v>
      </c>
      <c r="G1778">
        <v>-419.3415</v>
      </c>
      <c r="H1778" s="1">
        <v>-1.9389549999999998E-6</v>
      </c>
      <c r="I1778">
        <v>36.821359999999999</v>
      </c>
      <c r="J1778">
        <v>-421.41219999999998</v>
      </c>
      <c r="K1778">
        <v>1.1031599999999999</v>
      </c>
      <c r="L1778">
        <v>67.622529999999998</v>
      </c>
      <c r="M1778">
        <v>-4.0521599999999998E-2</v>
      </c>
      <c r="N1778">
        <v>0</v>
      </c>
      <c r="O1778">
        <v>-0.99910869999999996</v>
      </c>
      <c r="P1778">
        <v>5.9432249999999999E-2</v>
      </c>
      <c r="Q1778">
        <v>0.1620637</v>
      </c>
      <c r="R1778">
        <v>-0.984988999999999</v>
      </c>
      <c r="S1778">
        <v>0.19839479999999901</v>
      </c>
      <c r="T1778">
        <v>-0.107048</v>
      </c>
      <c r="U1778">
        <v>-3.0512999999999999</v>
      </c>
      <c r="V1778">
        <v>-9.923767E-2</v>
      </c>
      <c r="W1778">
        <v>0.17370949999999999</v>
      </c>
      <c r="X1778">
        <v>0.97978410000000005</v>
      </c>
      <c r="Y1778">
        <v>-0.1052289</v>
      </c>
      <c r="Z1778">
        <v>3.4883839999999999E-2</v>
      </c>
      <c r="AA1778">
        <v>0.99383600000000005</v>
      </c>
      <c r="AB1778">
        <v>36</v>
      </c>
      <c r="AC1778">
        <v>2.07069999999998</v>
      </c>
      <c r="AD1778">
        <v>-1.103161938955</v>
      </c>
      <c r="AE1778">
        <v>-30.801169999999999</v>
      </c>
      <c r="AF1778">
        <v>-3.3129683548975799</v>
      </c>
      <c r="AG1778">
        <v>-1.103161938955</v>
      </c>
      <c r="AH1778">
        <v>30.6528111961664</v>
      </c>
      <c r="AI1778">
        <v>92.049200637114794</v>
      </c>
      <c r="AJ1778">
        <v>96.168606352553596</v>
      </c>
      <c r="AK1778">
        <v>30.851054435982199</v>
      </c>
    </row>
    <row r="1779" spans="1:37" x14ac:dyDescent="0.2">
      <c r="A1779" t="str">
        <f>"20200111150625428"</f>
        <v>20200111150625428</v>
      </c>
      <c r="B1779" t="str">
        <f>"1578726385418216"</f>
        <v>1578726385418216</v>
      </c>
      <c r="C1779" t="s">
        <v>37</v>
      </c>
      <c r="D1779">
        <v>4.6527409999999998</v>
      </c>
      <c r="E1779">
        <v>0.49612079999999997</v>
      </c>
      <c r="F1779" t="s">
        <v>85</v>
      </c>
      <c r="G1779">
        <v>-419.34690000000001</v>
      </c>
      <c r="H1779" s="1">
        <v>-2.99536099999999E-6</v>
      </c>
      <c r="I1779">
        <v>35.1571</v>
      </c>
      <c r="J1779">
        <v>-421.43259999999998</v>
      </c>
      <c r="K1779">
        <v>1.1031759999999999</v>
      </c>
      <c r="L1779">
        <v>67.12491</v>
      </c>
      <c r="M1779">
        <v>-4.0671350000000002E-2</v>
      </c>
      <c r="N1779">
        <v>0</v>
      </c>
      <c r="O1779">
        <v>-0.99910219999999905</v>
      </c>
      <c r="P1779">
        <v>5.862444E-2</v>
      </c>
      <c r="Q1779">
        <v>0.16215179999999901</v>
      </c>
      <c r="R1779">
        <v>-0.98502299999999998</v>
      </c>
      <c r="S1779">
        <v>0.19409179999999901</v>
      </c>
      <c r="T1779">
        <v>-0.10367369999999999</v>
      </c>
      <c r="U1779">
        <v>-3.051056</v>
      </c>
      <c r="V1779">
        <v>-9.8584889999999994E-2</v>
      </c>
      <c r="W1779">
        <v>0.1738198</v>
      </c>
      <c r="X1779">
        <v>0.97983039999999999</v>
      </c>
      <c r="Y1779">
        <v>-0.1039896</v>
      </c>
      <c r="Z1779">
        <v>3.3791660000000001E-2</v>
      </c>
      <c r="AA1779">
        <v>0.99400419999999901</v>
      </c>
      <c r="AB1779">
        <v>36</v>
      </c>
      <c r="AC1779">
        <v>2.0856999999999699</v>
      </c>
      <c r="AD1779">
        <v>-1.1031789953609901</v>
      </c>
      <c r="AE1779">
        <v>-31.96781</v>
      </c>
      <c r="AF1779">
        <v>-3.3802310575988601</v>
      </c>
      <c r="AG1779">
        <v>-1.1031789953609901</v>
      </c>
      <c r="AH1779">
        <v>31.8187896301196</v>
      </c>
      <c r="AI1779">
        <v>91.974586030991702</v>
      </c>
      <c r="AJ1779">
        <v>96.064004834121107</v>
      </c>
      <c r="AK1779">
        <v>32.016844620049099</v>
      </c>
    </row>
    <row r="1780" spans="1:37" x14ac:dyDescent="0.2">
      <c r="A1780" t="str">
        <f>"20200111150625453"</f>
        <v>20200111150625453</v>
      </c>
      <c r="B1780" t="str">
        <f>"1578726385448472"</f>
        <v>1578726385448472</v>
      </c>
      <c r="C1780" t="s">
        <v>37</v>
      </c>
      <c r="D1780">
        <v>5.9731870000000002</v>
      </c>
      <c r="E1780">
        <v>0.50672209999999995</v>
      </c>
      <c r="F1780" t="s">
        <v>85</v>
      </c>
      <c r="G1780">
        <v>-419.49770000000001</v>
      </c>
      <c r="H1780" s="1">
        <v>-2.1976060000000001E-6</v>
      </c>
      <c r="I1780">
        <v>36.349069999999998</v>
      </c>
      <c r="J1780">
        <v>-421.4486</v>
      </c>
      <c r="K1780">
        <v>1.1031949999999999</v>
      </c>
      <c r="L1780">
        <v>66.73236</v>
      </c>
      <c r="M1780">
        <v>-4.0764660000000001E-2</v>
      </c>
      <c r="N1780">
        <v>0</v>
      </c>
      <c r="O1780">
        <v>-0.99909840000000005</v>
      </c>
      <c r="P1780">
        <v>5.7960459999999998E-2</v>
      </c>
      <c r="Q1780">
        <v>0.16210369999999999</v>
      </c>
      <c r="R1780">
        <v>-0.98507029999999995</v>
      </c>
      <c r="S1780">
        <v>0.1918945</v>
      </c>
      <c r="T1780">
        <v>-0.109407399999999</v>
      </c>
      <c r="U1780">
        <v>-3.0521849999999899</v>
      </c>
      <c r="V1780">
        <v>-9.8021949999999997E-2</v>
      </c>
      <c r="W1780">
        <v>0.17378929999999901</v>
      </c>
      <c r="X1780">
        <v>0.97989230000000005</v>
      </c>
      <c r="Y1780">
        <v>-0.1033423</v>
      </c>
      <c r="Z1780">
        <v>3.5646860000000002E-2</v>
      </c>
      <c r="AA1780">
        <v>0.99400689999999903</v>
      </c>
      <c r="AB1780">
        <v>36</v>
      </c>
      <c r="AC1780">
        <v>1.9508999999999801</v>
      </c>
      <c r="AD1780">
        <v>-1.103197197606</v>
      </c>
      <c r="AE1780">
        <v>-30.383289999999899</v>
      </c>
      <c r="AF1780">
        <v>-3.1837496016864502</v>
      </c>
      <c r="AG1780">
        <v>-1.103197197606</v>
      </c>
      <c r="AH1780">
        <v>30.238795574364602</v>
      </c>
      <c r="AI1780">
        <v>92.077910928129299</v>
      </c>
      <c r="AJ1780">
        <v>96.010352410764597</v>
      </c>
      <c r="AK1780">
        <v>30.425943919150001</v>
      </c>
    </row>
    <row r="1781" spans="1:37" x14ac:dyDescent="0.2">
      <c r="A1781" t="str">
        <f>"20200111150625474"</f>
        <v>20200111150625474</v>
      </c>
      <c r="B1781" t="str">
        <f>"1578726385467991"</f>
        <v>1578726385467991</v>
      </c>
      <c r="C1781" t="s">
        <v>37</v>
      </c>
      <c r="D1781">
        <v>5.0635879999999904</v>
      </c>
      <c r="E1781">
        <v>0.50672209999999995</v>
      </c>
      <c r="F1781" t="s">
        <v>84</v>
      </c>
      <c r="G1781">
        <v>-418.59660000000002</v>
      </c>
      <c r="H1781">
        <v>16.836310000000001</v>
      </c>
      <c r="I1781">
        <v>0.4917145</v>
      </c>
      <c r="J1781">
        <v>-421.46339999999998</v>
      </c>
      <c r="K1781">
        <v>1.1032059999999999</v>
      </c>
      <c r="L1781">
        <v>66.373440000000002</v>
      </c>
      <c r="M1781">
        <v>-4.0819979999999999E-2</v>
      </c>
      <c r="N1781">
        <v>0</v>
      </c>
      <c r="O1781">
        <v>-0.99909559999999997</v>
      </c>
      <c r="P1781">
        <v>5.8775380000000002E-2</v>
      </c>
      <c r="Q1781">
        <v>0.16199349999999901</v>
      </c>
      <c r="R1781">
        <v>-0.98503989999999997</v>
      </c>
      <c r="S1781">
        <v>0.125885</v>
      </c>
      <c r="T1781">
        <v>0.69444300000000003</v>
      </c>
      <c r="U1781">
        <v>-2.9237980000000001</v>
      </c>
      <c r="V1781">
        <v>-9.8897869999999999E-2</v>
      </c>
      <c r="W1781">
        <v>0.1736916</v>
      </c>
      <c r="X1781">
        <v>0.97982159999999996</v>
      </c>
      <c r="Y1781">
        <v>-8.260547E-2</v>
      </c>
      <c r="Z1781">
        <v>-0.23030039999999999</v>
      </c>
      <c r="AA1781">
        <v>0.9696072</v>
      </c>
      <c r="AB1781">
        <v>36</v>
      </c>
      <c r="AC1781">
        <v>2.8667999999999498</v>
      </c>
      <c r="AD1781">
        <v>15.733104000000001</v>
      </c>
      <c r="AE1781">
        <v>-65.881725500000002</v>
      </c>
      <c r="AF1781">
        <v>-5.2547808248835404</v>
      </c>
      <c r="AG1781">
        <v>15.733104000000001</v>
      </c>
      <c r="AH1781">
        <v>62.170906028152601</v>
      </c>
      <c r="AI1781">
        <v>75.847172393328705</v>
      </c>
      <c r="AJ1781">
        <v>94.831244822266896</v>
      </c>
      <c r="AK1781">
        <v>64.345666826553</v>
      </c>
    </row>
    <row r="1782" spans="1:37" x14ac:dyDescent="0.2">
      <c r="A1782" t="str">
        <f>"20200111150625496"</f>
        <v>20200111150625496</v>
      </c>
      <c r="B1782" t="str">
        <f>"1578726385488488"</f>
        <v>1578726385488488</v>
      </c>
      <c r="C1782" t="s">
        <v>37</v>
      </c>
      <c r="D1782">
        <v>4.6726519999999896</v>
      </c>
      <c r="E1782">
        <v>0.50453789999999998</v>
      </c>
      <c r="F1782" t="s">
        <v>84</v>
      </c>
      <c r="G1782">
        <v>-418.58</v>
      </c>
      <c r="H1782">
        <v>16.744769999999999</v>
      </c>
      <c r="I1782">
        <v>0.49188229999999999</v>
      </c>
      <c r="J1782">
        <v>-421.47739999999999</v>
      </c>
      <c r="K1782">
        <v>1.103227</v>
      </c>
      <c r="L1782">
        <v>66.03058</v>
      </c>
      <c r="M1782">
        <v>-4.0853790000000001E-2</v>
      </c>
      <c r="N1782">
        <v>0</v>
      </c>
      <c r="O1782">
        <v>-0.99909409999999899</v>
      </c>
      <c r="P1782">
        <v>5.8679849999999999E-2</v>
      </c>
      <c r="Q1782">
        <v>0.1622277</v>
      </c>
      <c r="R1782">
        <v>-0.98500750000000004</v>
      </c>
      <c r="S1782">
        <v>0.1279602</v>
      </c>
      <c r="T1782">
        <v>0.69415769999999899</v>
      </c>
      <c r="U1782">
        <v>-2.9237669999999998</v>
      </c>
      <c r="V1782">
        <v>-9.8842139999999995E-2</v>
      </c>
      <c r="W1782">
        <v>0.1739368</v>
      </c>
      <c r="X1782">
        <v>0.97978379999999998</v>
      </c>
      <c r="Y1782">
        <v>-8.3327479999999995E-2</v>
      </c>
      <c r="Z1782">
        <v>-0.230202299999999</v>
      </c>
      <c r="AA1782">
        <v>0.96956869999999995</v>
      </c>
      <c r="AB1782">
        <v>36</v>
      </c>
      <c r="AC1782">
        <v>2.8974000000000002</v>
      </c>
      <c r="AD1782">
        <v>15.641543</v>
      </c>
      <c r="AE1782">
        <v>-65.5386977</v>
      </c>
      <c r="AF1782">
        <v>-5.2729197412225099</v>
      </c>
      <c r="AG1782">
        <v>15.641543</v>
      </c>
      <c r="AH1782">
        <v>61.849568252557397</v>
      </c>
      <c r="AI1782">
        <v>75.856900225623207</v>
      </c>
      <c r="AJ1782">
        <v>94.872908263412398</v>
      </c>
      <c r="AK1782">
        <v>64.014300301151295</v>
      </c>
    </row>
    <row r="1783" spans="1:37" x14ac:dyDescent="0.2">
      <c r="A1783" t="str">
        <f>"20200111150625516"</f>
        <v>20200111150625516</v>
      </c>
      <c r="B1783" t="str">
        <f>"1578726385508009"</f>
        <v>1578726385508009</v>
      </c>
      <c r="C1783" t="s">
        <v>37</v>
      </c>
      <c r="D1783">
        <v>5.1092029999999999</v>
      </c>
      <c r="E1783">
        <v>0.49964369999999902</v>
      </c>
      <c r="F1783" t="s">
        <v>39</v>
      </c>
      <c r="G1783">
        <v>-420.91239999999999</v>
      </c>
      <c r="H1783" s="1">
        <v>-1.1383509999999999E-6</v>
      </c>
      <c r="I1783">
        <v>51.676769999999998</v>
      </c>
      <c r="J1783">
        <v>-421.49119999999999</v>
      </c>
      <c r="K1783">
        <v>1.103245</v>
      </c>
      <c r="L1783">
        <v>65.694670000000002</v>
      </c>
      <c r="M1783">
        <v>-4.0872829999999999E-2</v>
      </c>
      <c r="N1783">
        <v>0</v>
      </c>
      <c r="O1783">
        <v>-0.99909340000000002</v>
      </c>
      <c r="P1783">
        <v>5.8262210000000002E-2</v>
      </c>
      <c r="Q1783">
        <v>0.16213050000000001</v>
      </c>
      <c r="R1783">
        <v>-0.98504820000000004</v>
      </c>
      <c r="S1783">
        <v>0.12115480000000001</v>
      </c>
      <c r="T1783">
        <v>-0.23652709999999999</v>
      </c>
      <c r="U1783">
        <v>-3.0773929999999998</v>
      </c>
      <c r="V1783">
        <v>-9.8452129999999999E-2</v>
      </c>
      <c r="W1783">
        <v>0.17385039999999999</v>
      </c>
      <c r="X1783">
        <v>0.9798384</v>
      </c>
      <c r="Y1783">
        <v>-8.0034800000000003E-2</v>
      </c>
      <c r="Z1783">
        <v>7.6385149999999999E-2</v>
      </c>
      <c r="AA1783">
        <v>0.99386099999999999</v>
      </c>
      <c r="AB1783">
        <v>36</v>
      </c>
      <c r="AC1783">
        <v>0.57880000000000098</v>
      </c>
      <c r="AD1783">
        <v>-1.1032461383509999</v>
      </c>
      <c r="AE1783">
        <v>-14.017899999999999</v>
      </c>
      <c r="AF1783">
        <v>-1.14423268788502</v>
      </c>
      <c r="AG1783">
        <v>-1.1032461383509999</v>
      </c>
      <c r="AH1783">
        <v>13.8965949649147</v>
      </c>
      <c r="AI1783">
        <v>94.523927122045095</v>
      </c>
      <c r="AJ1783">
        <v>94.707062764909494</v>
      </c>
      <c r="AK1783">
        <v>13.9872002954381</v>
      </c>
    </row>
    <row r="1784" spans="1:37" x14ac:dyDescent="0.2">
      <c r="A1784" t="str">
        <f>"20200111150625537"</f>
        <v>20200111150625537</v>
      </c>
      <c r="B1784" t="str">
        <f>"1578726385528504"</f>
        <v>1578726385528504</v>
      </c>
      <c r="C1784" t="s">
        <v>37</v>
      </c>
      <c r="D1784">
        <v>5.077013</v>
      </c>
      <c r="E1784">
        <v>0.49788579999999999</v>
      </c>
      <c r="F1784" t="s">
        <v>39</v>
      </c>
      <c r="G1784">
        <v>-420.1671</v>
      </c>
      <c r="H1784" s="1">
        <v>-5.0755479999999996E-7</v>
      </c>
      <c r="I1784">
        <v>40.668599999999998</v>
      </c>
      <c r="J1784">
        <v>-421.50490000000002</v>
      </c>
      <c r="K1784">
        <v>1.1032629999999899</v>
      </c>
      <c r="L1784">
        <v>65.359069999999903</v>
      </c>
      <c r="M1784">
        <v>-4.0881430000000003E-2</v>
      </c>
      <c r="N1784">
        <v>0</v>
      </c>
      <c r="O1784">
        <v>-0.99909269999999994</v>
      </c>
      <c r="P1784">
        <v>5.8096450000000001E-2</v>
      </c>
      <c r="Q1784">
        <v>0.1616349</v>
      </c>
      <c r="R1784">
        <v>-0.98513930000000005</v>
      </c>
      <c r="S1784">
        <v>0.16180420000000001</v>
      </c>
      <c r="T1784">
        <v>-0.13481570000000001</v>
      </c>
      <c r="U1784">
        <v>-3.0581669999999899</v>
      </c>
      <c r="V1784">
        <v>-9.8304150000000007E-2</v>
      </c>
      <c r="W1784">
        <v>0.173365299999999</v>
      </c>
      <c r="X1784">
        <v>0.97993920000000001</v>
      </c>
      <c r="Y1784">
        <v>-9.3567079999999997E-2</v>
      </c>
      <c r="Z1784">
        <v>4.3858580000000001E-2</v>
      </c>
      <c r="AA1784">
        <v>0.99464649999999999</v>
      </c>
      <c r="AB1784">
        <v>36</v>
      </c>
      <c r="AC1784">
        <v>1.3378000000000101</v>
      </c>
      <c r="AD1784">
        <v>-1.1032635075547901</v>
      </c>
      <c r="AE1784">
        <v>-24.690469999999902</v>
      </c>
      <c r="AF1784">
        <v>-2.3414736906244999</v>
      </c>
      <c r="AG1784">
        <v>-1.1032635075547901</v>
      </c>
      <c r="AH1784">
        <v>24.566224540333799</v>
      </c>
      <c r="AI1784">
        <v>92.559826922618996</v>
      </c>
      <c r="AJ1784">
        <v>95.444569274027998</v>
      </c>
      <c r="AK1784">
        <v>24.7022079494342</v>
      </c>
    </row>
    <row r="1785" spans="1:37" x14ac:dyDescent="0.2">
      <c r="A1785" t="str">
        <f>"20200111150625559"</f>
        <v>20200111150625559</v>
      </c>
      <c r="B1785" t="str">
        <f>"1578726385549000"</f>
        <v>1578726385549000</v>
      </c>
      <c r="C1785" t="s">
        <v>37</v>
      </c>
      <c r="D1785">
        <v>4.6577140000000004</v>
      </c>
      <c r="E1785">
        <v>0.49738490000000002</v>
      </c>
      <c r="F1785" t="s">
        <v>39</v>
      </c>
      <c r="G1785">
        <v>-420.36500000000001</v>
      </c>
      <c r="H1785" s="1">
        <v>-2.5694369999999999E-6</v>
      </c>
      <c r="I1785">
        <v>45.352129999999903</v>
      </c>
      <c r="J1785">
        <v>-421.51979999999998</v>
      </c>
      <c r="K1785">
        <v>1.1032729999999999</v>
      </c>
      <c r="L1785">
        <v>64.994659999999996</v>
      </c>
      <c r="M1785">
        <v>-4.0882549999999997E-2</v>
      </c>
      <c r="N1785">
        <v>0</v>
      </c>
      <c r="O1785">
        <v>-0.99909249999999905</v>
      </c>
      <c r="P1785">
        <v>5.8116229999999998E-2</v>
      </c>
      <c r="Q1785">
        <v>0.1618299</v>
      </c>
      <c r="R1785">
        <v>-0.98510609999999998</v>
      </c>
      <c r="S1785">
        <v>0.1744995</v>
      </c>
      <c r="T1785">
        <v>-0.16888900000000001</v>
      </c>
      <c r="U1785">
        <v>-3.0626829999999998</v>
      </c>
      <c r="V1785">
        <v>-9.8327170000000005E-2</v>
      </c>
      <c r="W1785">
        <v>0.17357049999999999</v>
      </c>
      <c r="X1785">
        <v>0.97990049999999995</v>
      </c>
      <c r="Y1785">
        <v>-9.7569760000000005E-2</v>
      </c>
      <c r="Z1785">
        <v>5.481573E-2</v>
      </c>
      <c r="AA1785">
        <v>0.99371799999999999</v>
      </c>
      <c r="AB1785">
        <v>36</v>
      </c>
      <c r="AC1785">
        <v>1.1547999999999601</v>
      </c>
      <c r="AD1785">
        <v>-1.103275569437</v>
      </c>
      <c r="AE1785">
        <v>-19.642530000000001</v>
      </c>
      <c r="AF1785">
        <v>-1.9507952680921501</v>
      </c>
      <c r="AG1785">
        <v>-1.103275569437</v>
      </c>
      <c r="AH1785">
        <v>19.517529155704501</v>
      </c>
      <c r="AI1785">
        <v>93.219332600154601</v>
      </c>
      <c r="AJ1785">
        <v>95.707809682523703</v>
      </c>
      <c r="AK1785">
        <v>19.6457823337199</v>
      </c>
    </row>
    <row r="1786" spans="1:37" x14ac:dyDescent="0.2">
      <c r="A1786" t="str">
        <f>"20200111150625584"</f>
        <v>20200111150625584</v>
      </c>
      <c r="B1786" t="str">
        <f>"1578726385578280"</f>
        <v>1578726385578280</v>
      </c>
      <c r="C1786" t="s">
        <v>37</v>
      </c>
      <c r="D1786">
        <v>4.690086</v>
      </c>
      <c r="E1786">
        <v>0.50087150000000003</v>
      </c>
      <c r="F1786" t="s">
        <v>39</v>
      </c>
      <c r="G1786">
        <v>-420.34399999999999</v>
      </c>
      <c r="H1786" s="1">
        <v>-2.3263399999999999E-6</v>
      </c>
      <c r="I1786">
        <v>44.798490000000001</v>
      </c>
      <c r="J1786">
        <v>-421.53629999999998</v>
      </c>
      <c r="K1786">
        <v>1.1032839999999999</v>
      </c>
      <c r="L1786">
        <v>64.592860000000002</v>
      </c>
      <c r="M1786">
        <v>-4.0879119999999998E-2</v>
      </c>
      <c r="N1786">
        <v>0</v>
      </c>
      <c r="O1786">
        <v>-0.99909269999999994</v>
      </c>
      <c r="P1786">
        <v>5.855047E-2</v>
      </c>
      <c r="Q1786">
        <v>0.161743</v>
      </c>
      <c r="R1786">
        <v>-0.98509500000000005</v>
      </c>
      <c r="S1786">
        <v>0.17828369999999999</v>
      </c>
      <c r="T1786">
        <v>-0.1672882</v>
      </c>
      <c r="U1786">
        <v>-3.06231699999999</v>
      </c>
      <c r="V1786">
        <v>-9.8760249999999994E-2</v>
      </c>
      <c r="W1786">
        <v>0.17349400000000001</v>
      </c>
      <c r="X1786">
        <v>0.97987060000000004</v>
      </c>
      <c r="Y1786">
        <v>-9.8798540000000004E-2</v>
      </c>
      <c r="Z1786">
        <v>5.4298930000000002E-2</v>
      </c>
      <c r="AA1786">
        <v>0.99362490000000003</v>
      </c>
      <c r="AB1786">
        <v>36</v>
      </c>
      <c r="AC1786">
        <v>1.1922999999999799</v>
      </c>
      <c r="AD1786">
        <v>-1.1032863263399999</v>
      </c>
      <c r="AE1786">
        <v>-19.794370000000001</v>
      </c>
      <c r="AF1786">
        <v>-1.9943639668198301</v>
      </c>
      <c r="AG1786">
        <v>-1.1032863263399999</v>
      </c>
      <c r="AH1786">
        <v>19.668196436823798</v>
      </c>
      <c r="AI1786">
        <v>93.194292873765903</v>
      </c>
      <c r="AJ1786">
        <v>95.790027485185703</v>
      </c>
      <c r="AK1786">
        <v>19.799815136195701</v>
      </c>
    </row>
    <row r="1787" spans="1:37" x14ac:dyDescent="0.2">
      <c r="A1787" t="str">
        <f>"20200111150625607"</f>
        <v>20200111150625607</v>
      </c>
      <c r="B1787" t="str">
        <f>"1578726385598776"</f>
        <v>1578726385598776</v>
      </c>
      <c r="C1787" t="s">
        <v>37</v>
      </c>
      <c r="D1787">
        <v>5.1848999999999998</v>
      </c>
      <c r="E1787">
        <v>0.50087150000000003</v>
      </c>
      <c r="F1787" t="s">
        <v>84</v>
      </c>
      <c r="G1787">
        <v>-417.97859999999997</v>
      </c>
      <c r="H1787">
        <v>8.8221209999999992</v>
      </c>
      <c r="I1787">
        <v>0.49797249999999998</v>
      </c>
      <c r="J1787">
        <v>-421.55149999999998</v>
      </c>
      <c r="K1787">
        <v>1.103289</v>
      </c>
      <c r="L1787">
        <v>64.220519999999993</v>
      </c>
      <c r="M1787">
        <v>-4.0872800000000001E-2</v>
      </c>
      <c r="N1787">
        <v>0</v>
      </c>
      <c r="O1787">
        <v>-0.99909249999999905</v>
      </c>
      <c r="P1787">
        <v>5.8660329999999997E-2</v>
      </c>
      <c r="Q1787">
        <v>0.16237550000000001</v>
      </c>
      <c r="R1787">
        <v>-0.98498369999999902</v>
      </c>
      <c r="S1787">
        <v>0.16522220000000001</v>
      </c>
      <c r="T1787">
        <v>0.3584794</v>
      </c>
      <c r="U1787">
        <v>-2.976715</v>
      </c>
      <c r="V1787">
        <v>-9.8861530000000003E-2</v>
      </c>
      <c r="W1787">
        <v>0.1741335</v>
      </c>
      <c r="X1787">
        <v>0.97974689999999998</v>
      </c>
      <c r="Y1787">
        <v>-9.5791039999999994E-2</v>
      </c>
      <c r="Z1787">
        <v>-0.11904869999999999</v>
      </c>
      <c r="AA1787">
        <v>0.98825680000000005</v>
      </c>
      <c r="AB1787">
        <v>36</v>
      </c>
      <c r="AC1787">
        <v>3.5729000000000002</v>
      </c>
      <c r="AD1787">
        <v>7.7188319999999999</v>
      </c>
      <c r="AE1787">
        <v>-63.722547499999898</v>
      </c>
      <c r="AF1787">
        <v>-6.0856060136914296</v>
      </c>
      <c r="AG1787">
        <v>7.7188319999999999</v>
      </c>
      <c r="AH1787">
        <v>62.607489197021003</v>
      </c>
      <c r="AI1787">
        <v>83.004156012358706</v>
      </c>
      <c r="AJ1787">
        <v>95.551853012446401</v>
      </c>
      <c r="AK1787">
        <v>63.374384979684002</v>
      </c>
    </row>
    <row r="1788" spans="1:37" x14ac:dyDescent="0.2">
      <c r="A1788" t="str">
        <f>"20200111150625630"</f>
        <v>20200111150625630</v>
      </c>
      <c r="B1788" t="str">
        <f>"1578726385618296"</f>
        <v>1578726385618296</v>
      </c>
      <c r="C1788" t="s">
        <v>37</v>
      </c>
      <c r="D1788">
        <v>5.1129749999999996</v>
      </c>
      <c r="E1788">
        <v>0.50087150000000003</v>
      </c>
      <c r="F1788" t="s">
        <v>84</v>
      </c>
      <c r="G1788">
        <v>-417.99790000000002</v>
      </c>
      <c r="H1788">
        <v>8.8186330000000002</v>
      </c>
      <c r="I1788">
        <v>0.4977779</v>
      </c>
      <c r="J1788">
        <v>-421.56619999999998</v>
      </c>
      <c r="K1788">
        <v>1.103294</v>
      </c>
      <c r="L1788">
        <v>63.861879999999999</v>
      </c>
      <c r="M1788">
        <v>-4.0864249999999998E-2</v>
      </c>
      <c r="N1788">
        <v>0</v>
      </c>
      <c r="O1788">
        <v>-0.99909289999999995</v>
      </c>
      <c r="P1788">
        <v>5.8741099999999997E-2</v>
      </c>
      <c r="Q1788">
        <v>0.1629266</v>
      </c>
      <c r="R1788">
        <v>-0.9848884</v>
      </c>
      <c r="S1788">
        <v>0.1659851</v>
      </c>
      <c r="T1788">
        <v>0.36037619999999998</v>
      </c>
      <c r="U1788">
        <v>-2.9764400000000002</v>
      </c>
      <c r="V1788">
        <v>-9.8932450000000005E-2</v>
      </c>
      <c r="W1788">
        <v>0.1746904</v>
      </c>
      <c r="X1788">
        <v>0.97964050000000003</v>
      </c>
      <c r="Y1788">
        <v>-9.6035880000000004E-2</v>
      </c>
      <c r="Z1788">
        <v>-0.1196782</v>
      </c>
      <c r="AA1788">
        <v>0.98815699999999995</v>
      </c>
      <c r="AB1788">
        <v>36</v>
      </c>
      <c r="AC1788">
        <v>3.5682999999999598</v>
      </c>
      <c r="AD1788">
        <v>7.7153390000000002</v>
      </c>
      <c r="AE1788">
        <v>-63.364102099999997</v>
      </c>
      <c r="AF1788">
        <v>-6.0651931265217396</v>
      </c>
      <c r="AG1788">
        <v>7.7153390000000002</v>
      </c>
      <c r="AH1788">
        <v>62.2454086775736</v>
      </c>
      <c r="AI1788">
        <v>82.967179619369105</v>
      </c>
      <c r="AJ1788">
        <v>95.565332144268794</v>
      </c>
      <c r="AK1788">
        <v>63.014315238563697</v>
      </c>
    </row>
    <row r="1789" spans="1:37" x14ac:dyDescent="0.2">
      <c r="A1789" t="str">
        <f>"20200111150625650"</f>
        <v>20200111150625650</v>
      </c>
      <c r="B1789" t="str">
        <f>"1578726385648450"</f>
        <v>1578726385648450</v>
      </c>
      <c r="C1789" t="s">
        <v>37</v>
      </c>
      <c r="D1789">
        <v>5.1417960000000003</v>
      </c>
      <c r="E1789">
        <v>0.51020880000000002</v>
      </c>
      <c r="F1789" t="s">
        <v>84</v>
      </c>
      <c r="G1789">
        <v>-418.03100000000001</v>
      </c>
      <c r="H1789">
        <v>8.8112329999999996</v>
      </c>
      <c r="I1789">
        <v>0.4974403</v>
      </c>
      <c r="J1789">
        <v>-421.58030000000002</v>
      </c>
      <c r="K1789">
        <v>1.103297</v>
      </c>
      <c r="L1789">
        <v>63.517519999999998</v>
      </c>
      <c r="M1789">
        <v>-4.0854809999999998E-2</v>
      </c>
      <c r="N1789">
        <v>0</v>
      </c>
      <c r="O1789">
        <v>-0.99909319999999902</v>
      </c>
      <c r="P1789">
        <v>5.9003859999999998E-2</v>
      </c>
      <c r="Q1789">
        <v>0.16224920000000001</v>
      </c>
      <c r="R1789">
        <v>-0.98498449999999904</v>
      </c>
      <c r="S1789">
        <v>0.1660461</v>
      </c>
      <c r="T1789">
        <v>0.36204049999999999</v>
      </c>
      <c r="U1789">
        <v>-2.9762270000000002</v>
      </c>
      <c r="V1789">
        <v>-9.9191989999999994E-2</v>
      </c>
      <c r="W1789">
        <v>0.17401939999999999</v>
      </c>
      <c r="X1789">
        <v>0.97973379999999999</v>
      </c>
      <c r="Y1789">
        <v>-9.6046880000000001E-2</v>
      </c>
      <c r="Z1789">
        <v>-0.1202313</v>
      </c>
      <c r="AA1789">
        <v>0.98808879999999999</v>
      </c>
      <c r="AB1789">
        <v>36</v>
      </c>
      <c r="AC1789">
        <v>3.5493000000000099</v>
      </c>
      <c r="AD1789">
        <v>7.7079360000000001</v>
      </c>
      <c r="AE1789">
        <v>-63.020079699999997</v>
      </c>
      <c r="AF1789">
        <v>-6.0312550548974899</v>
      </c>
      <c r="AG1789">
        <v>7.7079360000000001</v>
      </c>
      <c r="AH1789">
        <v>61.899381376355898</v>
      </c>
      <c r="AI1789">
        <v>82.9349764509371</v>
      </c>
      <c r="AJ1789">
        <v>95.565129349879797</v>
      </c>
      <c r="AK1789">
        <v>62.668347111543298</v>
      </c>
    </row>
    <row r="1790" spans="1:37" x14ac:dyDescent="0.2">
      <c r="A1790" t="str">
        <f>"20200111150625671"</f>
        <v>20200111150625671</v>
      </c>
      <c r="B1790" t="str">
        <f>"1578726385667971"</f>
        <v>1578726385667971</v>
      </c>
      <c r="C1790" t="s">
        <v>37</v>
      </c>
      <c r="D1790">
        <v>4.6055510000000002</v>
      </c>
      <c r="E1790">
        <v>0.5003242</v>
      </c>
      <c r="F1790" t="s">
        <v>39</v>
      </c>
      <c r="G1790">
        <v>-421.1748</v>
      </c>
      <c r="H1790" s="1">
        <v>-3.6918559999999998E-6</v>
      </c>
      <c r="I1790">
        <v>47.466270000000002</v>
      </c>
      <c r="J1790">
        <v>-421.59410000000003</v>
      </c>
      <c r="K1790">
        <v>1.103299</v>
      </c>
      <c r="L1790">
        <v>63.178440000000002</v>
      </c>
      <c r="M1790">
        <v>-4.0844569999999997E-2</v>
      </c>
      <c r="N1790">
        <v>0</v>
      </c>
      <c r="O1790">
        <v>-0.99909369999999997</v>
      </c>
      <c r="P1790">
        <v>5.9365719999999997E-2</v>
      </c>
      <c r="Q1790">
        <v>0.1613629</v>
      </c>
      <c r="R1790">
        <v>-0.98510849999999905</v>
      </c>
      <c r="S1790">
        <v>7.7697749999999996E-2</v>
      </c>
      <c r="T1790">
        <v>-0.21142729999999901</v>
      </c>
      <c r="U1790">
        <v>-3.07592799999999</v>
      </c>
      <c r="V1790">
        <v>-9.9550089999999994E-2</v>
      </c>
      <c r="W1790">
        <v>0.17313989999999899</v>
      </c>
      <c r="X1790">
        <v>0.97985319999999998</v>
      </c>
      <c r="Y1790">
        <v>-6.6005999999999995E-2</v>
      </c>
      <c r="Z1790">
        <v>6.8402829999999998E-2</v>
      </c>
      <c r="AA1790">
        <v>0.99547189999999997</v>
      </c>
      <c r="AB1790">
        <v>36</v>
      </c>
      <c r="AC1790">
        <v>0.41930000000002099</v>
      </c>
      <c r="AD1790">
        <v>-1.1033026918560001</v>
      </c>
      <c r="AE1790">
        <v>-15.71217</v>
      </c>
      <c r="AF1790">
        <v>-1.0555519204111601</v>
      </c>
      <c r="AG1790">
        <v>-1.1033026918560001</v>
      </c>
      <c r="AH1790">
        <v>15.6050386481243</v>
      </c>
      <c r="AI1790">
        <v>94.034989373025894</v>
      </c>
      <c r="AJ1790">
        <v>93.869691432452498</v>
      </c>
      <c r="AK1790">
        <v>15.6795630645753</v>
      </c>
    </row>
    <row r="1791" spans="1:37" x14ac:dyDescent="0.2">
      <c r="A1791" t="str">
        <f>"20200111150625693"</f>
        <v>20200111150625693</v>
      </c>
      <c r="B1791" t="str">
        <f>"1578726385688467"</f>
        <v>1578726385688467</v>
      </c>
      <c r="C1791" t="s">
        <v>37</v>
      </c>
      <c r="D1791">
        <v>4.7330800000000002</v>
      </c>
      <c r="E1791">
        <v>0.50126110000000001</v>
      </c>
      <c r="F1791" t="s">
        <v>39</v>
      </c>
      <c r="G1791">
        <v>-420.88589999999999</v>
      </c>
      <c r="H1791" s="1">
        <v>-4.3324199999999999E-6</v>
      </c>
      <c r="I1791">
        <v>49.256019999999999</v>
      </c>
      <c r="J1791">
        <v>-421.60829999999999</v>
      </c>
      <c r="K1791">
        <v>1.1033010000000001</v>
      </c>
      <c r="L1791">
        <v>62.831049999999998</v>
      </c>
      <c r="M1791">
        <v>-4.08332E-2</v>
      </c>
      <c r="N1791">
        <v>0</v>
      </c>
      <c r="O1791">
        <v>-0.99909389999999998</v>
      </c>
      <c r="P1791">
        <v>5.914092E-2</v>
      </c>
      <c r="Q1791">
        <v>0.1614804</v>
      </c>
      <c r="R1791">
        <v>-0.98510279999999995</v>
      </c>
      <c r="S1791">
        <v>0.15646360000000001</v>
      </c>
      <c r="T1791">
        <v>-0.24375160000000001</v>
      </c>
      <c r="U1791">
        <v>-3.0758669999999899</v>
      </c>
      <c r="V1791">
        <v>-9.9315699999999896E-2</v>
      </c>
      <c r="W1791">
        <v>0.173262</v>
      </c>
      <c r="X1791">
        <v>0.97985540000000004</v>
      </c>
      <c r="Y1791">
        <v>-9.1385599999999997E-2</v>
      </c>
      <c r="Z1791">
        <v>7.8684089999999998E-2</v>
      </c>
      <c r="AA1791">
        <v>0.99270210000000003</v>
      </c>
      <c r="AB1791">
        <v>36</v>
      </c>
      <c r="AC1791">
        <v>0.72239999999999305</v>
      </c>
      <c r="AD1791">
        <v>-1.10330533242</v>
      </c>
      <c r="AE1791">
        <v>-13.5750299999999</v>
      </c>
      <c r="AF1791">
        <v>-1.26779837932815</v>
      </c>
      <c r="AG1791">
        <v>-1.10330533242</v>
      </c>
      <c r="AH1791">
        <v>13.445641229667601</v>
      </c>
      <c r="AI1791">
        <v>94.670371118461304</v>
      </c>
      <c r="AJ1791">
        <v>95.386531115041606</v>
      </c>
      <c r="AK1791">
        <v>13.550271711818599</v>
      </c>
    </row>
    <row r="1792" spans="1:37" x14ac:dyDescent="0.2">
      <c r="A1792" t="str">
        <f>"20200111150625714"</f>
        <v>20200111150625714</v>
      </c>
      <c r="B1792" t="str">
        <f>"1578726385707989"</f>
        <v>1578726385707989</v>
      </c>
      <c r="C1792" t="s">
        <v>37</v>
      </c>
      <c r="D1792">
        <v>5.1186939999999996</v>
      </c>
      <c r="E1792">
        <v>0.50765139999999997</v>
      </c>
      <c r="F1792" t="s">
        <v>39</v>
      </c>
      <c r="G1792">
        <v>-420.93709999999999</v>
      </c>
      <c r="H1792" s="1">
        <v>-4.2405579999999998E-6</v>
      </c>
      <c r="I1792">
        <v>48.959389999999999</v>
      </c>
      <c r="J1792">
        <v>-421.62270000000001</v>
      </c>
      <c r="K1792">
        <v>1.1033010000000001</v>
      </c>
      <c r="L1792">
        <v>62.480069999999998</v>
      </c>
      <c r="M1792">
        <v>-4.0819699999999903E-2</v>
      </c>
      <c r="N1792">
        <v>0</v>
      </c>
      <c r="O1792">
        <v>-0.99909459999999894</v>
      </c>
      <c r="P1792">
        <v>5.9168730000000003E-2</v>
      </c>
      <c r="Q1792">
        <v>0.161472799999999</v>
      </c>
      <c r="R1792">
        <v>-0.98510249999999999</v>
      </c>
      <c r="S1792">
        <v>0.14886469999999999</v>
      </c>
      <c r="T1792">
        <v>-0.24469740000000001</v>
      </c>
      <c r="U1792">
        <v>-3.0765380000000002</v>
      </c>
      <c r="V1792">
        <v>-9.9331639999999999E-2</v>
      </c>
      <c r="W1792">
        <v>0.1732592</v>
      </c>
      <c r="X1792">
        <v>0.97985429999999996</v>
      </c>
      <c r="Y1792">
        <v>-8.8913820000000005E-2</v>
      </c>
      <c r="Z1792">
        <v>7.8984100000000002E-2</v>
      </c>
      <c r="AA1792">
        <v>0.99290279999999997</v>
      </c>
      <c r="AB1792">
        <v>36</v>
      </c>
      <c r="AC1792">
        <v>0.68560000000002197</v>
      </c>
      <c r="AD1792">
        <v>-1.1033052405579999</v>
      </c>
      <c r="AE1792">
        <v>-13.520679999999899</v>
      </c>
      <c r="AF1792">
        <v>-1.2288168304199201</v>
      </c>
      <c r="AG1792">
        <v>-1.1033052405579999</v>
      </c>
      <c r="AH1792">
        <v>13.392472540809299</v>
      </c>
      <c r="AI1792">
        <v>94.689921815605899</v>
      </c>
      <c r="AJ1792">
        <v>95.242454729641494</v>
      </c>
      <c r="AK1792">
        <v>13.4939095155147</v>
      </c>
    </row>
    <row r="1793" spans="1:37" x14ac:dyDescent="0.2">
      <c r="A1793" t="str">
        <f>"20200111150625735"</f>
        <v>20200111150625735</v>
      </c>
      <c r="B1793" t="str">
        <f>"1578726385728482"</f>
        <v>1578726385728482</v>
      </c>
      <c r="C1793" t="s">
        <v>37</v>
      </c>
      <c r="D1793">
        <v>4.5339359999999997</v>
      </c>
      <c r="E1793">
        <v>0.50967790000000002</v>
      </c>
      <c r="F1793" t="s">
        <v>84</v>
      </c>
      <c r="G1793">
        <v>-418.98770000000002</v>
      </c>
      <c r="H1793">
        <v>17.539709999999999</v>
      </c>
      <c r="I1793">
        <v>0.4877377</v>
      </c>
      <c r="J1793">
        <v>-421.6361</v>
      </c>
      <c r="K1793">
        <v>1.1032979999999999</v>
      </c>
      <c r="L1793">
        <v>62.151029999999999</v>
      </c>
      <c r="M1793">
        <v>-4.0805920000000002E-2</v>
      </c>
      <c r="N1793">
        <v>0</v>
      </c>
      <c r="O1793">
        <v>-0.99909479999999995</v>
      </c>
      <c r="P1793">
        <v>5.8974350000000002E-2</v>
      </c>
      <c r="Q1793">
        <v>0.16083729999999999</v>
      </c>
      <c r="R1793">
        <v>-0.98521749999999997</v>
      </c>
      <c r="S1793">
        <v>0.12374880000000001</v>
      </c>
      <c r="T1793">
        <v>0.77191779999999999</v>
      </c>
      <c r="U1793">
        <v>-2.9114070000000001</v>
      </c>
      <c r="V1793">
        <v>-9.912878E-2</v>
      </c>
      <c r="W1793">
        <v>0.1726289</v>
      </c>
      <c r="X1793">
        <v>0.97998609999999897</v>
      </c>
      <c r="Y1793">
        <v>-8.1790879999999996E-2</v>
      </c>
      <c r="Z1793">
        <v>-0.25542329999999902</v>
      </c>
      <c r="AA1793">
        <v>0.96336350000000004</v>
      </c>
      <c r="AB1793">
        <v>36</v>
      </c>
      <c r="AC1793">
        <v>2.6483999999999801</v>
      </c>
      <c r="AD1793">
        <v>16.436412000000001</v>
      </c>
      <c r="AE1793">
        <v>-61.663292300000002</v>
      </c>
      <c r="AF1793">
        <v>-4.8207238875616998</v>
      </c>
      <c r="AG1793">
        <v>16.436412000000001</v>
      </c>
      <c r="AH1793">
        <v>57.430925197459302</v>
      </c>
      <c r="AI1793">
        <v>74.082300407172795</v>
      </c>
      <c r="AJ1793">
        <v>94.798131960379806</v>
      </c>
      <c r="AK1793">
        <v>59.930845040513297</v>
      </c>
    </row>
    <row r="1794" spans="1:37" x14ac:dyDescent="0.2">
      <c r="A1794" t="str">
        <f>"20200111150625758"</f>
        <v>20200111150625758</v>
      </c>
      <c r="B1794" t="str">
        <f>"1578726385748003"</f>
        <v>1578726385748003</v>
      </c>
      <c r="C1794" t="s">
        <v>37</v>
      </c>
      <c r="D1794">
        <v>6.5011970000000003</v>
      </c>
      <c r="E1794">
        <v>0.47869030000000001</v>
      </c>
      <c r="F1794" t="s">
        <v>84</v>
      </c>
      <c r="G1794">
        <v>-419.43180000000001</v>
      </c>
      <c r="H1794">
        <v>15.559010000000001</v>
      </c>
      <c r="I1794">
        <v>0.48321530000000001</v>
      </c>
      <c r="J1794">
        <v>-421.65199999999999</v>
      </c>
      <c r="K1794">
        <v>1.103299</v>
      </c>
      <c r="L1794">
        <v>61.761019999999903</v>
      </c>
      <c r="M1794">
        <v>-4.0788629999999999E-2</v>
      </c>
      <c r="N1794">
        <v>0</v>
      </c>
      <c r="O1794">
        <v>-0.99909559999999997</v>
      </c>
      <c r="P1794">
        <v>5.8085900000000003E-2</v>
      </c>
      <c r="Q1794">
        <v>0.15990219999999999</v>
      </c>
      <c r="R1794">
        <v>-0.98542260000000004</v>
      </c>
      <c r="S1794">
        <v>0.10461429999999999</v>
      </c>
      <c r="T1794">
        <v>0.68606769999999995</v>
      </c>
      <c r="U1794">
        <v>-2.926758</v>
      </c>
      <c r="V1794">
        <v>-9.8232760000000002E-2</v>
      </c>
      <c r="W1794">
        <v>0.17170070000000001</v>
      </c>
      <c r="X1794">
        <v>0.98023930000000004</v>
      </c>
      <c r="Y1794">
        <v>-7.5517619999999994E-2</v>
      </c>
      <c r="Z1794">
        <v>-0.22754629999999901</v>
      </c>
      <c r="AA1794">
        <v>0.97083459999999999</v>
      </c>
      <c r="AB1794">
        <v>36</v>
      </c>
      <c r="AC1794">
        <v>2.22019999999997</v>
      </c>
      <c r="AD1794">
        <v>14.455711000000001</v>
      </c>
      <c r="AE1794">
        <v>-61.277804699999997</v>
      </c>
      <c r="AF1794">
        <v>-4.4695609182886997</v>
      </c>
      <c r="AG1794">
        <v>14.455711000000001</v>
      </c>
      <c r="AH1794">
        <v>57.917309157298</v>
      </c>
      <c r="AI1794">
        <v>76.025661823888598</v>
      </c>
      <c r="AJ1794">
        <v>94.412850325434206</v>
      </c>
      <c r="AK1794">
        <v>59.861166505004299</v>
      </c>
    </row>
    <row r="1795" spans="1:37" x14ac:dyDescent="0.2">
      <c r="A1795" t="str">
        <f>"20200111150625781"</f>
        <v>20200111150625781</v>
      </c>
      <c r="B1795" t="str">
        <f>"1578726385778259"</f>
        <v>1578726385778259</v>
      </c>
      <c r="C1795" t="s">
        <v>37</v>
      </c>
      <c r="D1795">
        <v>5.1283989999999999</v>
      </c>
      <c r="E1795">
        <v>0.48418139999999998</v>
      </c>
      <c r="F1795" t="s">
        <v>39</v>
      </c>
      <c r="G1795">
        <v>-420.31310000000002</v>
      </c>
      <c r="H1795" s="1">
        <v>-4.1923279999999996E-6</v>
      </c>
      <c r="I1795">
        <v>49.16733</v>
      </c>
      <c r="J1795">
        <v>-421.66669999999999</v>
      </c>
      <c r="K1795">
        <v>1.103302</v>
      </c>
      <c r="L1795">
        <v>61.401759999999904</v>
      </c>
      <c r="M1795">
        <v>-4.077132E-2</v>
      </c>
      <c r="N1795">
        <v>0</v>
      </c>
      <c r="O1795">
        <v>-0.99909599999999898</v>
      </c>
      <c r="P1795">
        <v>5.749489E-2</v>
      </c>
      <c r="Q1795">
        <v>0.1594911</v>
      </c>
      <c r="R1795">
        <v>-0.985523699999999</v>
      </c>
      <c r="S1795">
        <v>0.32626339999999998</v>
      </c>
      <c r="T1795">
        <v>-0.26884649999999999</v>
      </c>
      <c r="U1795">
        <v>-3.068756</v>
      </c>
      <c r="V1795">
        <v>-9.7630229999999998E-2</v>
      </c>
      <c r="W1795">
        <v>0.1712948</v>
      </c>
      <c r="X1795">
        <v>0.98037050000000003</v>
      </c>
      <c r="Y1795">
        <v>-0.14578279999999999</v>
      </c>
      <c r="Z1795">
        <v>8.6456240000000004E-2</v>
      </c>
      <c r="AA1795">
        <v>0.98553169999999901</v>
      </c>
      <c r="AB1795">
        <v>36</v>
      </c>
      <c r="AC1795">
        <v>1.3535999999999699</v>
      </c>
      <c r="AD1795">
        <v>-1.1033061923280001</v>
      </c>
      <c r="AE1795">
        <v>-12.2344299999999</v>
      </c>
      <c r="AF1795">
        <v>-1.8365690243027399</v>
      </c>
      <c r="AG1795">
        <v>-1.1033061923280001</v>
      </c>
      <c r="AH1795">
        <v>12.0720745493461</v>
      </c>
      <c r="AI1795">
        <v>95.1628628902168</v>
      </c>
      <c r="AJ1795">
        <v>98.650288293063198</v>
      </c>
      <c r="AK1795">
        <v>12.2607199731512</v>
      </c>
    </row>
    <row r="1796" spans="1:37" x14ac:dyDescent="0.2">
      <c r="A1796" t="str">
        <f>"20200111150625804"</f>
        <v>20200111150625804</v>
      </c>
      <c r="B1796" t="str">
        <f>"1578726385798755"</f>
        <v>1578726385798755</v>
      </c>
      <c r="C1796" t="s">
        <v>37</v>
      </c>
      <c r="D1796">
        <v>5.0949770000000001</v>
      </c>
      <c r="E1796">
        <v>0.49161490000000002</v>
      </c>
      <c r="F1796" t="s">
        <v>39</v>
      </c>
      <c r="G1796">
        <v>-420.62169999999998</v>
      </c>
      <c r="H1796" s="1">
        <v>-3.006897E-7</v>
      </c>
      <c r="I1796">
        <v>49.904440000000001</v>
      </c>
      <c r="J1796">
        <v>-421.6823</v>
      </c>
      <c r="K1796">
        <v>1.1032979999999999</v>
      </c>
      <c r="L1796">
        <v>61.019129999999997</v>
      </c>
      <c r="M1796">
        <v>-4.0748649999999997E-2</v>
      </c>
      <c r="N1796">
        <v>0</v>
      </c>
      <c r="O1796">
        <v>-0.99909699999999901</v>
      </c>
      <c r="P1796">
        <v>5.7098639999999999E-2</v>
      </c>
      <c r="Q1796">
        <v>0.15924179999999999</v>
      </c>
      <c r="R1796">
        <v>-0.98558690000000004</v>
      </c>
      <c r="S1796">
        <v>0.27954099999999998</v>
      </c>
      <c r="T1796">
        <v>-0.29513299999999998</v>
      </c>
      <c r="U1796">
        <v>-3.0755309999999998</v>
      </c>
      <c r="V1796">
        <v>-9.7215590000000005E-2</v>
      </c>
      <c r="W1796">
        <v>0.1710487</v>
      </c>
      <c r="X1796">
        <v>0.98045469999999901</v>
      </c>
      <c r="Y1796">
        <v>-0.13061909999999999</v>
      </c>
      <c r="Z1796">
        <v>9.4800720000000005E-2</v>
      </c>
      <c r="AA1796">
        <v>0.98688980000000004</v>
      </c>
      <c r="AB1796">
        <v>36</v>
      </c>
      <c r="AC1796">
        <v>1.06060000000002</v>
      </c>
      <c r="AD1796">
        <v>-1.1032983006896999</v>
      </c>
      <c r="AE1796">
        <v>-11.11469</v>
      </c>
      <c r="AF1796">
        <v>-1.4980326663957</v>
      </c>
      <c r="AG1796">
        <v>-1.1032983006896999</v>
      </c>
      <c r="AH1796">
        <v>10.9552621941785</v>
      </c>
      <c r="AI1796">
        <v>95.698163818203895</v>
      </c>
      <c r="AJ1796">
        <v>97.786387259519998</v>
      </c>
      <c r="AK1796">
        <v>11.1121167539353</v>
      </c>
    </row>
    <row r="1797" spans="1:37" x14ac:dyDescent="0.2">
      <c r="A1797" t="str">
        <f>"20200111150625827"</f>
        <v>20200111150625827</v>
      </c>
      <c r="B1797" t="str">
        <f>"1578726385818275"</f>
        <v>1578726385818275</v>
      </c>
      <c r="C1797" t="s">
        <v>37</v>
      </c>
      <c r="D1797">
        <v>5.0787579999999997</v>
      </c>
      <c r="E1797">
        <v>0.49403710000000001</v>
      </c>
      <c r="F1797" t="s">
        <v>39</v>
      </c>
      <c r="G1797">
        <v>-420.71339999999998</v>
      </c>
      <c r="H1797" s="1">
        <v>-3.5958739999999999E-6</v>
      </c>
      <c r="I1797">
        <v>47.52872</v>
      </c>
      <c r="J1797">
        <v>-421.69720000000001</v>
      </c>
      <c r="K1797">
        <v>1.103305</v>
      </c>
      <c r="L1797">
        <v>60.652439999999999</v>
      </c>
      <c r="M1797">
        <v>-4.0717549999999998E-2</v>
      </c>
      <c r="N1797">
        <v>0</v>
      </c>
      <c r="O1797">
        <v>-0.99909820000000005</v>
      </c>
      <c r="P1797">
        <v>5.711861E-2</v>
      </c>
      <c r="Q1797">
        <v>0.15842349999999999</v>
      </c>
      <c r="R1797">
        <v>-0.98571779999999998</v>
      </c>
      <c r="S1797">
        <v>0.22061159999999999</v>
      </c>
      <c r="T1797">
        <v>-0.25121509999999903</v>
      </c>
      <c r="U1797">
        <v>-3.0716860000000001</v>
      </c>
      <c r="V1797">
        <v>-9.7213140000000003E-2</v>
      </c>
      <c r="W1797">
        <v>0.170233</v>
      </c>
      <c r="X1797">
        <v>0.98059689999999999</v>
      </c>
      <c r="Y1797">
        <v>-0.11195670000000001</v>
      </c>
      <c r="Z1797">
        <v>8.1050510000000006E-2</v>
      </c>
      <c r="AA1797">
        <v>0.99040219999999901</v>
      </c>
      <c r="AB1797">
        <v>36</v>
      </c>
      <c r="AC1797">
        <v>0.98380000000002998</v>
      </c>
      <c r="AD1797">
        <v>-1.1033085958740001</v>
      </c>
      <c r="AE1797">
        <v>-13.12372</v>
      </c>
      <c r="AF1797">
        <v>-1.5067983132893099</v>
      </c>
      <c r="AG1797">
        <v>-1.1033085958740001</v>
      </c>
      <c r="AH1797">
        <v>12.981536734470801</v>
      </c>
      <c r="AI1797">
        <v>94.825683750474397</v>
      </c>
      <c r="AJ1797">
        <v>96.620831823520007</v>
      </c>
      <c r="AK1797">
        <v>13.115183071656899</v>
      </c>
    </row>
    <row r="1798" spans="1:37" x14ac:dyDescent="0.2">
      <c r="A1798" t="str">
        <f>"20200111150625849"</f>
        <v>20200111150625849</v>
      </c>
      <c r="B1798" t="str">
        <f>"1578726385837795"</f>
        <v>1578726385837795</v>
      </c>
      <c r="C1798" t="s">
        <v>37</v>
      </c>
      <c r="D1798">
        <v>6.4389149999999997</v>
      </c>
      <c r="E1798">
        <v>0.51892629999999995</v>
      </c>
      <c r="F1798" t="s">
        <v>39</v>
      </c>
      <c r="G1798">
        <v>-420.82040000000001</v>
      </c>
      <c r="H1798" s="1">
        <v>-3.4828489999999998E-6</v>
      </c>
      <c r="I1798">
        <v>47.198859999999897</v>
      </c>
      <c r="J1798">
        <v>-421.7122</v>
      </c>
      <c r="K1798">
        <v>1.103313</v>
      </c>
      <c r="L1798">
        <v>60.284419999999997</v>
      </c>
      <c r="M1798">
        <v>-4.067146E-2</v>
      </c>
      <c r="N1798">
        <v>0</v>
      </c>
      <c r="O1798">
        <v>-0.99910010000000005</v>
      </c>
      <c r="P1798">
        <v>5.750603E-2</v>
      </c>
      <c r="Q1798">
        <v>0.1582211</v>
      </c>
      <c r="R1798">
        <v>-0.98572789999999999</v>
      </c>
      <c r="S1798">
        <v>0.20022579999999901</v>
      </c>
      <c r="T1798">
        <v>-0.25195960000000001</v>
      </c>
      <c r="U1798">
        <v>-3.0723569999999998</v>
      </c>
      <c r="V1798">
        <v>-9.7559800000000002E-2</v>
      </c>
      <c r="W1798">
        <v>0.1700305</v>
      </c>
      <c r="X1798">
        <v>0.98059759999999996</v>
      </c>
      <c r="Y1798">
        <v>-0.10535070000000001</v>
      </c>
      <c r="Z1798">
        <v>8.1319509999999998E-2</v>
      </c>
      <c r="AA1798">
        <v>0.9911046</v>
      </c>
      <c r="AB1798">
        <v>36</v>
      </c>
      <c r="AC1798">
        <v>0.89179999999998905</v>
      </c>
      <c r="AD1798">
        <v>-1.1033164828490001</v>
      </c>
      <c r="AE1798">
        <v>-13.085559999999999</v>
      </c>
      <c r="AF1798">
        <v>-1.4133084438147301</v>
      </c>
      <c r="AG1798">
        <v>-1.1033164828490001</v>
      </c>
      <c r="AH1798">
        <v>12.946842576571999</v>
      </c>
      <c r="AI1798">
        <v>94.842290313957193</v>
      </c>
      <c r="AJ1798">
        <v>96.229877142871402</v>
      </c>
      <c r="AK1798">
        <v>13.070404765011</v>
      </c>
    </row>
    <row r="1799" spans="1:37" x14ac:dyDescent="0.2">
      <c r="A1799" t="str">
        <f>"20200111150625871"</f>
        <v>20200111150625871</v>
      </c>
      <c r="B1799" t="str">
        <f>"1578726385868051"</f>
        <v>1578726385868051</v>
      </c>
      <c r="C1799" t="s">
        <v>37</v>
      </c>
      <c r="D1799">
        <v>5.1271550000000001</v>
      </c>
      <c r="E1799">
        <v>0.51315140000000004</v>
      </c>
      <c r="F1799" t="s">
        <v>84</v>
      </c>
      <c r="G1799">
        <v>-421.21300000000002</v>
      </c>
      <c r="H1799">
        <v>12.984260000000001</v>
      </c>
      <c r="I1799">
        <v>0.4650898</v>
      </c>
      <c r="J1799">
        <v>-421.72649999999999</v>
      </c>
      <c r="K1799">
        <v>1.103324</v>
      </c>
      <c r="L1799">
        <v>59.930659999999897</v>
      </c>
      <c r="M1799">
        <v>-4.0606780000000002E-2</v>
      </c>
      <c r="N1799">
        <v>0</v>
      </c>
      <c r="O1799">
        <v>-0.99910279999999996</v>
      </c>
      <c r="P1799">
        <v>5.8172290000000001E-2</v>
      </c>
      <c r="Q1799">
        <v>0.157969</v>
      </c>
      <c r="R1799">
        <v>-0.98572929999999903</v>
      </c>
      <c r="S1799">
        <v>2.4597170000000002E-2</v>
      </c>
      <c r="T1799">
        <v>0.58551730000000002</v>
      </c>
      <c r="U1799">
        <v>-2.948029</v>
      </c>
      <c r="V1799">
        <v>-9.8168759999999994E-2</v>
      </c>
      <c r="W1799">
        <v>0.16977629999999999</v>
      </c>
      <c r="X1799">
        <v>0.98058089999999998</v>
      </c>
      <c r="Y1799">
        <v>-4.8784870000000001E-2</v>
      </c>
      <c r="Z1799">
        <v>-0.19444900000000001</v>
      </c>
      <c r="AA1799">
        <v>0.97969879999999998</v>
      </c>
      <c r="AB1799">
        <v>36</v>
      </c>
      <c r="AC1799">
        <v>0.51349999999996498</v>
      </c>
      <c r="AD1799">
        <v>11.880936</v>
      </c>
      <c r="AE1799">
        <v>-59.465570200000002</v>
      </c>
      <c r="AF1799">
        <v>-2.8155724434641698</v>
      </c>
      <c r="AG1799">
        <v>11.880936</v>
      </c>
      <c r="AH1799">
        <v>57.115874440856999</v>
      </c>
      <c r="AI1799">
        <v>78.263070475313597</v>
      </c>
      <c r="AJ1799">
        <v>92.822156468861195</v>
      </c>
      <c r="AK1799">
        <v>58.406396923318503</v>
      </c>
    </row>
    <row r="1800" spans="1:37" x14ac:dyDescent="0.2">
      <c r="A1800" t="str">
        <f>"20200111150625897"</f>
        <v>20200111150625897</v>
      </c>
      <c r="B1800" t="str">
        <f>"1578726385888547"</f>
        <v>1578726385888547</v>
      </c>
      <c r="C1800" t="s">
        <v>37</v>
      </c>
      <c r="D1800">
        <v>6.9227210000000001</v>
      </c>
      <c r="E1800">
        <v>0.51315140000000004</v>
      </c>
      <c r="F1800" t="s">
        <v>84</v>
      </c>
      <c r="G1800">
        <v>-420.3374</v>
      </c>
      <c r="H1800">
        <v>10.22573</v>
      </c>
      <c r="I1800">
        <v>0.47398760000000001</v>
      </c>
      <c r="J1800">
        <v>-421.74279999999999</v>
      </c>
      <c r="K1800">
        <v>1.1033500000000001</v>
      </c>
      <c r="L1800">
        <v>59.527679999999997</v>
      </c>
      <c r="M1800">
        <v>-4.0503709999999998E-2</v>
      </c>
      <c r="N1800">
        <v>0</v>
      </c>
      <c r="O1800">
        <v>-0.99910710000000003</v>
      </c>
      <c r="P1800">
        <v>5.9301420000000001E-2</v>
      </c>
      <c r="Q1800">
        <v>0.157962299999999</v>
      </c>
      <c r="R1800">
        <v>-0.98566309999999902</v>
      </c>
      <c r="S1800">
        <v>6.9305420000000006E-2</v>
      </c>
      <c r="T1800">
        <v>0.45513149999999902</v>
      </c>
      <c r="U1800">
        <v>-2.9664000000000001</v>
      </c>
      <c r="V1800">
        <v>-9.9201780000000003E-2</v>
      </c>
      <c r="W1800">
        <v>0.16976549999999899</v>
      </c>
      <c r="X1800">
        <v>0.98047879999999998</v>
      </c>
      <c r="Y1800">
        <v>-6.3563960000000003E-2</v>
      </c>
      <c r="Z1800">
        <v>-0.1512944</v>
      </c>
      <c r="AA1800">
        <v>0.98644290000000001</v>
      </c>
      <c r="AB1800">
        <v>36</v>
      </c>
      <c r="AC1800">
        <v>1.40539999999998</v>
      </c>
      <c r="AD1800">
        <v>9.1223799999999997</v>
      </c>
      <c r="AE1800">
        <v>-59.053692400000003</v>
      </c>
      <c r="AF1800">
        <v>-3.7078824176469598</v>
      </c>
      <c r="AG1800">
        <v>9.1223799999999997</v>
      </c>
      <c r="AH1800">
        <v>57.575167665139801</v>
      </c>
      <c r="AI1800">
        <v>81.015037635802102</v>
      </c>
      <c r="AJ1800">
        <v>93.684801060712005</v>
      </c>
      <c r="AK1800">
        <v>58.411181639789298</v>
      </c>
    </row>
    <row r="1801" spans="1:37" x14ac:dyDescent="0.2">
      <c r="A1801" t="str">
        <f>"20200111150625918"</f>
        <v>20200111150625918</v>
      </c>
      <c r="B1801" t="str">
        <f>"1578726385908067"</f>
        <v>1578726385908067</v>
      </c>
      <c r="C1801" t="s">
        <v>37</v>
      </c>
      <c r="D1801">
        <v>4.8829120000000001</v>
      </c>
      <c r="E1801">
        <v>0.46350659999999999</v>
      </c>
      <c r="F1801" t="s">
        <v>84</v>
      </c>
      <c r="G1801">
        <v>-420.2962</v>
      </c>
      <c r="H1801">
        <v>10.164400000000001</v>
      </c>
      <c r="I1801">
        <v>0.47440719999999997</v>
      </c>
      <c r="J1801">
        <v>-421.75760000000002</v>
      </c>
      <c r="K1801">
        <v>1.1033679999999999</v>
      </c>
      <c r="L1801">
        <v>59.160159999999998</v>
      </c>
      <c r="M1801">
        <v>-4.0384129999999997E-2</v>
      </c>
      <c r="N1801">
        <v>0</v>
      </c>
      <c r="O1801">
        <v>-0.99911190000000005</v>
      </c>
      <c r="P1801">
        <v>6.0218090000000002E-2</v>
      </c>
      <c r="Q1801">
        <v>0.1579796</v>
      </c>
      <c r="R1801">
        <v>-0.985604699999999</v>
      </c>
      <c r="S1801">
        <v>7.2662350000000001E-2</v>
      </c>
      <c r="T1801">
        <v>0.45514929999999898</v>
      </c>
      <c r="U1801">
        <v>-2.9663390000000001</v>
      </c>
      <c r="V1801">
        <v>-0.1000061</v>
      </c>
      <c r="W1801">
        <v>0.1697786</v>
      </c>
      <c r="X1801">
        <v>0.98039480000000001</v>
      </c>
      <c r="Y1801">
        <v>-6.4560619999999999E-2</v>
      </c>
      <c r="Z1801">
        <v>-0.1512974</v>
      </c>
      <c r="AA1801">
        <v>0.98637770000000002</v>
      </c>
      <c r="AB1801">
        <v>36</v>
      </c>
      <c r="AC1801">
        <v>1.46140000000002</v>
      </c>
      <c r="AD1801">
        <v>9.0610320000000009</v>
      </c>
      <c r="AE1801">
        <v>-58.685752799999896</v>
      </c>
      <c r="AF1801">
        <v>-3.7412199501168901</v>
      </c>
      <c r="AG1801">
        <v>9.0610320000000009</v>
      </c>
      <c r="AH1801">
        <v>57.215723649836598</v>
      </c>
      <c r="AI1801">
        <v>81.019887791452902</v>
      </c>
      <c r="AJ1801">
        <v>93.741128865983697</v>
      </c>
      <c r="AK1801">
        <v>58.049444961986097</v>
      </c>
    </row>
    <row r="1802" spans="1:37" x14ac:dyDescent="0.2">
      <c r="A1802" t="str">
        <f>"20200111150625956"</f>
        <v>20200111150625956</v>
      </c>
      <c r="B1802" t="str">
        <f>"1578726385948628"</f>
        <v>1578726385948628</v>
      </c>
      <c r="C1802" t="s">
        <v>37</v>
      </c>
      <c r="D1802">
        <v>4.5829300000000002</v>
      </c>
      <c r="E1802">
        <v>0.46630919999999998</v>
      </c>
      <c r="F1802" t="s">
        <v>85</v>
      </c>
      <c r="G1802">
        <v>-415.90460000000002</v>
      </c>
      <c r="H1802" s="1">
        <v>-7.7132659999999998E-6</v>
      </c>
      <c r="I1802">
        <v>20.391179999999999</v>
      </c>
      <c r="J1802">
        <v>-421.78179999999998</v>
      </c>
      <c r="K1802">
        <v>1.103405</v>
      </c>
      <c r="L1802">
        <v>58.553769999999901</v>
      </c>
      <c r="M1802">
        <v>-4.0141639999999999E-2</v>
      </c>
      <c r="N1802">
        <v>0</v>
      </c>
      <c r="O1802">
        <v>-0.99912140000000005</v>
      </c>
      <c r="P1802">
        <v>6.4202830000000002E-2</v>
      </c>
      <c r="Q1802">
        <v>0.15684379999999901</v>
      </c>
      <c r="R1802">
        <v>-0.98553440000000003</v>
      </c>
      <c r="S1802">
        <v>0.45739750000000001</v>
      </c>
      <c r="T1802">
        <v>-8.6225869999999996E-2</v>
      </c>
      <c r="U1802">
        <v>-3.0296939999999899</v>
      </c>
      <c r="V1802">
        <v>-0.1037594</v>
      </c>
      <c r="W1802">
        <v>0.1686347</v>
      </c>
      <c r="X1802">
        <v>0.98020219999999902</v>
      </c>
      <c r="Y1802">
        <v>-0.18879560000000001</v>
      </c>
      <c r="Z1802">
        <v>2.7999969999999999E-2</v>
      </c>
      <c r="AA1802">
        <v>0.98161719999999897</v>
      </c>
      <c r="AB1802">
        <v>36</v>
      </c>
      <c r="AC1802">
        <v>5.8771999999999496</v>
      </c>
      <c r="AD1802">
        <v>-1.1034127132660001</v>
      </c>
      <c r="AE1802">
        <v>-38.162590000000002</v>
      </c>
      <c r="AF1802">
        <v>-7.3984406523222797</v>
      </c>
      <c r="AG1802">
        <v>-1.1034127132660001</v>
      </c>
      <c r="AH1802">
        <v>37.8649676025261</v>
      </c>
      <c r="AI1802">
        <v>91.638207435862398</v>
      </c>
      <c r="AJ1802">
        <v>101.05574097463899</v>
      </c>
      <c r="AK1802">
        <v>38.596764310523298</v>
      </c>
    </row>
    <row r="1803" spans="1:37" x14ac:dyDescent="0.2">
      <c r="A1803" t="str">
        <f>"20200111150625980"</f>
        <v>20200111150625980</v>
      </c>
      <c r="B1803" t="str">
        <f>"1578726385977908"</f>
        <v>1578726385977908</v>
      </c>
      <c r="C1803" t="s">
        <v>37</v>
      </c>
      <c r="D1803">
        <v>5.301717</v>
      </c>
      <c r="E1803">
        <v>0.46440219999999999</v>
      </c>
      <c r="F1803" t="s">
        <v>84</v>
      </c>
      <c r="G1803">
        <v>-413.13940000000002</v>
      </c>
      <c r="H1803">
        <v>0.98714969999999902</v>
      </c>
      <c r="I1803">
        <v>0.54716109999999996</v>
      </c>
      <c r="J1803">
        <v>-421.79790000000003</v>
      </c>
      <c r="K1803">
        <v>1.1034170000000001</v>
      </c>
      <c r="L1803">
        <v>58.148319999999998</v>
      </c>
      <c r="M1803">
        <v>-3.9945519999999998E-2</v>
      </c>
      <c r="N1803">
        <v>0</v>
      </c>
      <c r="O1803">
        <v>-0.99912959999999995</v>
      </c>
      <c r="P1803">
        <v>6.6783889999999999E-2</v>
      </c>
      <c r="Q1803">
        <v>0.15637979999999899</v>
      </c>
      <c r="R1803">
        <v>-0.98543719999999901</v>
      </c>
      <c r="S1803">
        <v>0.4493103</v>
      </c>
      <c r="T1803">
        <v>-6.0453410000000001E-3</v>
      </c>
      <c r="U1803">
        <v>-3.015717</v>
      </c>
      <c r="V1803">
        <v>-0.1061496</v>
      </c>
      <c r="W1803">
        <v>0.16816420000000001</v>
      </c>
      <c r="X1803">
        <v>0.98002710000000004</v>
      </c>
      <c r="Y1803">
        <v>-0.18675729999999999</v>
      </c>
      <c r="Z1803">
        <v>1.9736789999999999E-3</v>
      </c>
      <c r="AA1803">
        <v>0.982404099999999</v>
      </c>
      <c r="AB1803">
        <v>36</v>
      </c>
      <c r="AC1803">
        <v>8.6585000000000001</v>
      </c>
      <c r="AD1803">
        <v>-0.1162673</v>
      </c>
      <c r="AE1803">
        <v>-57.601158900000001</v>
      </c>
      <c r="AF1803">
        <v>-10.9526190472066</v>
      </c>
      <c r="AG1803">
        <v>-0.1162673</v>
      </c>
      <c r="AH1803">
        <v>57.209057227604198</v>
      </c>
      <c r="AI1803">
        <v>90.114366334804302</v>
      </c>
      <c r="AJ1803">
        <v>100.83807685409199</v>
      </c>
      <c r="AK1803">
        <v>58.248172597512202</v>
      </c>
    </row>
    <row r="1804" spans="1:37" x14ac:dyDescent="0.2">
      <c r="A1804" t="str">
        <f>"20200111150626004"</f>
        <v>20200111150626004</v>
      </c>
      <c r="B1804" t="str">
        <f>"1578726385998404"</f>
        <v>1578726385998404</v>
      </c>
      <c r="C1804" t="s">
        <v>37</v>
      </c>
      <c r="D1804">
        <v>4.8693739999999996</v>
      </c>
      <c r="E1804">
        <v>0.46489369999999902</v>
      </c>
      <c r="F1804" t="s">
        <v>85</v>
      </c>
      <c r="G1804">
        <v>-418.3329</v>
      </c>
      <c r="H1804" s="1">
        <v>-2.9211249999999999E-6</v>
      </c>
      <c r="I1804">
        <v>35.698349999999998</v>
      </c>
      <c r="J1804">
        <v>-421.81279999999998</v>
      </c>
      <c r="K1804">
        <v>1.1034310000000001</v>
      </c>
      <c r="L1804">
        <v>57.770780000000002</v>
      </c>
      <c r="M1804">
        <v>-3.9734980000000003E-2</v>
      </c>
      <c r="N1804">
        <v>0</v>
      </c>
      <c r="O1804">
        <v>-0.99913770000000002</v>
      </c>
      <c r="P1804">
        <v>6.7888889999999993E-2</v>
      </c>
      <c r="Q1804">
        <v>0.15576199999999901</v>
      </c>
      <c r="R1804">
        <v>-0.98545899999999997</v>
      </c>
      <c r="S1804">
        <v>0.46862789999999999</v>
      </c>
      <c r="T1804">
        <v>-0.14923249999999999</v>
      </c>
      <c r="U1804">
        <v>-3.0362550000000001</v>
      </c>
      <c r="V1804">
        <v>-0.107056</v>
      </c>
      <c r="W1804">
        <v>0.16754189999999999</v>
      </c>
      <c r="X1804">
        <v>0.98003510000000005</v>
      </c>
      <c r="Y1804">
        <v>-0.19151170000000001</v>
      </c>
      <c r="Z1804">
        <v>4.8293080000000002E-2</v>
      </c>
      <c r="AA1804">
        <v>0.98030149999999905</v>
      </c>
      <c r="AB1804">
        <v>36</v>
      </c>
      <c r="AC1804">
        <v>3.4798999999999798</v>
      </c>
      <c r="AD1804">
        <v>-1.1034339211249999</v>
      </c>
      <c r="AE1804">
        <v>-22.072430000000001</v>
      </c>
      <c r="AF1804">
        <v>-4.3436703120759201</v>
      </c>
      <c r="AG1804">
        <v>-1.1034339211249999</v>
      </c>
      <c r="AH1804">
        <v>21.863397354258201</v>
      </c>
      <c r="AI1804">
        <v>92.833940702863003</v>
      </c>
      <c r="AJ1804">
        <v>101.236815640743</v>
      </c>
      <c r="AK1804">
        <v>22.318001300933801</v>
      </c>
    </row>
    <row r="1805" spans="1:37" x14ac:dyDescent="0.2">
      <c r="A1805" t="str">
        <f>"20200111150626029"</f>
        <v>20200111150626029</v>
      </c>
      <c r="B1805" t="str">
        <f>"1578726386017924"</f>
        <v>1578726386017924</v>
      </c>
      <c r="C1805" t="s">
        <v>37</v>
      </c>
      <c r="D1805">
        <v>4.8547180000000001</v>
      </c>
      <c r="E1805">
        <v>0.46495920000000002</v>
      </c>
      <c r="F1805" t="s">
        <v>39</v>
      </c>
      <c r="G1805">
        <v>-419.18759999999997</v>
      </c>
      <c r="H1805" s="1">
        <v>-5.9329730000000005E-7</v>
      </c>
      <c r="I1805">
        <v>40.679819999999999</v>
      </c>
      <c r="J1805">
        <v>-421.8288</v>
      </c>
      <c r="K1805">
        <v>1.1034820000000001</v>
      </c>
      <c r="L1805">
        <v>57.363309999999998</v>
      </c>
      <c r="M1805">
        <v>-3.9448820000000002E-2</v>
      </c>
      <c r="N1805">
        <v>0</v>
      </c>
      <c r="O1805">
        <v>-0.99914919999999996</v>
      </c>
      <c r="P1805">
        <v>6.6226339999999995E-2</v>
      </c>
      <c r="Q1805">
        <v>0.156114</v>
      </c>
      <c r="R1805">
        <v>-0.98551669999999902</v>
      </c>
      <c r="S1805">
        <v>0.46743770000000001</v>
      </c>
      <c r="T1805">
        <v>-0.196470899999999</v>
      </c>
      <c r="U1805">
        <v>-3.04312099999999</v>
      </c>
      <c r="V1805">
        <v>-0.10513260000000001</v>
      </c>
      <c r="W1805">
        <v>0.16788739999999999</v>
      </c>
      <c r="X1805">
        <v>0.9801841</v>
      </c>
      <c r="Y1805">
        <v>-0.190393799999999</v>
      </c>
      <c r="Z1805">
        <v>6.339322E-2</v>
      </c>
      <c r="AA1805">
        <v>0.97965879999999905</v>
      </c>
      <c r="AB1805">
        <v>36</v>
      </c>
      <c r="AC1805">
        <v>2.64120000000002</v>
      </c>
      <c r="AD1805">
        <v>-1.1034825932973</v>
      </c>
      <c r="AE1805">
        <v>-16.683489999999999</v>
      </c>
      <c r="AF1805">
        <v>-3.28332272676256</v>
      </c>
      <c r="AG1805">
        <v>-1.1034825932973</v>
      </c>
      <c r="AH1805">
        <v>16.495900170627301</v>
      </c>
      <c r="AI1805">
        <v>93.753648310612107</v>
      </c>
      <c r="AJ1805">
        <v>101.25696333835199</v>
      </c>
      <c r="AK1805">
        <v>16.8556401362004</v>
      </c>
    </row>
    <row r="1806" spans="1:37" x14ac:dyDescent="0.2">
      <c r="A1806" t="str">
        <f>"20200111150626050"</f>
        <v>20200111150626050</v>
      </c>
      <c r="B1806" t="str">
        <f>"1578726386048062"</f>
        <v>1578726386048062</v>
      </c>
      <c r="C1806" t="s">
        <v>37</v>
      </c>
      <c r="D1806">
        <v>4.9160550000000001</v>
      </c>
      <c r="E1806">
        <v>0.46518329999999902</v>
      </c>
      <c r="F1806" t="s">
        <v>39</v>
      </c>
      <c r="G1806">
        <v>-419.38580000000002</v>
      </c>
      <c r="H1806" s="1">
        <v>-8.3540250000000005E-7</v>
      </c>
      <c r="I1806">
        <v>41.326149999999998</v>
      </c>
      <c r="J1806">
        <v>-421.84249999999997</v>
      </c>
      <c r="K1806">
        <v>1.1035469999999901</v>
      </c>
      <c r="L1806">
        <v>57.009519999999902</v>
      </c>
      <c r="M1806">
        <v>-3.911895E-2</v>
      </c>
      <c r="N1806">
        <v>0</v>
      </c>
      <c r="O1806">
        <v>-0.99916199999999999</v>
      </c>
      <c r="P1806">
        <v>6.4354759999999997E-2</v>
      </c>
      <c r="Q1806">
        <v>0.15674839999999901</v>
      </c>
      <c r="R1806">
        <v>-0.98553989999999903</v>
      </c>
      <c r="S1806">
        <v>0.46401979999999998</v>
      </c>
      <c r="T1806">
        <v>-0.20959639999999999</v>
      </c>
      <c r="U1806">
        <v>-3.0461119999999999</v>
      </c>
      <c r="V1806">
        <v>-0.10296279999999999</v>
      </c>
      <c r="W1806">
        <v>0.1685111</v>
      </c>
      <c r="X1806">
        <v>0.9803075</v>
      </c>
      <c r="Y1806">
        <v>-0.1888097</v>
      </c>
      <c r="Z1806">
        <v>6.7561250000000003E-2</v>
      </c>
      <c r="AA1806">
        <v>0.97968690000000003</v>
      </c>
      <c r="AB1806">
        <v>36</v>
      </c>
      <c r="AC1806">
        <v>2.4566999999999499</v>
      </c>
      <c r="AD1806">
        <v>-1.1035478354024999</v>
      </c>
      <c r="AE1806">
        <v>-15.683369999999901</v>
      </c>
      <c r="AF1806">
        <v>-3.05362395461214</v>
      </c>
      <c r="AG1806">
        <v>-1.1035478354024999</v>
      </c>
      <c r="AH1806">
        <v>15.500346994084101</v>
      </c>
      <c r="AI1806">
        <v>93.995759648109797</v>
      </c>
      <c r="AJ1806">
        <v>101.144759070652</v>
      </c>
      <c r="AK1806">
        <v>15.8367671580476</v>
      </c>
    </row>
    <row r="1807" spans="1:37" x14ac:dyDescent="0.2">
      <c r="A1807" t="str">
        <f>"20200111150626073"</f>
        <v>20200111150626073</v>
      </c>
      <c r="B1807" t="str">
        <f>"1578726386068558"</f>
        <v>1578726386068558</v>
      </c>
      <c r="C1807" t="s">
        <v>37</v>
      </c>
      <c r="D1807">
        <v>4.8925539999999996</v>
      </c>
      <c r="E1807">
        <v>0.46540229999999999</v>
      </c>
      <c r="F1807" t="s">
        <v>39</v>
      </c>
      <c r="G1807">
        <v>-419.69189999999998</v>
      </c>
      <c r="H1807" s="1">
        <v>-1.3430449999999899E-6</v>
      </c>
      <c r="I1807">
        <v>42.636020000000002</v>
      </c>
      <c r="J1807">
        <v>-421.8562</v>
      </c>
      <c r="K1807">
        <v>1.1036410000000001</v>
      </c>
      <c r="L1807">
        <v>56.649569999999997</v>
      </c>
      <c r="M1807">
        <v>-3.8670860000000001E-2</v>
      </c>
      <c r="N1807">
        <v>0</v>
      </c>
      <c r="O1807">
        <v>-0.9991795</v>
      </c>
      <c r="P1807">
        <v>6.3698009999999999E-2</v>
      </c>
      <c r="Q1807">
        <v>0.15694439999999901</v>
      </c>
      <c r="R1807">
        <v>-0.98555139999999997</v>
      </c>
      <c r="S1807">
        <v>0.45657349999999902</v>
      </c>
      <c r="T1807">
        <v>-0.23428249999999901</v>
      </c>
      <c r="U1807">
        <v>-3.0514830000000002</v>
      </c>
      <c r="V1807">
        <v>-0.1019023</v>
      </c>
      <c r="W1807">
        <v>0.1686888</v>
      </c>
      <c r="X1807">
        <v>0.98038769999999997</v>
      </c>
      <c r="Y1807">
        <v>-0.1856912</v>
      </c>
      <c r="Z1807">
        <v>7.5382279999999996E-2</v>
      </c>
      <c r="AA1807">
        <v>0.97971239999999904</v>
      </c>
      <c r="AB1807">
        <v>36</v>
      </c>
      <c r="AC1807">
        <v>2.1643000000000199</v>
      </c>
      <c r="AD1807">
        <v>-1.103642343045</v>
      </c>
      <c r="AE1807">
        <v>-14.013549999999899</v>
      </c>
      <c r="AF1807">
        <v>-2.6883503816579601</v>
      </c>
      <c r="AG1807">
        <v>-1.103642343045</v>
      </c>
      <c r="AH1807">
        <v>13.8355504446873</v>
      </c>
      <c r="AI1807">
        <v>94.477357449023899</v>
      </c>
      <c r="AJ1807">
        <v>100.995976833274</v>
      </c>
      <c r="AK1807">
        <v>14.1374577029751</v>
      </c>
    </row>
    <row r="1808" spans="1:37" x14ac:dyDescent="0.2">
      <c r="A1808" t="str">
        <f>"20200111150626094"</f>
        <v>20200111150626094</v>
      </c>
      <c r="B1808" t="str">
        <f>"1578726386088077"</f>
        <v>1578726386088077</v>
      </c>
      <c r="C1808" t="s">
        <v>37</v>
      </c>
      <c r="D1808">
        <v>4.8706870000000002</v>
      </c>
      <c r="E1808">
        <v>0.46524070000000001</v>
      </c>
      <c r="F1808" t="s">
        <v>39</v>
      </c>
      <c r="G1808">
        <v>-419.81270000000001</v>
      </c>
      <c r="H1808" s="1">
        <v>-1.3960559999999999E-6</v>
      </c>
      <c r="I1808">
        <v>42.809559999999998</v>
      </c>
      <c r="J1808">
        <v>-421.86930000000001</v>
      </c>
      <c r="K1808">
        <v>1.1037589999999999</v>
      </c>
      <c r="L1808">
        <v>56.297419999999903</v>
      </c>
      <c r="M1808">
        <v>-3.8086920000000003E-2</v>
      </c>
      <c r="N1808">
        <v>0</v>
      </c>
      <c r="O1808">
        <v>-0.99920180000000003</v>
      </c>
      <c r="P1808">
        <v>6.3659030000000005E-2</v>
      </c>
      <c r="Q1808">
        <v>0.15735479999999999</v>
      </c>
      <c r="R1808">
        <v>-0.98548840000000004</v>
      </c>
      <c r="S1808">
        <v>0.45086670000000001</v>
      </c>
      <c r="T1808">
        <v>-0.24350439999999901</v>
      </c>
      <c r="U1808">
        <v>-3.0536189999999999</v>
      </c>
      <c r="V1808">
        <v>-0.10133499999999999</v>
      </c>
      <c r="W1808">
        <v>0.16907230000000001</v>
      </c>
      <c r="X1808">
        <v>0.98038040000000004</v>
      </c>
      <c r="Y1808">
        <v>-0.18319170000000001</v>
      </c>
      <c r="Z1808">
        <v>7.8309240000000002E-2</v>
      </c>
      <c r="AA1808">
        <v>0.97995330000000003</v>
      </c>
      <c r="AB1808">
        <v>36</v>
      </c>
      <c r="AC1808">
        <v>2.0566</v>
      </c>
      <c r="AD1808">
        <v>-1.1037603960559901</v>
      </c>
      <c r="AE1808">
        <v>-13.4878599999999</v>
      </c>
      <c r="AF1808">
        <v>-2.5521531295723898</v>
      </c>
      <c r="AG1808">
        <v>-1.1037603960559901</v>
      </c>
      <c r="AH1808">
        <v>13.312611457930201</v>
      </c>
      <c r="AI1808">
        <v>94.655212558154005</v>
      </c>
      <c r="AJ1808">
        <v>100.852467846645</v>
      </c>
      <c r="AK1808">
        <v>13.599904280490399</v>
      </c>
    </row>
    <row r="1809" spans="1:37" x14ac:dyDescent="0.2">
      <c r="A1809" t="str">
        <f>"20200111150626134"</f>
        <v>20200111150626134</v>
      </c>
      <c r="B1809" t="str">
        <f>"1578726386128093"</f>
        <v>1578726386128093</v>
      </c>
      <c r="C1809" t="s">
        <v>37</v>
      </c>
      <c r="D1809">
        <v>4.5651539999999997</v>
      </c>
      <c r="E1809">
        <v>0.46681339999999999</v>
      </c>
      <c r="F1809" t="s">
        <v>39</v>
      </c>
      <c r="G1809">
        <v>-419.83940000000001</v>
      </c>
      <c r="H1809" s="1">
        <v>-1.31027E-6</v>
      </c>
      <c r="I1809">
        <v>42.620640000000002</v>
      </c>
      <c r="J1809">
        <v>-421.89240000000001</v>
      </c>
      <c r="K1809">
        <v>1.1039939999999999</v>
      </c>
      <c r="L1809">
        <v>55.649409999999897</v>
      </c>
      <c r="M1809">
        <v>-3.6653850000000002E-2</v>
      </c>
      <c r="N1809">
        <v>0</v>
      </c>
      <c r="O1809">
        <v>-0.99925540000000002</v>
      </c>
      <c r="P1809">
        <v>6.8491609999999994E-2</v>
      </c>
      <c r="Q1809">
        <v>0.16003049999999999</v>
      </c>
      <c r="R1809">
        <v>-0.98473299999999997</v>
      </c>
      <c r="S1809">
        <v>0.45330809999999999</v>
      </c>
      <c r="T1809">
        <v>-0.2464886</v>
      </c>
      <c r="U1809">
        <v>-3.05425999999999</v>
      </c>
      <c r="V1809">
        <v>-0.104827</v>
      </c>
      <c r="W1809">
        <v>0.17168</v>
      </c>
      <c r="X1809">
        <v>0.97955969999999903</v>
      </c>
      <c r="Y1809">
        <v>-0.18250769999999999</v>
      </c>
      <c r="Z1809">
        <v>7.925343E-2</v>
      </c>
      <c r="AA1809">
        <v>0.98000499999999902</v>
      </c>
      <c r="AB1809">
        <v>36</v>
      </c>
      <c r="AC1809">
        <v>2.0529999999999902</v>
      </c>
      <c r="AD1809">
        <v>-1.10399531027</v>
      </c>
      <c r="AE1809">
        <v>-13.0287699999999</v>
      </c>
      <c r="AF1809">
        <v>-2.5116128752842002</v>
      </c>
      <c r="AG1809">
        <v>-1.10399531027</v>
      </c>
      <c r="AH1809">
        <v>12.854696657743199</v>
      </c>
      <c r="AI1809">
        <v>94.818006158651798</v>
      </c>
      <c r="AJ1809">
        <v>101.05544955789399</v>
      </c>
      <c r="AK1809">
        <v>13.144209030709501</v>
      </c>
    </row>
    <row r="1810" spans="1:37" x14ac:dyDescent="0.2">
      <c r="A1810" t="str">
        <f>"20200111150626160"</f>
        <v>20200111150626160</v>
      </c>
      <c r="B1810" t="str">
        <f>"1578726386148240"</f>
        <v>1578726386148240</v>
      </c>
      <c r="C1810" t="s">
        <v>37</v>
      </c>
      <c r="D1810">
        <v>5.04474</v>
      </c>
      <c r="E1810">
        <v>0.46675050000000001</v>
      </c>
      <c r="F1810" t="s">
        <v>39</v>
      </c>
      <c r="G1810">
        <v>-419.94709999999998</v>
      </c>
      <c r="H1810" s="1">
        <v>-1.288377E-6</v>
      </c>
      <c r="I1810">
        <v>42.614150000000002</v>
      </c>
      <c r="J1810">
        <v>-421.90640000000002</v>
      </c>
      <c r="K1810">
        <v>1.10416</v>
      </c>
      <c r="L1810">
        <v>55.232419999999998</v>
      </c>
      <c r="M1810">
        <v>-3.5404989999999997E-2</v>
      </c>
      <c r="N1810">
        <v>0</v>
      </c>
      <c r="O1810">
        <v>-0.99930030000000003</v>
      </c>
      <c r="P1810">
        <v>7.4256069999999993E-2</v>
      </c>
      <c r="Q1810">
        <v>0.1588078</v>
      </c>
      <c r="R1810">
        <v>-0.98451339999999998</v>
      </c>
      <c r="S1810">
        <v>0.45617679999999999</v>
      </c>
      <c r="T1810">
        <v>-0.25889410000000002</v>
      </c>
      <c r="U1810">
        <v>-3.056854</v>
      </c>
      <c r="V1810">
        <v>-0.109420899999999</v>
      </c>
      <c r="W1810">
        <v>0.17040449999999999</v>
      </c>
      <c r="X1810">
        <v>0.97927999999999904</v>
      </c>
      <c r="Y1810">
        <v>-0.18201120000000001</v>
      </c>
      <c r="Z1810">
        <v>8.3149189999999998E-2</v>
      </c>
      <c r="AA1810">
        <v>0.97977449999999999</v>
      </c>
      <c r="AB1810">
        <v>36</v>
      </c>
      <c r="AC1810">
        <v>1.95930000000004</v>
      </c>
      <c r="AD1810">
        <v>-1.104161288377</v>
      </c>
      <c r="AE1810">
        <v>-12.6182699999999</v>
      </c>
      <c r="AF1810">
        <v>-2.3870063479359702</v>
      </c>
      <c r="AG1810">
        <v>-1.104161288377</v>
      </c>
      <c r="AH1810">
        <v>12.447912567216999</v>
      </c>
      <c r="AI1810">
        <v>94.978769396476096</v>
      </c>
      <c r="AJ1810">
        <v>100.855238835075</v>
      </c>
      <c r="AK1810">
        <v>12.722715855386999</v>
      </c>
    </row>
    <row r="1811" spans="1:37" x14ac:dyDescent="0.2">
      <c r="A1811" t="str">
        <f>"20200111150626183"</f>
        <v>20200111150626183</v>
      </c>
      <c r="B1811" t="str">
        <f>"1578726386178498"</f>
        <v>1578726386178498</v>
      </c>
      <c r="C1811" t="s">
        <v>37</v>
      </c>
      <c r="D1811">
        <v>5.0649059999999997</v>
      </c>
      <c r="E1811">
        <v>0.46622399999999897</v>
      </c>
      <c r="F1811" t="s">
        <v>39</v>
      </c>
      <c r="G1811">
        <v>-419.84730000000002</v>
      </c>
      <c r="H1811" s="1">
        <v>-1.02524E-6</v>
      </c>
      <c r="I1811">
        <v>41.959499999999998</v>
      </c>
      <c r="J1811">
        <v>-421.91829999999999</v>
      </c>
      <c r="K1811">
        <v>1.1043209999999899</v>
      </c>
      <c r="L1811">
        <v>54.862639999999999</v>
      </c>
      <c r="M1811">
        <v>-3.4070629999999998E-2</v>
      </c>
      <c r="N1811">
        <v>0</v>
      </c>
      <c r="O1811">
        <v>-0.99934650000000003</v>
      </c>
      <c r="P1811">
        <v>7.8287540000000003E-2</v>
      </c>
      <c r="Q1811">
        <v>0.15667819999999999</v>
      </c>
      <c r="R1811">
        <v>-0.98454200000000003</v>
      </c>
      <c r="S1811">
        <v>0.473541299999999</v>
      </c>
      <c r="T1811">
        <v>-0.2539285</v>
      </c>
      <c r="U1811">
        <v>-3.0524290000000001</v>
      </c>
      <c r="V1811">
        <v>-0.1122046</v>
      </c>
      <c r="W1811">
        <v>0.16822770000000001</v>
      </c>
      <c r="X1811">
        <v>0.97934140000000003</v>
      </c>
      <c r="Y1811">
        <v>-0.1863706</v>
      </c>
      <c r="Z1811">
        <v>8.1618999999999997E-2</v>
      </c>
      <c r="AA1811">
        <v>0.97908340000000005</v>
      </c>
      <c r="AB1811">
        <v>36</v>
      </c>
      <c r="AC1811">
        <v>2.0709999999999602</v>
      </c>
      <c r="AD1811">
        <v>-1.1043220252399999</v>
      </c>
      <c r="AE1811">
        <v>-12.90314</v>
      </c>
      <c r="AF1811">
        <v>-2.4916548982173299</v>
      </c>
      <c r="AG1811">
        <v>-1.1043220252399999</v>
      </c>
      <c r="AH1811">
        <v>12.734148717334801</v>
      </c>
      <c r="AI1811">
        <v>94.8645730582694</v>
      </c>
      <c r="AJ1811">
        <v>101.07103035438899</v>
      </c>
      <c r="AK1811">
        <v>13.0225348846697</v>
      </c>
    </row>
    <row r="1812" spans="1:37" x14ac:dyDescent="0.2">
      <c r="A1812" t="str">
        <f>"20200111150626204"</f>
        <v>20200111150626204</v>
      </c>
      <c r="B1812" t="str">
        <f>"1578726386198017"</f>
        <v>1578726386198017</v>
      </c>
      <c r="C1812" t="s">
        <v>37</v>
      </c>
      <c r="D1812">
        <v>4.578462</v>
      </c>
      <c r="E1812">
        <v>0.4669276</v>
      </c>
      <c r="F1812" t="s">
        <v>39</v>
      </c>
      <c r="G1812">
        <v>-419.88499999999999</v>
      </c>
      <c r="H1812" s="1">
        <v>-1.1427699999999999E-6</v>
      </c>
      <c r="I1812">
        <v>42.24906</v>
      </c>
      <c r="J1812">
        <v>-421.92849999999999</v>
      </c>
      <c r="K1812">
        <v>1.104528</v>
      </c>
      <c r="L1812">
        <v>54.52505</v>
      </c>
      <c r="M1812">
        <v>-3.2570450000000001E-2</v>
      </c>
      <c r="N1812">
        <v>0</v>
      </c>
      <c r="O1812">
        <v>-0.99939659999999997</v>
      </c>
      <c r="P1812">
        <v>8.1125779999999995E-2</v>
      </c>
      <c r="Q1812">
        <v>0.1570743</v>
      </c>
      <c r="R1812">
        <v>-0.98424940000000005</v>
      </c>
      <c r="S1812">
        <v>0.49172969999999999</v>
      </c>
      <c r="T1812">
        <v>-0.2670727</v>
      </c>
      <c r="U1812">
        <v>-3.0505070000000001</v>
      </c>
      <c r="V1812">
        <v>-0.1136436</v>
      </c>
      <c r="W1812">
        <v>0.1685652</v>
      </c>
      <c r="X1812">
        <v>0.97911740000000003</v>
      </c>
      <c r="Y1812">
        <v>-0.19062679999999901</v>
      </c>
      <c r="Z1812">
        <v>8.5797590000000007E-2</v>
      </c>
      <c r="AA1812">
        <v>0.97790599999999905</v>
      </c>
      <c r="AB1812">
        <v>36</v>
      </c>
      <c r="AC1812">
        <v>2.0434999999999901</v>
      </c>
      <c r="AD1812">
        <v>-1.1045291427699999</v>
      </c>
      <c r="AE1812">
        <v>-12.27599</v>
      </c>
      <c r="AF1812">
        <v>-2.4231913641788601</v>
      </c>
      <c r="AG1812">
        <v>-1.1045291427699999</v>
      </c>
      <c r="AH1812">
        <v>12.1075401033756</v>
      </c>
      <c r="AI1812">
        <v>95.111651448309203</v>
      </c>
      <c r="AJ1812">
        <v>101.31759186977899</v>
      </c>
      <c r="AK1812">
        <v>12.396949962370099</v>
      </c>
    </row>
    <row r="1813" spans="1:37" x14ac:dyDescent="0.2">
      <c r="A1813" t="str">
        <f>"20200111150626227"</f>
        <v>20200111150626227</v>
      </c>
      <c r="B1813" t="str">
        <f>"1578726386218512"</f>
        <v>1578726386218512</v>
      </c>
      <c r="C1813" t="s">
        <v>37</v>
      </c>
      <c r="D1813">
        <v>4.9358190000000004</v>
      </c>
      <c r="E1813">
        <v>0.46659820000000002</v>
      </c>
      <c r="F1813" t="s">
        <v>39</v>
      </c>
      <c r="G1813">
        <v>-419.91829999999999</v>
      </c>
      <c r="H1813" s="1">
        <v>-1.097419E-6</v>
      </c>
      <c r="I1813">
        <v>42.157119999999999</v>
      </c>
      <c r="J1813">
        <v>-421.9391</v>
      </c>
      <c r="K1813">
        <v>1.104846</v>
      </c>
      <c r="L1813">
        <v>54.143709999999999</v>
      </c>
      <c r="M1813">
        <v>-3.0483219999999998E-2</v>
      </c>
      <c r="N1813">
        <v>0</v>
      </c>
      <c r="O1813">
        <v>-0.99946250000000003</v>
      </c>
      <c r="P1813">
        <v>8.2902550000000005E-2</v>
      </c>
      <c r="Q1813">
        <v>0.1585858</v>
      </c>
      <c r="R1813">
        <v>-0.98385879999999903</v>
      </c>
      <c r="S1813">
        <v>0.49581909999999901</v>
      </c>
      <c r="T1813">
        <v>-0.27243889999999998</v>
      </c>
      <c r="U1813">
        <v>-3.0506289999999998</v>
      </c>
      <c r="V1813">
        <v>-0.1134887</v>
      </c>
      <c r="W1813">
        <v>0.16999939999999999</v>
      </c>
      <c r="X1813">
        <v>0.97888739999999996</v>
      </c>
      <c r="Y1813">
        <v>-0.1898242</v>
      </c>
      <c r="Z1813">
        <v>8.751109E-2</v>
      </c>
      <c r="AA1813">
        <v>0.97791030000000001</v>
      </c>
      <c r="AB1813">
        <v>36</v>
      </c>
      <c r="AC1813">
        <v>2.0207999999999999</v>
      </c>
      <c r="AD1813">
        <v>-1.1048470974189999</v>
      </c>
      <c r="AE1813">
        <v>-11.98659</v>
      </c>
      <c r="AF1813">
        <v>-2.3657334649471902</v>
      </c>
      <c r="AG1813">
        <v>-1.1048470974189999</v>
      </c>
      <c r="AH1813">
        <v>11.8217522608787</v>
      </c>
      <c r="AI1813">
        <v>95.236066433081106</v>
      </c>
      <c r="AJ1813">
        <v>101.316377487906</v>
      </c>
      <c r="AK1813">
        <v>12.106659673644</v>
      </c>
    </row>
    <row r="1814" spans="1:37" x14ac:dyDescent="0.2">
      <c r="A1814" t="str">
        <f>"20200111150626251"</f>
        <v>20200111150626251</v>
      </c>
      <c r="B1814" t="str">
        <f>"1578726386248185"</f>
        <v>1578726386248185</v>
      </c>
      <c r="C1814" t="s">
        <v>37</v>
      </c>
      <c r="D1814">
        <v>4.9380430000000004</v>
      </c>
      <c r="E1814">
        <v>0.46608660000000002</v>
      </c>
      <c r="F1814" t="s">
        <v>39</v>
      </c>
      <c r="G1814">
        <v>-419.88729999999998</v>
      </c>
      <c r="H1814" s="1">
        <v>-9.1423079999999999E-7</v>
      </c>
      <c r="I1814">
        <v>41.71725</v>
      </c>
      <c r="J1814">
        <v>-421.9486</v>
      </c>
      <c r="K1814">
        <v>1.105237</v>
      </c>
      <c r="L1814">
        <v>53.754359999999998</v>
      </c>
      <c r="M1814">
        <v>-2.7877639999999999E-2</v>
      </c>
      <c r="N1814">
        <v>0</v>
      </c>
      <c r="O1814">
        <v>-0.99953829999999999</v>
      </c>
      <c r="P1814">
        <v>8.441688E-2</v>
      </c>
      <c r="Q1814">
        <v>0.15863720000000001</v>
      </c>
      <c r="R1814">
        <v>-0.98372169999999903</v>
      </c>
      <c r="S1814">
        <v>0.50369259999999905</v>
      </c>
      <c r="T1814">
        <v>-0.27122299999999999</v>
      </c>
      <c r="U1814">
        <v>-3.0505070000000001</v>
      </c>
      <c r="V1814">
        <v>-0.1125992</v>
      </c>
      <c r="W1814">
        <v>0.1699647</v>
      </c>
      <c r="X1814">
        <v>0.97899619999999998</v>
      </c>
      <c r="Y1814">
        <v>-0.18973509999999999</v>
      </c>
      <c r="Z1814">
        <v>8.71199E-2</v>
      </c>
      <c r="AA1814">
        <v>0.97796260000000002</v>
      </c>
      <c r="AB1814">
        <v>36</v>
      </c>
      <c r="AC1814">
        <v>2.0613000000000099</v>
      </c>
      <c r="AD1814">
        <v>-1.1052379142308</v>
      </c>
      <c r="AE1814">
        <v>-12.037109999999901</v>
      </c>
      <c r="AF1814">
        <v>-2.3766235452330098</v>
      </c>
      <c r="AG1814">
        <v>-1.1052379142308</v>
      </c>
      <c r="AH1814">
        <v>11.877677585528801</v>
      </c>
      <c r="AI1814">
        <v>95.213407451010795</v>
      </c>
      <c r="AJ1814">
        <v>101.314978973489</v>
      </c>
      <c r="AK1814">
        <v>12.1634335262944</v>
      </c>
    </row>
    <row r="1815" spans="1:37" x14ac:dyDescent="0.2">
      <c r="A1815" t="str">
        <f>"20200111150626273"</f>
        <v>20200111150626273</v>
      </c>
      <c r="B1815" t="str">
        <f>"1578726386268682"</f>
        <v>1578726386268682</v>
      </c>
      <c r="C1815" t="s">
        <v>37</v>
      </c>
      <c r="D1815">
        <v>4.943651</v>
      </c>
      <c r="E1815">
        <v>0.466396599999999</v>
      </c>
      <c r="F1815" t="s">
        <v>39</v>
      </c>
      <c r="G1815">
        <v>-419.90499999999997</v>
      </c>
      <c r="H1815" s="1">
        <v>-8.591367E-7</v>
      </c>
      <c r="I1815">
        <v>41.596159999999998</v>
      </c>
      <c r="J1815">
        <v>-421.95599999999899</v>
      </c>
      <c r="K1815">
        <v>1.1056349999999999</v>
      </c>
      <c r="L1815">
        <v>53.40213</v>
      </c>
      <c r="M1815">
        <v>-2.5043590000000001E-2</v>
      </c>
      <c r="N1815">
        <v>0</v>
      </c>
      <c r="O1815">
        <v>-0.99961329999999904</v>
      </c>
      <c r="P1815">
        <v>8.5369360000000005E-2</v>
      </c>
      <c r="Q1815">
        <v>0.1603348</v>
      </c>
      <c r="R1815">
        <v>-0.98336449999999997</v>
      </c>
      <c r="S1815">
        <v>0.51272580000000001</v>
      </c>
      <c r="T1815">
        <v>-0.27729140000000002</v>
      </c>
      <c r="U1815">
        <v>-3.050354</v>
      </c>
      <c r="V1815">
        <v>-0.1109313</v>
      </c>
      <c r="W1815">
        <v>0.1715805</v>
      </c>
      <c r="X1815">
        <v>0.97890469999999896</v>
      </c>
      <c r="Y1815">
        <v>-0.18974929999999901</v>
      </c>
      <c r="Z1815">
        <v>8.9046539999999993E-2</v>
      </c>
      <c r="AA1815">
        <v>0.97778619999999905</v>
      </c>
      <c r="AB1815">
        <v>36</v>
      </c>
      <c r="AC1815">
        <v>2.0509999999999802</v>
      </c>
      <c r="AD1815">
        <v>-1.1056358591366999</v>
      </c>
      <c r="AE1815">
        <v>-11.80597</v>
      </c>
      <c r="AF1815">
        <v>-2.32623770290073</v>
      </c>
      <c r="AG1815">
        <v>-1.1056358591366999</v>
      </c>
      <c r="AH1815">
        <v>11.651701861023399</v>
      </c>
      <c r="AI1815">
        <v>95.316297174277693</v>
      </c>
      <c r="AJ1815">
        <v>101.290532737413</v>
      </c>
      <c r="AK1815">
        <v>11.9329782016721</v>
      </c>
    </row>
    <row r="1816" spans="1:37" x14ac:dyDescent="0.2">
      <c r="A1816" t="str">
        <f>"20200111150626296"</f>
        <v>20200111150626296</v>
      </c>
      <c r="B1816" t="str">
        <f>"1578726386288202"</f>
        <v>1578726386288202</v>
      </c>
      <c r="C1816" t="s">
        <v>37</v>
      </c>
      <c r="D1816">
        <v>4.7104349999999897</v>
      </c>
      <c r="E1816">
        <v>0.4664915</v>
      </c>
      <c r="F1816" t="s">
        <v>39</v>
      </c>
      <c r="G1816">
        <v>-419.90570000000002</v>
      </c>
      <c r="H1816" s="1">
        <v>-7.0070920000000004E-7</v>
      </c>
      <c r="I1816">
        <v>41.227139999999999</v>
      </c>
      <c r="J1816">
        <v>-421.96190000000001</v>
      </c>
      <c r="K1816">
        <v>1.1060700000000001</v>
      </c>
      <c r="L1816">
        <v>53.039949999999997</v>
      </c>
      <c r="M1816">
        <v>-2.1618229999999999E-2</v>
      </c>
      <c r="N1816">
        <v>0</v>
      </c>
      <c r="O1816">
        <v>-0.99969300000000005</v>
      </c>
      <c r="P1816">
        <v>8.679713E-2</v>
      </c>
      <c r="Q1816">
        <v>0.16339589999999901</v>
      </c>
      <c r="R1816">
        <v>-0.98273529999999998</v>
      </c>
      <c r="S1816">
        <v>0.51385499999999995</v>
      </c>
      <c r="T1816">
        <v>-0.277097599999999</v>
      </c>
      <c r="U1816">
        <v>-3.0513309999999998</v>
      </c>
      <c r="V1816">
        <v>-0.1091797</v>
      </c>
      <c r="W1816">
        <v>0.17455699999999999</v>
      </c>
      <c r="X1816">
        <v>0.97857530000000004</v>
      </c>
      <c r="Y1816">
        <v>-0.186686299999999</v>
      </c>
      <c r="Z1816">
        <v>8.8991459999999994E-2</v>
      </c>
      <c r="AA1816">
        <v>0.97838069999999899</v>
      </c>
      <c r="AB1816">
        <v>36</v>
      </c>
      <c r="AC1816">
        <v>2.0561999999999898</v>
      </c>
      <c r="AD1816">
        <v>-1.1060707007092001</v>
      </c>
      <c r="AE1816">
        <v>-11.812809999999899</v>
      </c>
      <c r="AF1816">
        <v>-2.2916100494066698</v>
      </c>
      <c r="AG1816">
        <v>-1.1060707007092001</v>
      </c>
      <c r="AH1816">
        <v>11.666321499403301</v>
      </c>
      <c r="AI1816">
        <v>95.314989556541605</v>
      </c>
      <c r="AJ1816">
        <v>101.113093419766</v>
      </c>
      <c r="AK1816">
        <v>11.940599915454399</v>
      </c>
    </row>
    <row r="1817" spans="1:37" x14ac:dyDescent="0.2">
      <c r="A1817" t="str">
        <f>"20200111150626315"</f>
        <v>20200111150626315</v>
      </c>
      <c r="B1817" t="str">
        <f>"1578726386308698"</f>
        <v>1578726386308698</v>
      </c>
      <c r="C1817" t="s">
        <v>37</v>
      </c>
      <c r="D1817">
        <v>4.9613899999999997</v>
      </c>
      <c r="E1817">
        <v>0.46195940000000002</v>
      </c>
      <c r="F1817" t="s">
        <v>39</v>
      </c>
      <c r="G1817">
        <v>-419.75110000000001</v>
      </c>
      <c r="H1817" s="1">
        <v>-2.137695E-7</v>
      </c>
      <c r="I1817">
        <v>40.02816</v>
      </c>
      <c r="J1817">
        <v>-421.96589999999998</v>
      </c>
      <c r="K1817">
        <v>1.106436</v>
      </c>
      <c r="L1817">
        <v>52.719639999999998</v>
      </c>
      <c r="M1817">
        <v>-1.824887E-2</v>
      </c>
      <c r="N1817">
        <v>0</v>
      </c>
      <c r="O1817">
        <v>-0.99975970000000003</v>
      </c>
      <c r="P1817">
        <v>8.8800249999999997E-2</v>
      </c>
      <c r="Q1817">
        <v>0.166186</v>
      </c>
      <c r="R1817">
        <v>-0.98208809999999902</v>
      </c>
      <c r="S1817">
        <v>0.51821899999999999</v>
      </c>
      <c r="T1817">
        <v>-0.25927030000000001</v>
      </c>
      <c r="U1817">
        <v>-3.050049</v>
      </c>
      <c r="V1817">
        <v>-0.1080353</v>
      </c>
      <c r="W1817">
        <v>0.1772772</v>
      </c>
      <c r="X1817">
        <v>0.97821329999999995</v>
      </c>
      <c r="Y1817">
        <v>-0.18488550000000001</v>
      </c>
      <c r="Z1817">
        <v>8.3355299999999993E-2</v>
      </c>
      <c r="AA1817">
        <v>0.9792187</v>
      </c>
      <c r="AB1817">
        <v>36</v>
      </c>
      <c r="AC1817">
        <v>2.2147999999999599</v>
      </c>
      <c r="AD1817">
        <v>-1.1064362137695001</v>
      </c>
      <c r="AE1817">
        <v>-12.69148</v>
      </c>
      <c r="AF1817">
        <v>-2.4281442671226001</v>
      </c>
      <c r="AG1817">
        <v>-1.1064362137695001</v>
      </c>
      <c r="AH1817">
        <v>12.5563346841203</v>
      </c>
      <c r="AI1817">
        <v>94.944630443662106</v>
      </c>
      <c r="AJ1817">
        <v>100.944764019411</v>
      </c>
      <c r="AK1817">
        <v>12.836729582597799</v>
      </c>
    </row>
    <row r="1818" spans="1:37" x14ac:dyDescent="0.2">
      <c r="A1818" t="str">
        <f>"20200111150626337"</f>
        <v>20200111150626337</v>
      </c>
      <c r="B1818" t="str">
        <f>"1578726386328218"</f>
        <v>1578726386328218</v>
      </c>
      <c r="C1818" t="s">
        <v>37</v>
      </c>
      <c r="D1818">
        <v>5.1216089999999896</v>
      </c>
      <c r="E1818">
        <v>0.46304059999999903</v>
      </c>
      <c r="F1818" t="s">
        <v>84</v>
      </c>
      <c r="G1818">
        <v>-411.85359999999997</v>
      </c>
      <c r="H1818">
        <v>8.8678159999999995</v>
      </c>
      <c r="I1818">
        <v>0.5602627</v>
      </c>
      <c r="J1818">
        <v>-421.96859999999998</v>
      </c>
      <c r="K1818">
        <v>1.106819</v>
      </c>
      <c r="L1818">
        <v>52.347659999999998</v>
      </c>
      <c r="M1818">
        <v>-1.3910240000000001E-2</v>
      </c>
      <c r="N1818">
        <v>0</v>
      </c>
      <c r="O1818">
        <v>-0.99982919999999997</v>
      </c>
      <c r="P1818">
        <v>9.1484700000000002E-2</v>
      </c>
      <c r="Q1818">
        <v>0.1674658</v>
      </c>
      <c r="R1818">
        <v>-0.98162419999999995</v>
      </c>
      <c r="S1818">
        <v>0.56796259999999998</v>
      </c>
      <c r="T1818">
        <v>0.43592579999999997</v>
      </c>
      <c r="U1818">
        <v>-2.9295960000000001</v>
      </c>
      <c r="V1818">
        <v>-0.10663309999999999</v>
      </c>
      <c r="W1818">
        <v>0.1784888</v>
      </c>
      <c r="X1818">
        <v>0.97814679999999998</v>
      </c>
      <c r="Y1818">
        <v>-0.20197100000000001</v>
      </c>
      <c r="Z1818">
        <v>-0.14432639999999999</v>
      </c>
      <c r="AA1818">
        <v>0.96869889999999903</v>
      </c>
      <c r="AB1818">
        <v>36</v>
      </c>
      <c r="AC1818">
        <v>10.115</v>
      </c>
      <c r="AD1818">
        <v>7.7609969999999997</v>
      </c>
      <c r="AE1818">
        <v>-51.787397300000002</v>
      </c>
      <c r="AF1818">
        <v>-10.605025658070801</v>
      </c>
      <c r="AG1818">
        <v>7.7609969999999997</v>
      </c>
      <c r="AH1818">
        <v>50.5481394263414</v>
      </c>
      <c r="AI1818">
        <v>81.454368737742698</v>
      </c>
      <c r="AJ1818">
        <v>101.848831763066</v>
      </c>
      <c r="AK1818">
        <v>52.228479234103702</v>
      </c>
    </row>
    <row r="1819" spans="1:37" x14ac:dyDescent="0.2">
      <c r="A1819" t="str">
        <f>"20200111150626380"</f>
        <v>20200111150626380</v>
      </c>
      <c r="B1819" t="str">
        <f>"1578726386377994"</f>
        <v>1578726386377994</v>
      </c>
      <c r="C1819" t="s">
        <v>37</v>
      </c>
      <c r="D1819">
        <v>4.6494070000000001</v>
      </c>
      <c r="E1819">
        <v>0.46569159999999998</v>
      </c>
      <c r="F1819" t="s">
        <v>39</v>
      </c>
      <c r="G1819">
        <v>-420.02280000000002</v>
      </c>
      <c r="H1819" s="1">
        <v>-9.1413689999999998E-7</v>
      </c>
      <c r="I1819">
        <v>41.705840000000002</v>
      </c>
      <c r="J1819">
        <v>-421.96850000000001</v>
      </c>
      <c r="K1819">
        <v>1.107486</v>
      </c>
      <c r="L1819">
        <v>51.654969999999999</v>
      </c>
      <c r="M1819">
        <v>-4.7231850000000004E-3</v>
      </c>
      <c r="N1819">
        <v>0</v>
      </c>
      <c r="O1819">
        <v>-0.99991450000000004</v>
      </c>
      <c r="P1819">
        <v>0.1002811</v>
      </c>
      <c r="Q1819">
        <v>0.1634736</v>
      </c>
      <c r="R1819">
        <v>-0.98143789999999997</v>
      </c>
      <c r="S1819">
        <v>0.55920409999999998</v>
      </c>
      <c r="T1819">
        <v>-0.31808550000000002</v>
      </c>
      <c r="U1819">
        <v>-3.058319</v>
      </c>
      <c r="V1819">
        <v>-0.1066711</v>
      </c>
      <c r="W1819">
        <v>0.17436740000000001</v>
      </c>
      <c r="X1819">
        <v>0.97888580000000003</v>
      </c>
      <c r="Y1819">
        <v>-0.18357599999999999</v>
      </c>
      <c r="Z1819">
        <v>0.101733399999999</v>
      </c>
      <c r="AA1819">
        <v>0.97772709999999996</v>
      </c>
      <c r="AB1819">
        <v>36</v>
      </c>
      <c r="AC1819">
        <v>1.94569999999998</v>
      </c>
      <c r="AD1819">
        <v>-1.1074869141368999</v>
      </c>
      <c r="AE1819">
        <v>-9.9491299999999896</v>
      </c>
      <c r="AF1819">
        <v>-1.9691721401545901</v>
      </c>
      <c r="AG1819">
        <v>-1.1074869141368999</v>
      </c>
      <c r="AH1819">
        <v>9.8225998858959507</v>
      </c>
      <c r="AI1819">
        <v>96.308391264732606</v>
      </c>
      <c r="AJ1819">
        <v>101.33602272013501</v>
      </c>
      <c r="AK1819">
        <v>10.079069138613299</v>
      </c>
    </row>
    <row r="1820" spans="1:37" x14ac:dyDescent="0.2">
      <c r="A1820" t="str">
        <f>"20200111150626409"</f>
        <v>20200111150626409</v>
      </c>
      <c r="B1820" t="str">
        <f>"1578726386398489"</f>
        <v>1578726386398489</v>
      </c>
      <c r="C1820" t="s">
        <v>37</v>
      </c>
      <c r="D1820">
        <v>6.4332120000000002</v>
      </c>
      <c r="E1820">
        <v>0.46805159999999901</v>
      </c>
      <c r="F1820" t="s">
        <v>39</v>
      </c>
      <c r="G1820">
        <v>-419.92779999999999</v>
      </c>
      <c r="H1820" s="1">
        <v>-4.62663799999999E-7</v>
      </c>
      <c r="I1820">
        <v>40.681399999999996</v>
      </c>
      <c r="J1820">
        <v>-421.96440000000001</v>
      </c>
      <c r="K1820">
        <v>1.1078950000000001</v>
      </c>
      <c r="L1820">
        <v>51.194309999999902</v>
      </c>
      <c r="M1820">
        <v>2.085347E-3</v>
      </c>
      <c r="N1820">
        <v>0</v>
      </c>
      <c r="O1820">
        <v>-0.99992320000000001</v>
      </c>
      <c r="P1820">
        <v>0.1089036</v>
      </c>
      <c r="Q1820">
        <v>0.16028529999999999</v>
      </c>
      <c r="R1820">
        <v>-0.98104480000000005</v>
      </c>
      <c r="S1820">
        <v>0.56719969999999997</v>
      </c>
      <c r="T1820">
        <v>-0.30782029999999999</v>
      </c>
      <c r="U1820">
        <v>-3.050049</v>
      </c>
      <c r="V1820">
        <v>-0.10875940000000001</v>
      </c>
      <c r="W1820">
        <v>0.171076799999999</v>
      </c>
      <c r="X1820">
        <v>0.97923649999999995</v>
      </c>
      <c r="Y1820">
        <v>-0.179885299999999</v>
      </c>
      <c r="Z1820">
        <v>9.8755670000000004E-2</v>
      </c>
      <c r="AA1820">
        <v>0.97871790000000003</v>
      </c>
      <c r="AB1820">
        <v>36</v>
      </c>
      <c r="AC1820">
        <v>2.0366000000000199</v>
      </c>
      <c r="AD1820">
        <v>-1.1078954626638</v>
      </c>
      <c r="AE1820">
        <v>-10.5129099999999</v>
      </c>
      <c r="AF1820">
        <v>-1.99333395857725</v>
      </c>
      <c r="AG1820">
        <v>-1.1078954626638</v>
      </c>
      <c r="AH1820">
        <v>10.405749945282</v>
      </c>
      <c r="AI1820">
        <v>95.9696233648028</v>
      </c>
      <c r="AJ1820">
        <v>100.844254663554</v>
      </c>
      <c r="AK1820">
        <v>10.6527200540681</v>
      </c>
    </row>
    <row r="1821" spans="1:37" x14ac:dyDescent="0.2">
      <c r="A1821" t="str">
        <f>"20200111150626432"</f>
        <v>20200111150626432</v>
      </c>
      <c r="B1821" t="str">
        <f>"1578726386428746"</f>
        <v>1578726386428746</v>
      </c>
      <c r="C1821" t="s">
        <v>37</v>
      </c>
      <c r="D1821">
        <v>6.8556949999999999</v>
      </c>
      <c r="E1821">
        <v>0.42306289999999902</v>
      </c>
      <c r="F1821" t="s">
        <v>39</v>
      </c>
      <c r="G1821">
        <v>-420.05590000000001</v>
      </c>
      <c r="H1821" s="1">
        <v>-6.5649280000000002E-7</v>
      </c>
      <c r="I1821">
        <v>41.084739999999996</v>
      </c>
      <c r="J1821">
        <v>-421.95839999999998</v>
      </c>
      <c r="K1821">
        <v>1.10822</v>
      </c>
      <c r="L1821">
        <v>50.819179999999903</v>
      </c>
      <c r="M1821">
        <v>8.0053199999999998E-3</v>
      </c>
      <c r="N1821">
        <v>0</v>
      </c>
      <c r="O1821">
        <v>-0.99989289999999997</v>
      </c>
      <c r="P1821">
        <v>0.11598</v>
      </c>
      <c r="Q1821">
        <v>0.15917709999999999</v>
      </c>
      <c r="R1821">
        <v>-0.98041399999999901</v>
      </c>
      <c r="S1821">
        <v>0.57553100000000001</v>
      </c>
      <c r="T1821">
        <v>-0.33410079999999998</v>
      </c>
      <c r="U1821">
        <v>-3.0486759999999999</v>
      </c>
      <c r="V1821">
        <v>-0.11015750000000001</v>
      </c>
      <c r="W1821">
        <v>0.1698848</v>
      </c>
      <c r="X1821">
        <v>0.97928769999999998</v>
      </c>
      <c r="Y1821">
        <v>-0.17656369999999999</v>
      </c>
      <c r="Z1821">
        <v>0.10714079999999999</v>
      </c>
      <c r="AA1821">
        <v>0.97844059999999899</v>
      </c>
      <c r="AB1821">
        <v>36</v>
      </c>
      <c r="AC1821">
        <v>1.9024999999999701</v>
      </c>
      <c r="AD1821">
        <v>-1.1082206564928001</v>
      </c>
      <c r="AE1821">
        <v>-9.7344399999999904</v>
      </c>
      <c r="AF1821">
        <v>-1.8020097343730299</v>
      </c>
      <c r="AG1821">
        <v>-1.1082206564928001</v>
      </c>
      <c r="AH1821">
        <v>9.6291497994722892</v>
      </c>
      <c r="AI1821">
        <v>96.454219646104903</v>
      </c>
      <c r="AJ1821">
        <v>100.59978919245199</v>
      </c>
      <c r="AK1821">
        <v>9.8587990124015406</v>
      </c>
    </row>
    <row r="1822" spans="1:37" x14ac:dyDescent="0.2">
      <c r="A1822" t="str">
        <f>"20200111150626455"</f>
        <v>20200111150626455</v>
      </c>
      <c r="B1822" t="str">
        <f>"1578726386448265"</f>
        <v>1578726386448265</v>
      </c>
      <c r="C1822" t="s">
        <v>37</v>
      </c>
      <c r="D1822">
        <v>6.428909</v>
      </c>
      <c r="E1822">
        <v>0.41028739999999903</v>
      </c>
      <c r="F1822" t="s">
        <v>84</v>
      </c>
      <c r="G1822">
        <v>-404.84309999999999</v>
      </c>
      <c r="H1822">
        <v>16.100709999999999</v>
      </c>
      <c r="I1822">
        <v>0.63158419999999904</v>
      </c>
      <c r="J1822">
        <v>-421.95030000000003</v>
      </c>
      <c r="K1822">
        <v>1.1085430000000001</v>
      </c>
      <c r="L1822">
        <v>50.46396</v>
      </c>
      <c r="M1822">
        <v>1.3976509999999999E-2</v>
      </c>
      <c r="N1822">
        <v>0</v>
      </c>
      <c r="O1822">
        <v>-0.99982709999999997</v>
      </c>
      <c r="P1822">
        <v>0.1225345</v>
      </c>
      <c r="Q1822">
        <v>0.15991349999999999</v>
      </c>
      <c r="R1822">
        <v>-0.97949649999999999</v>
      </c>
      <c r="S1822">
        <v>0.95837399999999995</v>
      </c>
      <c r="T1822">
        <v>0.83950809999999998</v>
      </c>
      <c r="U1822">
        <v>-2.8102719999999999</v>
      </c>
      <c r="V1822">
        <v>-0.1110071</v>
      </c>
      <c r="W1822">
        <v>0.17054359999999999</v>
      </c>
      <c r="X1822">
        <v>0.97907730000000004</v>
      </c>
      <c r="Y1822">
        <v>-0.29729549999999999</v>
      </c>
      <c r="Z1822">
        <v>-0.2726384</v>
      </c>
      <c r="AA1822">
        <v>0.91503210000000001</v>
      </c>
      <c r="AB1822">
        <v>36</v>
      </c>
      <c r="AC1822">
        <v>17.107199999999999</v>
      </c>
      <c r="AD1822">
        <v>14.992166999999901</v>
      </c>
      <c r="AE1822">
        <v>-49.832375800000001</v>
      </c>
      <c r="AF1822">
        <v>-15.179885629419999</v>
      </c>
      <c r="AG1822">
        <v>14.992166999999901</v>
      </c>
      <c r="AH1822">
        <v>46.316407271836603</v>
      </c>
      <c r="AI1822">
        <v>72.902551103284495</v>
      </c>
      <c r="AJ1822">
        <v>108.146202961173</v>
      </c>
      <c r="AK1822">
        <v>50.994152426026297</v>
      </c>
    </row>
    <row r="1823" spans="1:37" x14ac:dyDescent="0.2">
      <c r="A1823" t="str">
        <f>"20200111150626475"</f>
        <v>20200111150626475</v>
      </c>
      <c r="B1823" t="str">
        <f>"1578726386468763"</f>
        <v>1578726386468763</v>
      </c>
      <c r="C1823" t="s">
        <v>37</v>
      </c>
      <c r="D1823">
        <v>5.9634279999999897</v>
      </c>
      <c r="E1823">
        <v>0.40379690000000001</v>
      </c>
      <c r="F1823" t="s">
        <v>84</v>
      </c>
      <c r="G1823">
        <v>-402.74720000000002</v>
      </c>
      <c r="H1823">
        <v>15.628079999999899</v>
      </c>
      <c r="I1823">
        <v>0.6529007</v>
      </c>
      <c r="J1823">
        <v>-421.94029999999998</v>
      </c>
      <c r="K1823">
        <v>1.108854</v>
      </c>
      <c r="L1823">
        <v>50.128390000000003</v>
      </c>
      <c r="M1823">
        <v>1.991532E-2</v>
      </c>
      <c r="N1823">
        <v>0</v>
      </c>
      <c r="O1823">
        <v>-0.99972619999999901</v>
      </c>
      <c r="P1823">
        <v>0.12905449999999999</v>
      </c>
      <c r="Q1823">
        <v>0.1603811</v>
      </c>
      <c r="R1823">
        <v>-0.97858230000000002</v>
      </c>
      <c r="S1823">
        <v>1.077515</v>
      </c>
      <c r="T1823">
        <v>0.81471439999999995</v>
      </c>
      <c r="U1823">
        <v>-2.7949830000000002</v>
      </c>
      <c r="V1823">
        <v>-0.1118509</v>
      </c>
      <c r="W1823">
        <v>0.17093820000000001</v>
      </c>
      <c r="X1823">
        <v>0.97891240000000002</v>
      </c>
      <c r="Y1823">
        <v>-0.32838279999999997</v>
      </c>
      <c r="Z1823">
        <v>-0.26329639999999999</v>
      </c>
      <c r="AA1823">
        <v>0.9071051</v>
      </c>
      <c r="AB1823">
        <v>36</v>
      </c>
      <c r="AC1823">
        <v>19.193099999999902</v>
      </c>
      <c r="AD1823">
        <v>14.519226</v>
      </c>
      <c r="AE1823">
        <v>-49.4754893</v>
      </c>
      <c r="AF1823">
        <v>-16.936135817573099</v>
      </c>
      <c r="AG1823">
        <v>14.519226</v>
      </c>
      <c r="AH1823">
        <v>46.376412542628202</v>
      </c>
      <c r="AI1823">
        <v>73.612574637392797</v>
      </c>
      <c r="AJ1823">
        <v>110.06161569640101</v>
      </c>
      <c r="AK1823">
        <v>51.462726903987502</v>
      </c>
    </row>
    <row r="1824" spans="1:37" x14ac:dyDescent="0.2">
      <c r="A1824" t="str">
        <f>"20200111150626515"</f>
        <v>20200111150626515</v>
      </c>
      <c r="B1824" t="str">
        <f>"1578726386508778"</f>
        <v>1578726386508778</v>
      </c>
      <c r="C1824" t="s">
        <v>37</v>
      </c>
      <c r="D1824">
        <v>9.8233130000000006</v>
      </c>
      <c r="E1824">
        <v>0.295303599999999</v>
      </c>
      <c r="F1824" t="s">
        <v>84</v>
      </c>
      <c r="G1824">
        <v>-401.54599999999999</v>
      </c>
      <c r="H1824">
        <v>15.541179999999899</v>
      </c>
      <c r="I1824">
        <v>0.66511540000000002</v>
      </c>
      <c r="J1824">
        <v>-421.91539999999998</v>
      </c>
      <c r="K1824">
        <v>1.1094029999999999</v>
      </c>
      <c r="L1824">
        <v>49.490139999999997</v>
      </c>
      <c r="M1824">
        <v>3.187707E-2</v>
      </c>
      <c r="N1824">
        <v>0</v>
      </c>
      <c r="O1824">
        <v>-0.99941559999999896</v>
      </c>
      <c r="P1824">
        <v>0.144087299999999</v>
      </c>
      <c r="Q1824">
        <v>0.16189579999999901</v>
      </c>
      <c r="R1824">
        <v>-0.97623199999999999</v>
      </c>
      <c r="S1824">
        <v>1.14682</v>
      </c>
      <c r="T1824">
        <v>0.81156090000000003</v>
      </c>
      <c r="U1824">
        <v>-2.7814329999999998</v>
      </c>
      <c r="V1824">
        <v>-0.115456399999999</v>
      </c>
      <c r="W1824">
        <v>0.1722921</v>
      </c>
      <c r="X1824">
        <v>0.97825620000000002</v>
      </c>
      <c r="Y1824">
        <v>-0.33825060000000001</v>
      </c>
      <c r="Z1824">
        <v>-0.2617874</v>
      </c>
      <c r="AA1824">
        <v>0.90391030000000006</v>
      </c>
      <c r="AB1824">
        <v>36</v>
      </c>
      <c r="AC1824">
        <v>20.369399999999899</v>
      </c>
      <c r="AD1824">
        <v>14.431776999999901</v>
      </c>
      <c r="AE1824">
        <v>-48.825024599999999</v>
      </c>
      <c r="AF1824">
        <v>-17.500226142052899</v>
      </c>
      <c r="AG1824">
        <v>14.431776999999901</v>
      </c>
      <c r="AH1824">
        <v>46.024591243606402</v>
      </c>
      <c r="AI1824">
        <v>73.664458686293997</v>
      </c>
      <c r="AJ1824">
        <v>110.81862710361401</v>
      </c>
      <c r="AK1824">
        <v>51.310789328773502</v>
      </c>
    </row>
    <row r="1825" spans="1:37" x14ac:dyDescent="0.2">
      <c r="A1825" t="str">
        <f>"20200111150626538"</f>
        <v>20200111150626538</v>
      </c>
      <c r="B1825" t="str">
        <f>"1578726386528298"</f>
        <v>1578726386528298</v>
      </c>
      <c r="C1825" t="s">
        <v>37</v>
      </c>
      <c r="D1825">
        <v>5.2509940000000004</v>
      </c>
      <c r="E1825">
        <v>0.3910189</v>
      </c>
      <c r="F1825" t="s">
        <v>84</v>
      </c>
      <c r="G1825">
        <v>-384.95370000000003</v>
      </c>
      <c r="H1825">
        <v>11.25869</v>
      </c>
      <c r="I1825">
        <v>1.144333</v>
      </c>
      <c r="J1825">
        <v>-421.89620000000002</v>
      </c>
      <c r="K1825">
        <v>1.109707</v>
      </c>
      <c r="L1825">
        <v>49.105989999999998</v>
      </c>
      <c r="M1825">
        <v>3.9502099999999998E-2</v>
      </c>
      <c r="N1825">
        <v>0</v>
      </c>
      <c r="O1825">
        <v>-0.99914309999999995</v>
      </c>
      <c r="P1825">
        <v>0.15213779999999999</v>
      </c>
      <c r="Q1825">
        <v>0.16232079999999999</v>
      </c>
      <c r="R1825">
        <v>-0.97493920000000001</v>
      </c>
      <c r="S1825">
        <v>2.0471499999999998</v>
      </c>
      <c r="T1825">
        <v>0.56212519999999999</v>
      </c>
      <c r="U1825">
        <v>-2.677673</v>
      </c>
      <c r="V1825">
        <v>-0.1162</v>
      </c>
      <c r="W1825">
        <v>0.1726472</v>
      </c>
      <c r="X1825">
        <v>0.97810549999999996</v>
      </c>
      <c r="Y1825">
        <v>-0.56707010000000002</v>
      </c>
      <c r="Z1825">
        <v>-0.16641589999999901</v>
      </c>
      <c r="AA1825">
        <v>0.80668280000000003</v>
      </c>
      <c r="AB1825">
        <v>36</v>
      </c>
      <c r="AC1825">
        <v>36.942500000000003</v>
      </c>
      <c r="AD1825">
        <v>10.148982999999999</v>
      </c>
      <c r="AE1825">
        <v>-47.961657000000002</v>
      </c>
      <c r="AF1825">
        <v>-34.061672976741797</v>
      </c>
      <c r="AG1825">
        <v>10.148982999999999</v>
      </c>
      <c r="AH1825">
        <v>48.033711150316698</v>
      </c>
      <c r="AI1825">
        <v>80.220986341441304</v>
      </c>
      <c r="AJ1825">
        <v>125.34122215158</v>
      </c>
      <c r="AK1825">
        <v>59.753132376310298</v>
      </c>
    </row>
    <row r="1826" spans="1:37" x14ac:dyDescent="0.2">
      <c r="A1826" t="str">
        <f>"20200111150626560"</f>
        <v>20200111150626560</v>
      </c>
      <c r="B1826" t="str">
        <f>"1578726386548793"</f>
        <v>1578726386548793</v>
      </c>
      <c r="C1826" t="s">
        <v>37</v>
      </c>
      <c r="D1826">
        <v>5.0930559999999998</v>
      </c>
      <c r="E1826">
        <v>0.38677499999999998</v>
      </c>
      <c r="F1826" t="s">
        <v>85</v>
      </c>
      <c r="G1826">
        <v>-408.1001</v>
      </c>
      <c r="H1826" s="1">
        <v>-4.3469599999999998E-6</v>
      </c>
      <c r="I1826">
        <v>18.93196</v>
      </c>
      <c r="J1826">
        <v>-421.87520000000001</v>
      </c>
      <c r="K1826">
        <v>1.1099619999999999</v>
      </c>
      <c r="L1826">
        <v>48.743159999999897</v>
      </c>
      <c r="M1826">
        <v>4.6955539999999997E-2</v>
      </c>
      <c r="N1826">
        <v>0</v>
      </c>
      <c r="O1826">
        <v>-0.99882019999999905</v>
      </c>
      <c r="P1826">
        <v>0.16043740000000001</v>
      </c>
      <c r="Q1826">
        <v>0.163241</v>
      </c>
      <c r="R1826">
        <v>-0.97345419999999905</v>
      </c>
      <c r="S1826">
        <v>1.32077</v>
      </c>
      <c r="T1826">
        <v>-0.1062379</v>
      </c>
      <c r="U1826">
        <v>-2.8887019999999999</v>
      </c>
      <c r="V1826">
        <v>-0.1173696</v>
      </c>
      <c r="W1826">
        <v>0.17349719999999999</v>
      </c>
      <c r="X1826">
        <v>0.9778154</v>
      </c>
      <c r="Y1826">
        <v>-0.37241609999999897</v>
      </c>
      <c r="Z1826">
        <v>3.3694549999999997E-2</v>
      </c>
      <c r="AA1826">
        <v>0.927454</v>
      </c>
      <c r="AB1826">
        <v>36</v>
      </c>
      <c r="AC1826">
        <v>13.7751</v>
      </c>
      <c r="AD1826">
        <v>-1.1099663469600001</v>
      </c>
      <c r="AE1826">
        <v>-29.811199999999999</v>
      </c>
      <c r="AF1826">
        <v>-12.345891252421501</v>
      </c>
      <c r="AG1826">
        <v>-1.1099663469600001</v>
      </c>
      <c r="AH1826">
        <v>30.390461661448601</v>
      </c>
      <c r="AI1826">
        <v>91.938029547023405</v>
      </c>
      <c r="AJ1826">
        <v>112.10907000053299</v>
      </c>
      <c r="AK1826">
        <v>32.821231178978898</v>
      </c>
    </row>
    <row r="1827" spans="1:37" x14ac:dyDescent="0.2">
      <c r="A1827" t="str">
        <f>"20200111150626585"</f>
        <v>20200111150626585</v>
      </c>
      <c r="B1827" t="str">
        <f>"1578726386578074"</f>
        <v>1578726386578074</v>
      </c>
      <c r="C1827" t="s">
        <v>37</v>
      </c>
      <c r="D1827">
        <v>5.2300149999999999</v>
      </c>
      <c r="E1827">
        <v>0.38760749999999999</v>
      </c>
      <c r="F1827" t="s">
        <v>85</v>
      </c>
      <c r="G1827">
        <v>-403.06699999999898</v>
      </c>
      <c r="H1827">
        <v>2.7839909999999999E-2</v>
      </c>
      <c r="I1827">
        <v>9.6162279999999996</v>
      </c>
      <c r="J1827">
        <v>-421.84840000000003</v>
      </c>
      <c r="K1827">
        <v>1.1102609999999999</v>
      </c>
      <c r="L1827">
        <v>48.337159999999997</v>
      </c>
      <c r="M1827">
        <v>5.56351E-2</v>
      </c>
      <c r="N1827">
        <v>0</v>
      </c>
      <c r="O1827">
        <v>-0.99837389999999904</v>
      </c>
      <c r="P1827">
        <v>0.17003119999999999</v>
      </c>
      <c r="Q1827">
        <v>0.1643184</v>
      </c>
      <c r="R1827">
        <v>-0.97164249999999996</v>
      </c>
      <c r="S1827">
        <v>1.378601</v>
      </c>
      <c r="T1827">
        <v>-7.9317209999999999E-2</v>
      </c>
      <c r="U1827">
        <v>-2.8679199999999998</v>
      </c>
      <c r="V1827">
        <v>-0.1186738</v>
      </c>
      <c r="W1827">
        <v>0.17449319999999999</v>
      </c>
      <c r="X1827">
        <v>0.97748080000000004</v>
      </c>
      <c r="Y1827">
        <v>-0.3822873</v>
      </c>
      <c r="Z1827">
        <v>2.5155569999999999E-2</v>
      </c>
      <c r="AA1827">
        <v>0.92370099999999999</v>
      </c>
      <c r="AB1827">
        <v>36</v>
      </c>
      <c r="AC1827">
        <v>18.781400000000001</v>
      </c>
      <c r="AD1827">
        <v>-1.08242109</v>
      </c>
      <c r="AE1827">
        <v>-38.720931999999998</v>
      </c>
      <c r="AF1827">
        <v>-16.587403708957599</v>
      </c>
      <c r="AG1827">
        <v>-1.08242109</v>
      </c>
      <c r="AH1827">
        <v>39.680833534346498</v>
      </c>
      <c r="AI1827">
        <v>91.441701414199301</v>
      </c>
      <c r="AJ1827">
        <v>112.685929662101</v>
      </c>
      <c r="AK1827">
        <v>43.021879865953501</v>
      </c>
    </row>
    <row r="1828" spans="1:37" x14ac:dyDescent="0.2">
      <c r="A1828" t="str">
        <f>"20200111150626605"</f>
        <v>20200111150626605</v>
      </c>
      <c r="B1828" t="str">
        <f>"1578726386598570"</f>
        <v>1578726386598570</v>
      </c>
      <c r="C1828" t="s">
        <v>37</v>
      </c>
      <c r="D1828">
        <v>5.20512</v>
      </c>
      <c r="E1828">
        <v>0.38935120000000001</v>
      </c>
      <c r="F1828" t="s">
        <v>85</v>
      </c>
      <c r="G1828">
        <v>-403.38350000000003</v>
      </c>
      <c r="H1828" s="1">
        <v>-5.1882209999999997E-6</v>
      </c>
      <c r="I1828">
        <v>10.6555</v>
      </c>
      <c r="J1828">
        <v>-421.82470000000001</v>
      </c>
      <c r="K1828">
        <v>1.1105149999999999</v>
      </c>
      <c r="L1828">
        <v>48.021239999999999</v>
      </c>
      <c r="M1828">
        <v>6.2659640000000003E-2</v>
      </c>
      <c r="N1828">
        <v>0</v>
      </c>
      <c r="O1828">
        <v>-0.99795750000000005</v>
      </c>
      <c r="P1828">
        <v>0.17771400000000001</v>
      </c>
      <c r="Q1828">
        <v>0.1651842</v>
      </c>
      <c r="R1828">
        <v>-0.97011970000000003</v>
      </c>
      <c r="S1828">
        <v>1.399902</v>
      </c>
      <c r="T1828">
        <v>-8.4174159999999998E-2</v>
      </c>
      <c r="U1828">
        <v>-2.8568119999999899</v>
      </c>
      <c r="V1828">
        <v>-0.1196618</v>
      </c>
      <c r="W1828">
        <v>0.17529500000000001</v>
      </c>
      <c r="X1828">
        <v>0.9772168</v>
      </c>
      <c r="Y1828">
        <v>-0.38273849999999998</v>
      </c>
      <c r="Z1828">
        <v>2.672706E-2</v>
      </c>
      <c r="AA1828">
        <v>0.92347000000000001</v>
      </c>
      <c r="AB1828">
        <v>36</v>
      </c>
      <c r="AC1828">
        <v>18.441199999999899</v>
      </c>
      <c r="AD1828">
        <v>-1.1105201882209901</v>
      </c>
      <c r="AE1828">
        <v>-37.365740000000002</v>
      </c>
      <c r="AF1828">
        <v>-16.0520501990611</v>
      </c>
      <c r="AG1828">
        <v>-1.1105201882209901</v>
      </c>
      <c r="AH1828">
        <v>38.420621843318997</v>
      </c>
      <c r="AI1828">
        <v>91.527724652451099</v>
      </c>
      <c r="AJ1828">
        <v>112.675063401416</v>
      </c>
      <c r="AK1828">
        <v>41.653880413581398</v>
      </c>
    </row>
    <row r="1829" spans="1:37" x14ac:dyDescent="0.2">
      <c r="A1829" t="str">
        <f>"20200111150626627"</f>
        <v>20200111150626627</v>
      </c>
      <c r="B1829" t="str">
        <f>"1578726386618089"</f>
        <v>1578726386618089</v>
      </c>
      <c r="C1829" t="s">
        <v>37</v>
      </c>
      <c r="D1829">
        <v>7.4755789999999998</v>
      </c>
      <c r="E1829">
        <v>0.38987509999999997</v>
      </c>
      <c r="F1829" t="s">
        <v>85</v>
      </c>
      <c r="G1829">
        <v>-404.94439999999997</v>
      </c>
      <c r="H1829" s="1">
        <v>-5.0342759999999903E-6</v>
      </c>
      <c r="I1829">
        <v>13.87524</v>
      </c>
      <c r="J1829">
        <v>-421.79579999999999</v>
      </c>
      <c r="K1829">
        <v>1.110814</v>
      </c>
      <c r="L1829">
        <v>47.671079999999897</v>
      </c>
      <c r="M1829">
        <v>7.0725739999999995E-2</v>
      </c>
      <c r="N1829">
        <v>0</v>
      </c>
      <c r="O1829">
        <v>-0.99741789999999997</v>
      </c>
      <c r="P1829">
        <v>0.18580389999999999</v>
      </c>
      <c r="Q1829">
        <v>0.16538249999999999</v>
      </c>
      <c r="R1829">
        <v>-0.96856900000000001</v>
      </c>
      <c r="S1829">
        <v>1.4089659999999999</v>
      </c>
      <c r="T1829">
        <v>-9.2692849999999993E-2</v>
      </c>
      <c r="U1829">
        <v>-2.850098</v>
      </c>
      <c r="V1829">
        <v>-0.1200483</v>
      </c>
      <c r="W1829">
        <v>0.17543539999999999</v>
      </c>
      <c r="X1829">
        <v>0.97714419999999902</v>
      </c>
      <c r="Y1829">
        <v>-0.37845390000000001</v>
      </c>
      <c r="Z1829">
        <v>2.9474569999999999E-2</v>
      </c>
      <c r="AA1829">
        <v>0.92515079999999905</v>
      </c>
      <c r="AB1829">
        <v>36</v>
      </c>
      <c r="AC1829">
        <v>16.851400000000002</v>
      </c>
      <c r="AD1829">
        <v>-1.110819034276</v>
      </c>
      <c r="AE1829">
        <v>-33.795839999999998</v>
      </c>
      <c r="AF1829">
        <v>-14.4063079404691</v>
      </c>
      <c r="AG1829">
        <v>-1.110819034276</v>
      </c>
      <c r="AH1829">
        <v>34.872942750644597</v>
      </c>
      <c r="AI1829">
        <v>91.686307586509699</v>
      </c>
      <c r="AJ1829">
        <v>112.44593422459801</v>
      </c>
      <c r="AK1829">
        <v>37.747817996438798</v>
      </c>
    </row>
    <row r="1830" spans="1:37" x14ac:dyDescent="0.2">
      <c r="A1830" t="str">
        <f>"20200111150626650"</f>
        <v>20200111150626650</v>
      </c>
      <c r="B1830" t="str">
        <f>"1578726386648345"</f>
        <v>1578726386648345</v>
      </c>
      <c r="C1830" t="s">
        <v>37</v>
      </c>
      <c r="D1830">
        <v>5.1746160000000003</v>
      </c>
      <c r="E1830">
        <v>0.39001459999999999</v>
      </c>
      <c r="F1830" t="s">
        <v>85</v>
      </c>
      <c r="G1830">
        <v>-405.16930000000002</v>
      </c>
      <c r="H1830" s="1">
        <v>-5.0568719999999999E-6</v>
      </c>
      <c r="I1830">
        <v>14.635079999999901</v>
      </c>
      <c r="J1830">
        <v>-421.76150000000001</v>
      </c>
      <c r="K1830">
        <v>1.111138</v>
      </c>
      <c r="L1830">
        <v>47.29712</v>
      </c>
      <c r="M1830">
        <v>7.9670879999999999E-2</v>
      </c>
      <c r="N1830">
        <v>0</v>
      </c>
      <c r="O1830">
        <v>-0.99674249999999998</v>
      </c>
      <c r="P1830">
        <v>0.1951706</v>
      </c>
      <c r="Q1830">
        <v>0.16562399999999999</v>
      </c>
      <c r="R1830">
        <v>-0.96668349999999903</v>
      </c>
      <c r="S1830">
        <v>1.4290769999999999</v>
      </c>
      <c r="T1830">
        <v>-9.5477099999999995E-2</v>
      </c>
      <c r="U1830">
        <v>-2.8395079999999999</v>
      </c>
      <c r="V1830">
        <v>-0.12088930000000001</v>
      </c>
      <c r="W1830">
        <v>0.17560629999999999</v>
      </c>
      <c r="X1830">
        <v>0.97700980000000004</v>
      </c>
      <c r="Y1830">
        <v>-0.37675029999999998</v>
      </c>
      <c r="Z1830">
        <v>3.039416E-2</v>
      </c>
      <c r="AA1830">
        <v>0.92581610000000003</v>
      </c>
      <c r="AB1830">
        <v>36</v>
      </c>
      <c r="AC1830">
        <v>16.592199999999899</v>
      </c>
      <c r="AD1830">
        <v>-1.111143056872</v>
      </c>
      <c r="AE1830">
        <v>-32.662039999999998</v>
      </c>
      <c r="AF1830">
        <v>-13.924221894756499</v>
      </c>
      <c r="AG1830">
        <v>-1.111143056872</v>
      </c>
      <c r="AH1830">
        <v>33.849078684479998</v>
      </c>
      <c r="AI1830">
        <v>91.738859649191596</v>
      </c>
      <c r="AJ1830">
        <v>112.360399790953</v>
      </c>
      <c r="AK1830">
        <v>36.6180108970349</v>
      </c>
    </row>
    <row r="1831" spans="1:37" x14ac:dyDescent="0.2">
      <c r="A1831" t="str">
        <f>"20200111150626672"</f>
        <v>20200111150626672</v>
      </c>
      <c r="B1831" t="str">
        <f>"1578726386668841"</f>
        <v>1578726386668841</v>
      </c>
      <c r="C1831" t="s">
        <v>37</v>
      </c>
      <c r="D1831">
        <v>5.1866050000000001</v>
      </c>
      <c r="E1831">
        <v>0.39072829999999997</v>
      </c>
      <c r="F1831" t="s">
        <v>85</v>
      </c>
      <c r="G1831">
        <v>-404.9812</v>
      </c>
      <c r="H1831" s="1">
        <v>-5.1629990000000001E-6</v>
      </c>
      <c r="I1831">
        <v>14.699539999999899</v>
      </c>
      <c r="J1831">
        <v>-421.726</v>
      </c>
      <c r="K1831">
        <v>1.11144</v>
      </c>
      <c r="L1831">
        <v>46.945740000000001</v>
      </c>
      <c r="M1831">
        <v>8.8402949999999994E-2</v>
      </c>
      <c r="N1831">
        <v>0</v>
      </c>
      <c r="O1831">
        <v>-0.99600569999999899</v>
      </c>
      <c r="P1831">
        <v>0.20485599999999901</v>
      </c>
      <c r="Q1831">
        <v>0.16668920000000001</v>
      </c>
      <c r="R1831">
        <v>-0.96449430000000003</v>
      </c>
      <c r="S1831">
        <v>1.454834</v>
      </c>
      <c r="T1831">
        <v>-9.6334820000000002E-2</v>
      </c>
      <c r="U1831">
        <v>-2.8261720000000001</v>
      </c>
      <c r="V1831">
        <v>-0.122298399999999</v>
      </c>
      <c r="W1831">
        <v>0.1765901</v>
      </c>
      <c r="X1831">
        <v>0.97665709999999994</v>
      </c>
      <c r="Y1831">
        <v>-0.37707629999999998</v>
      </c>
      <c r="Z1831">
        <v>3.069883E-2</v>
      </c>
      <c r="AA1831">
        <v>0.92567330000000003</v>
      </c>
      <c r="AB1831">
        <v>36</v>
      </c>
      <c r="AC1831">
        <v>16.744799999999898</v>
      </c>
      <c r="AD1831">
        <v>-1.1114451629990001</v>
      </c>
      <c r="AE1831">
        <v>-32.246200000000002</v>
      </c>
      <c r="AF1831">
        <v>-13.8154194832449</v>
      </c>
      <c r="AG1831">
        <v>-1.1114451629990001</v>
      </c>
      <c r="AH1831">
        <v>33.568925639384403</v>
      </c>
      <c r="AI1831">
        <v>91.753720533721193</v>
      </c>
      <c r="AJ1831">
        <v>112.36980293126101</v>
      </c>
      <c r="AK1831">
        <v>36.317680190657804</v>
      </c>
    </row>
    <row r="1832" spans="1:37" x14ac:dyDescent="0.2">
      <c r="A1832" t="str">
        <f>"20200111150626696"</f>
        <v>20200111150626696</v>
      </c>
      <c r="B1832" t="str">
        <f>"1578726386688361"</f>
        <v>1578726386688361</v>
      </c>
      <c r="C1832" t="s">
        <v>37</v>
      </c>
      <c r="D1832">
        <v>4.7403930000000001</v>
      </c>
      <c r="E1832">
        <v>0.39084930000000001</v>
      </c>
      <c r="F1832" t="s">
        <v>85</v>
      </c>
      <c r="G1832">
        <v>-405.21809999999999</v>
      </c>
      <c r="H1832" s="1">
        <v>-5.1854889999999996E-6</v>
      </c>
      <c r="I1832">
        <v>15.495479999999899</v>
      </c>
      <c r="J1832">
        <v>-421.68419999999998</v>
      </c>
      <c r="K1832">
        <v>1.1117619999999999</v>
      </c>
      <c r="L1832">
        <v>46.573</v>
      </c>
      <c r="M1832">
        <v>9.8056130000000005E-2</v>
      </c>
      <c r="N1832">
        <v>0</v>
      </c>
      <c r="O1832">
        <v>-0.99510109999999996</v>
      </c>
      <c r="P1832">
        <v>0.21498929999999999</v>
      </c>
      <c r="Q1832">
        <v>0.1673801</v>
      </c>
      <c r="R1832">
        <v>-0.96216610000000002</v>
      </c>
      <c r="S1832">
        <v>1.47699</v>
      </c>
      <c r="T1832">
        <v>-9.9442719999999998E-2</v>
      </c>
      <c r="U1832">
        <v>-2.813904</v>
      </c>
      <c r="V1832">
        <v>-0.123270899999999</v>
      </c>
      <c r="W1832">
        <v>0.17720729999999901</v>
      </c>
      <c r="X1832">
        <v>0.97642299999999904</v>
      </c>
      <c r="Y1832">
        <v>-0.37545450000000002</v>
      </c>
      <c r="Z1832">
        <v>3.1723000000000001E-2</v>
      </c>
      <c r="AA1832">
        <v>0.92629779999999995</v>
      </c>
      <c r="AB1832">
        <v>36</v>
      </c>
      <c r="AC1832">
        <v>16.466099999999901</v>
      </c>
      <c r="AD1832">
        <v>-1.1117671854890001</v>
      </c>
      <c r="AE1832">
        <v>-31.07752</v>
      </c>
      <c r="AF1832">
        <v>-13.325836084808699</v>
      </c>
      <c r="AG1832">
        <v>-1.1117671854890001</v>
      </c>
      <c r="AH1832">
        <v>32.509974454722901</v>
      </c>
      <c r="AI1832">
        <v>91.812383975511693</v>
      </c>
      <c r="AJ1832">
        <v>112.288720258919</v>
      </c>
      <c r="AK1832">
        <v>35.152700787857803</v>
      </c>
    </row>
    <row r="1833" spans="1:37" x14ac:dyDescent="0.2">
      <c r="A1833" t="str">
        <f>"20200111150626715"</f>
        <v>20200111150626715</v>
      </c>
      <c r="B1833" t="str">
        <f>"1578726386708858"</f>
        <v>1578726386708858</v>
      </c>
      <c r="C1833" t="s">
        <v>37</v>
      </c>
      <c r="D1833">
        <v>5.1318349999999997</v>
      </c>
      <c r="E1833">
        <v>0.3915459</v>
      </c>
      <c r="F1833" t="s">
        <v>38</v>
      </c>
      <c r="G1833">
        <v>-421.13150000000002</v>
      </c>
      <c r="H1833">
        <v>1.0757620000000001</v>
      </c>
      <c r="I1833">
        <v>45.545009999999998</v>
      </c>
      <c r="J1833">
        <v>-421.64499999999998</v>
      </c>
      <c r="K1833">
        <v>1.1120399999999999</v>
      </c>
      <c r="L1833">
        <v>46.250239999999998</v>
      </c>
      <c r="M1833">
        <v>0.1066974</v>
      </c>
      <c r="N1833">
        <v>0</v>
      </c>
      <c r="O1833">
        <v>-0.99421109999999902</v>
      </c>
      <c r="P1833">
        <v>0.22231129999999999</v>
      </c>
      <c r="Q1833">
        <v>0.16841029999999901</v>
      </c>
      <c r="R1833">
        <v>-0.96032070000000003</v>
      </c>
      <c r="S1833">
        <v>1.5053099999999999</v>
      </c>
      <c r="T1833">
        <v>-9.7997070000000006E-2</v>
      </c>
      <c r="U1833">
        <v>-2.798645</v>
      </c>
      <c r="V1833">
        <v>-0.12238589999999901</v>
      </c>
      <c r="W1833">
        <v>0.17821289999999901</v>
      </c>
      <c r="X1833">
        <v>0.97635130000000003</v>
      </c>
      <c r="Y1833">
        <v>-0.37678600000000001</v>
      </c>
      <c r="Z1833">
        <v>3.1291060000000002E-2</v>
      </c>
      <c r="AA1833">
        <v>0.92577169999999898</v>
      </c>
      <c r="AB1833">
        <v>36</v>
      </c>
      <c r="AC1833">
        <v>0.51349999999996498</v>
      </c>
      <c r="AD1833">
        <v>-3.6277999999999803E-2</v>
      </c>
      <c r="AE1833">
        <v>-0.70523000000000702</v>
      </c>
      <c r="AF1833">
        <v>-0.43456449301356498</v>
      </c>
      <c r="AG1833">
        <v>-3.6277999999999803E-2</v>
      </c>
      <c r="AH1833">
        <v>0.754691943781437</v>
      </c>
      <c r="AI1833">
        <v>92.3854152738691</v>
      </c>
      <c r="AJ1833">
        <v>119.934071261528</v>
      </c>
      <c r="AK1833">
        <v>0.87162051483471903</v>
      </c>
    </row>
    <row r="1834" spans="1:37" x14ac:dyDescent="0.2">
      <c r="A1834" t="str">
        <f>"20200111150626739"</f>
        <v>20200111150626739</v>
      </c>
      <c r="B1834" t="str">
        <f>"1578726386728377"</f>
        <v>1578726386728377</v>
      </c>
      <c r="C1834" t="s">
        <v>37</v>
      </c>
      <c r="D1834">
        <v>5.144698</v>
      </c>
      <c r="E1834">
        <v>0.39175179999999998</v>
      </c>
      <c r="F1834" t="s">
        <v>85</v>
      </c>
      <c r="G1834">
        <v>-404.09550000000002</v>
      </c>
      <c r="H1834" s="1">
        <v>-5.4770320000000003E-6</v>
      </c>
      <c r="I1834">
        <v>14.141069999999999</v>
      </c>
      <c r="J1834">
        <v>-421.59660000000002</v>
      </c>
      <c r="K1834">
        <v>1.1123350000000001</v>
      </c>
      <c r="L1834">
        <v>45.882689999999997</v>
      </c>
      <c r="M1834">
        <v>0.1168426</v>
      </c>
      <c r="N1834">
        <v>0</v>
      </c>
      <c r="O1834">
        <v>-0.99306939999999999</v>
      </c>
      <c r="P1834">
        <v>0.23153979999999899</v>
      </c>
      <c r="Q1834">
        <v>0.1684668</v>
      </c>
      <c r="R1834">
        <v>-0.95812739999999996</v>
      </c>
      <c r="S1834">
        <v>1.523865</v>
      </c>
      <c r="T1834">
        <v>-9.6561549999999996E-2</v>
      </c>
      <c r="U1834">
        <v>-2.788116</v>
      </c>
      <c r="V1834">
        <v>-0.1219426</v>
      </c>
      <c r="W1834">
        <v>0.17823820000000001</v>
      </c>
      <c r="X1834">
        <v>0.976402199999999</v>
      </c>
      <c r="Y1834">
        <v>-0.37354759999999998</v>
      </c>
      <c r="Z1834">
        <v>3.0856310000000001E-2</v>
      </c>
      <c r="AA1834">
        <v>0.92709759999999997</v>
      </c>
      <c r="AB1834">
        <v>36</v>
      </c>
      <c r="AC1834">
        <v>17.501100000000001</v>
      </c>
      <c r="AD1834">
        <v>-1.112340477032</v>
      </c>
      <c r="AE1834">
        <v>-31.741620000000001</v>
      </c>
      <c r="AF1834">
        <v>-13.659270191898599</v>
      </c>
      <c r="AG1834">
        <v>-1.112340477032</v>
      </c>
      <c r="AH1834">
        <v>33.537623170427104</v>
      </c>
      <c r="AI1834">
        <v>91.759401215949396</v>
      </c>
      <c r="AJ1834">
        <v>112.160183017017</v>
      </c>
      <c r="AK1834">
        <v>36.2296167718305</v>
      </c>
    </row>
    <row r="1835" spans="1:37" x14ac:dyDescent="0.2">
      <c r="A1835" t="str">
        <f>"20200111150626764"</f>
        <v>20200111150626764</v>
      </c>
      <c r="B1835" t="str">
        <f>"1578726386758635"</f>
        <v>1578726386758635</v>
      </c>
      <c r="C1835" t="s">
        <v>37</v>
      </c>
      <c r="D1835">
        <v>5.1606050000000003</v>
      </c>
      <c r="E1835">
        <v>0.39192840000000001</v>
      </c>
      <c r="F1835" t="s">
        <v>85</v>
      </c>
      <c r="G1835">
        <v>-403.6551</v>
      </c>
      <c r="H1835" s="1">
        <v>-5.6193050000000001E-6</v>
      </c>
      <c r="I1835">
        <v>13.7876799999999</v>
      </c>
      <c r="J1835">
        <v>-421.5403</v>
      </c>
      <c r="K1835">
        <v>1.1126320000000001</v>
      </c>
      <c r="L1835">
        <v>45.489409999999999</v>
      </c>
      <c r="M1835">
        <v>0.12803610000000001</v>
      </c>
      <c r="N1835">
        <v>0</v>
      </c>
      <c r="O1835">
        <v>-0.99168780000000001</v>
      </c>
      <c r="P1835">
        <v>0.24234729999999999</v>
      </c>
      <c r="Q1835">
        <v>0.1678801</v>
      </c>
      <c r="R1835">
        <v>-0.95555419999999902</v>
      </c>
      <c r="S1835">
        <v>1.550354</v>
      </c>
      <c r="T1835">
        <v>-9.6118930000000005E-2</v>
      </c>
      <c r="U1835">
        <v>-2.7733759999999998</v>
      </c>
      <c r="V1835">
        <v>-0.1220652</v>
      </c>
      <c r="W1835">
        <v>0.1776076</v>
      </c>
      <c r="X1835">
        <v>0.97650179999999998</v>
      </c>
      <c r="Y1835">
        <v>-0.37193209999999999</v>
      </c>
      <c r="Z1835">
        <v>3.073619E-2</v>
      </c>
      <c r="AA1835">
        <v>0.92775090000000004</v>
      </c>
      <c r="AB1835">
        <v>36</v>
      </c>
      <c r="AC1835">
        <v>17.885199999999902</v>
      </c>
      <c r="AD1835">
        <v>-1.112637619305</v>
      </c>
      <c r="AE1835">
        <v>-31.701730000000001</v>
      </c>
      <c r="AF1835">
        <v>-13.6659078585344</v>
      </c>
      <c r="AG1835">
        <v>-1.112637619305</v>
      </c>
      <c r="AH1835">
        <v>33.699414941714601</v>
      </c>
      <c r="AI1835">
        <v>91.752500850749897</v>
      </c>
      <c r="AJ1835">
        <v>112.073715168562</v>
      </c>
      <c r="AK1835">
        <v>36.381940128087003</v>
      </c>
    </row>
    <row r="1836" spans="1:37" x14ac:dyDescent="0.2">
      <c r="A1836" t="str">
        <f>"20200111150626784"</f>
        <v>20200111150626784</v>
      </c>
      <c r="B1836" t="str">
        <f>"1578726386778154"</f>
        <v>1578726386778154</v>
      </c>
      <c r="C1836" t="s">
        <v>37</v>
      </c>
      <c r="D1836">
        <v>5.1603029999999999</v>
      </c>
      <c r="E1836">
        <v>0.39217920000000001</v>
      </c>
      <c r="F1836" t="s">
        <v>85</v>
      </c>
      <c r="G1836">
        <v>-404.15839999999997</v>
      </c>
      <c r="H1836" s="1">
        <v>-5.6247749999999999E-6</v>
      </c>
      <c r="I1836">
        <v>15.13566</v>
      </c>
      <c r="J1836">
        <v>-421.49169999999998</v>
      </c>
      <c r="K1836">
        <v>1.1128610000000001</v>
      </c>
      <c r="L1836">
        <v>45.173400000000001</v>
      </c>
      <c r="M1836">
        <v>0.13727829999999999</v>
      </c>
      <c r="N1836">
        <v>0</v>
      </c>
      <c r="O1836">
        <v>-0.9904501</v>
      </c>
      <c r="P1836">
        <v>0.25095849999999997</v>
      </c>
      <c r="Q1836">
        <v>0.16727819999999999</v>
      </c>
      <c r="R1836">
        <v>-0.95343500000000003</v>
      </c>
      <c r="S1836">
        <v>1.578735</v>
      </c>
      <c r="T1836">
        <v>-0.1010571</v>
      </c>
      <c r="U1836">
        <v>-2.7569270000000001</v>
      </c>
      <c r="V1836">
        <v>-0.121842699999999</v>
      </c>
      <c r="W1836">
        <v>0.17698059999999999</v>
      </c>
      <c r="X1836">
        <v>0.97664329999999999</v>
      </c>
      <c r="Y1836">
        <v>-0.37282949999999998</v>
      </c>
      <c r="Z1836">
        <v>3.2336780000000002E-2</v>
      </c>
      <c r="AA1836">
        <v>0.9273363</v>
      </c>
      <c r="AB1836">
        <v>36</v>
      </c>
      <c r="AC1836">
        <v>17.333300000000001</v>
      </c>
      <c r="AD1836">
        <v>-1.1128666247750001</v>
      </c>
      <c r="AE1836">
        <v>-30.037739999999999</v>
      </c>
      <c r="AF1836">
        <v>-13.0318844250717</v>
      </c>
      <c r="AG1836">
        <v>-1.1128666247750001</v>
      </c>
      <c r="AH1836">
        <v>32.099937350868103</v>
      </c>
      <c r="AI1836">
        <v>91.839852968956606</v>
      </c>
      <c r="AJ1836">
        <v>112.09609492012299</v>
      </c>
      <c r="AK1836">
        <v>34.662291639800998</v>
      </c>
    </row>
    <row r="1837" spans="1:37" x14ac:dyDescent="0.2">
      <c r="A1837" t="str">
        <f>"20200111150626805"</f>
        <v>20200111150626805</v>
      </c>
      <c r="B1837" t="str">
        <f>"1578726386798650"</f>
        <v>1578726386798650</v>
      </c>
      <c r="C1837" t="s">
        <v>37</v>
      </c>
      <c r="D1837">
        <v>5.2262329999999997</v>
      </c>
      <c r="E1837">
        <v>0.39217950000000001</v>
      </c>
      <c r="F1837" t="s">
        <v>85</v>
      </c>
      <c r="G1837">
        <v>-404.65210000000002</v>
      </c>
      <c r="H1837" s="1">
        <v>-5.604322E-6</v>
      </c>
      <c r="I1837">
        <v>16.312519999999999</v>
      </c>
      <c r="J1837">
        <v>-421.43560000000002</v>
      </c>
      <c r="K1837">
        <v>1.113102</v>
      </c>
      <c r="L1837">
        <v>44.831420000000001</v>
      </c>
      <c r="M1837">
        <v>0.1475254</v>
      </c>
      <c r="N1837">
        <v>0</v>
      </c>
      <c r="O1837">
        <v>-0.98897520000000005</v>
      </c>
      <c r="P1837">
        <v>0.25972689999999998</v>
      </c>
      <c r="Q1837">
        <v>0.16737739999999901</v>
      </c>
      <c r="R1837">
        <v>-0.95106630000000003</v>
      </c>
      <c r="S1837">
        <v>1.6008910000000001</v>
      </c>
      <c r="T1837">
        <v>-0.10579669999999999</v>
      </c>
      <c r="U1837">
        <v>-2.7437130000000001</v>
      </c>
      <c r="V1837">
        <v>-0.1208361</v>
      </c>
      <c r="W1837">
        <v>0.17707310000000001</v>
      </c>
      <c r="X1837">
        <v>0.97675159999999905</v>
      </c>
      <c r="Y1837">
        <v>-0.37072650000000001</v>
      </c>
      <c r="Z1837">
        <v>3.3866710000000001E-2</v>
      </c>
      <c r="AA1837">
        <v>0.92812439999999996</v>
      </c>
      <c r="AB1837">
        <v>36</v>
      </c>
      <c r="AC1837">
        <v>16.7835</v>
      </c>
      <c r="AD1837">
        <v>-1.1131076043220001</v>
      </c>
      <c r="AE1837">
        <v>-28.518899999999999</v>
      </c>
      <c r="AF1837">
        <v>-12.3782153058949</v>
      </c>
      <c r="AG1837">
        <v>-1.1131076043220001</v>
      </c>
      <c r="AH1837">
        <v>30.648319655472999</v>
      </c>
      <c r="AI1837">
        <v>91.928755042375897</v>
      </c>
      <c r="AJ1837">
        <v>111.992752151236</v>
      </c>
      <c r="AK1837">
        <v>33.072325597120397</v>
      </c>
    </row>
    <row r="1838" spans="1:37" x14ac:dyDescent="0.2">
      <c r="A1838" t="str">
        <f>"20200111150626828"</f>
        <v>20200111150626828</v>
      </c>
      <c r="B1838" t="str">
        <f>"1578726386818169"</f>
        <v>1578726386818169</v>
      </c>
      <c r="C1838" t="s">
        <v>37</v>
      </c>
      <c r="D1838">
        <v>5.2129199999999898</v>
      </c>
      <c r="E1838">
        <v>0.39216960000000001</v>
      </c>
      <c r="F1838" t="s">
        <v>85</v>
      </c>
      <c r="G1838">
        <v>-404.55099999999999</v>
      </c>
      <c r="H1838" s="1">
        <v>-5.6809199999999998E-6</v>
      </c>
      <c r="I1838">
        <v>16.47814</v>
      </c>
      <c r="J1838">
        <v>-421.37079999999997</v>
      </c>
      <c r="K1838">
        <v>1.113354</v>
      </c>
      <c r="L1838">
        <v>44.462679999999999</v>
      </c>
      <c r="M1838">
        <v>0.15884470000000001</v>
      </c>
      <c r="N1838">
        <v>0</v>
      </c>
      <c r="O1838">
        <v>-0.98721990000000004</v>
      </c>
      <c r="P1838">
        <v>0.26991229999999999</v>
      </c>
      <c r="Q1838">
        <v>0.168546</v>
      </c>
      <c r="R1838">
        <v>-0.948019099999999</v>
      </c>
      <c r="S1838">
        <v>1.6253660000000001</v>
      </c>
      <c r="T1838">
        <v>-0.107151</v>
      </c>
      <c r="U1838">
        <v>-2.7293699999999999</v>
      </c>
      <c r="V1838">
        <v>-0.1202979</v>
      </c>
      <c r="W1838">
        <v>0.17822179999999899</v>
      </c>
      <c r="X1838">
        <v>0.97660910000000001</v>
      </c>
      <c r="Y1838">
        <v>-0.36836779999999902</v>
      </c>
      <c r="Z1838">
        <v>3.430619E-2</v>
      </c>
      <c r="AA1838">
        <v>0.92904699999999996</v>
      </c>
      <c r="AB1838">
        <v>36</v>
      </c>
      <c r="AC1838">
        <v>16.819799999999901</v>
      </c>
      <c r="AD1838">
        <v>-1.1133596809199999</v>
      </c>
      <c r="AE1838">
        <v>-27.984539999999999</v>
      </c>
      <c r="AF1838">
        <v>-12.146526375154901</v>
      </c>
      <c r="AG1838">
        <v>-1.1133596809199999</v>
      </c>
      <c r="AH1838">
        <v>30.265941681309201</v>
      </c>
      <c r="AI1838">
        <v>91.955272987200104</v>
      </c>
      <c r="AJ1838">
        <v>111.866902349931</v>
      </c>
      <c r="AK1838">
        <v>32.6313484033045</v>
      </c>
    </row>
    <row r="1839" spans="1:37" x14ac:dyDescent="0.2">
      <c r="A1839" t="str">
        <f>"20200111150626852"</f>
        <v>20200111150626852</v>
      </c>
      <c r="B1839" t="str">
        <f>"1578726386848426"</f>
        <v>1578726386848426</v>
      </c>
      <c r="C1839" t="s">
        <v>37</v>
      </c>
      <c r="D1839">
        <v>5.0949289999999996</v>
      </c>
      <c r="E1839">
        <v>0.39229609999999998</v>
      </c>
      <c r="F1839" t="s">
        <v>85</v>
      </c>
      <c r="G1839">
        <v>-403.7876</v>
      </c>
      <c r="H1839" s="1">
        <v>-5.8865779999999902E-6</v>
      </c>
      <c r="I1839">
        <v>15.635899999999999</v>
      </c>
      <c r="J1839">
        <v>-421.30040000000002</v>
      </c>
      <c r="K1839">
        <v>1.113602</v>
      </c>
      <c r="L1839">
        <v>44.087490000000003</v>
      </c>
      <c r="M1839">
        <v>0.1706281</v>
      </c>
      <c r="N1839">
        <v>0</v>
      </c>
      <c r="O1839">
        <v>-0.98525099999999999</v>
      </c>
      <c r="P1839">
        <v>0.28082819999999997</v>
      </c>
      <c r="Q1839">
        <v>0.16845079999999901</v>
      </c>
      <c r="R1839">
        <v>-0.94485959999999902</v>
      </c>
      <c r="S1839">
        <v>1.6542969999999999</v>
      </c>
      <c r="T1839">
        <v>-0.10474899999999999</v>
      </c>
      <c r="U1839">
        <v>-2.7121279999999999</v>
      </c>
      <c r="V1839">
        <v>-0.1200024</v>
      </c>
      <c r="W1839">
        <v>0.1781054</v>
      </c>
      <c r="X1839">
        <v>0.9766667</v>
      </c>
      <c r="Y1839">
        <v>-0.3671239</v>
      </c>
      <c r="Z1839">
        <v>3.3541620000000001E-2</v>
      </c>
      <c r="AA1839">
        <v>0.92956709999999998</v>
      </c>
      <c r="AB1839">
        <v>36</v>
      </c>
      <c r="AC1839">
        <v>17.512799999999999</v>
      </c>
      <c r="AD1839">
        <v>-1.1136078865779999</v>
      </c>
      <c r="AE1839">
        <v>-28.451589999999999</v>
      </c>
      <c r="AF1839">
        <v>-12.387133017293801</v>
      </c>
      <c r="AG1839">
        <v>-1.1136078865779999</v>
      </c>
      <c r="AH1839">
        <v>30.988287388261099</v>
      </c>
      <c r="AI1839">
        <v>91.911202804513195</v>
      </c>
      <c r="AJ1839">
        <v>111.788366928011</v>
      </c>
      <c r="AK1839">
        <v>33.390944014367697</v>
      </c>
    </row>
    <row r="1840" spans="1:37" x14ac:dyDescent="0.2">
      <c r="A1840" t="str">
        <f>"20200111150626873"</f>
        <v>20200111150626873</v>
      </c>
      <c r="B1840" t="str">
        <f>"1578726386867945"</f>
        <v>1578726386867945</v>
      </c>
      <c r="C1840" t="s">
        <v>37</v>
      </c>
      <c r="D1840">
        <v>5.0991910000000003</v>
      </c>
      <c r="E1840">
        <v>0.39252720000000002</v>
      </c>
      <c r="F1840" t="s">
        <v>85</v>
      </c>
      <c r="G1840">
        <v>-403.70890000000003</v>
      </c>
      <c r="H1840" s="1">
        <v>-5.97991E-6</v>
      </c>
      <c r="I1840">
        <v>15.954139999999899</v>
      </c>
      <c r="J1840">
        <v>-421.23439999999999</v>
      </c>
      <c r="K1840">
        <v>1.1138079999999999</v>
      </c>
      <c r="L1840">
        <v>43.757689999999997</v>
      </c>
      <c r="M1840">
        <v>0.18121139999999999</v>
      </c>
      <c r="N1840">
        <v>0</v>
      </c>
      <c r="O1840">
        <v>-0.98335899999999998</v>
      </c>
      <c r="P1840">
        <v>0.29039299999999901</v>
      </c>
      <c r="Q1840">
        <v>0.16705919999999999</v>
      </c>
      <c r="R1840">
        <v>-0.94221200000000005</v>
      </c>
      <c r="S1840">
        <v>1.6842349999999999</v>
      </c>
      <c r="T1840">
        <v>-0.1066178</v>
      </c>
      <c r="U1840">
        <v>-2.6935119999999899</v>
      </c>
      <c r="V1840">
        <v>-0.119417699999999</v>
      </c>
      <c r="W1840">
        <v>0.17670939999999999</v>
      </c>
      <c r="X1840">
        <v>0.97699190000000002</v>
      </c>
      <c r="Y1840">
        <v>-0.36742829999999999</v>
      </c>
      <c r="Z1840">
        <v>3.4145719999999997E-2</v>
      </c>
      <c r="AA1840">
        <v>0.92942479999999905</v>
      </c>
      <c r="AB1840">
        <v>36</v>
      </c>
      <c r="AC1840">
        <v>17.525499999999901</v>
      </c>
      <c r="AD1840">
        <v>-1.11381397991</v>
      </c>
      <c r="AE1840">
        <v>-27.803550000000001</v>
      </c>
      <c r="AF1840">
        <v>-12.1825678589014</v>
      </c>
      <c r="AG1840">
        <v>-1.11381397991</v>
      </c>
      <c r="AH1840">
        <v>30.484236712109102</v>
      </c>
      <c r="AI1840">
        <v>91.943206971709699</v>
      </c>
      <c r="AJ1840">
        <v>111.783378675273</v>
      </c>
      <c r="AK1840">
        <v>32.8472864805981</v>
      </c>
    </row>
    <row r="1841" spans="1:37" x14ac:dyDescent="0.2">
      <c r="A1841" t="str">
        <f>"20200111150626895"</f>
        <v>20200111150626895</v>
      </c>
      <c r="B1841" t="str">
        <f>"1578726386888441"</f>
        <v>1578726386888441</v>
      </c>
      <c r="C1841" t="s">
        <v>37</v>
      </c>
      <c r="D1841">
        <v>5.1343649999999998</v>
      </c>
      <c r="E1841">
        <v>0.39290310000000001</v>
      </c>
      <c r="F1841" t="s">
        <v>38</v>
      </c>
      <c r="G1841">
        <v>-420.58519999999999</v>
      </c>
      <c r="H1841">
        <v>1.071197</v>
      </c>
      <c r="I1841">
        <v>42.741309999999999</v>
      </c>
      <c r="J1841">
        <v>-421.16199999999998</v>
      </c>
      <c r="K1841">
        <v>1.114009</v>
      </c>
      <c r="L1841">
        <v>43.416690000000003</v>
      </c>
      <c r="M1841">
        <v>0.1923502</v>
      </c>
      <c r="N1841">
        <v>0</v>
      </c>
      <c r="O1841">
        <v>-0.98124040000000001</v>
      </c>
      <c r="P1841">
        <v>0.30015759999999903</v>
      </c>
      <c r="Q1841">
        <v>0.1663587</v>
      </c>
      <c r="R1841">
        <v>-0.93927099999999997</v>
      </c>
      <c r="S1841">
        <v>1.7097169999999999</v>
      </c>
      <c r="T1841">
        <v>-0.112231</v>
      </c>
      <c r="U1841">
        <v>-2.6769409999999998</v>
      </c>
      <c r="V1841">
        <v>-0.11852939999999999</v>
      </c>
      <c r="W1841">
        <v>0.17601329999999901</v>
      </c>
      <c r="X1841">
        <v>0.97722569999999997</v>
      </c>
      <c r="Y1841">
        <v>-0.36574109999999999</v>
      </c>
      <c r="Z1841">
        <v>3.5939560000000002E-2</v>
      </c>
      <c r="AA1841">
        <v>0.93002249999999997</v>
      </c>
      <c r="AB1841">
        <v>36</v>
      </c>
      <c r="AC1841">
        <v>0.57679999999999099</v>
      </c>
      <c r="AD1841">
        <v>-4.2812000000000003E-2</v>
      </c>
      <c r="AE1841">
        <v>-0.67538000000000398</v>
      </c>
      <c r="AF1841">
        <v>-0.43509581855027502</v>
      </c>
      <c r="AG1841">
        <v>-4.2812000000000003E-2</v>
      </c>
      <c r="AH1841">
        <v>0.77192941061347298</v>
      </c>
      <c r="AI1841">
        <v>92.766081757919295</v>
      </c>
      <c r="AJ1841">
        <v>119.407658424972</v>
      </c>
      <c r="AK1841">
        <v>0.88713936539531202</v>
      </c>
    </row>
    <row r="1842" spans="1:37" x14ac:dyDescent="0.2">
      <c r="A1842" t="str">
        <f>"20200111150626916"</f>
        <v>20200111150626916</v>
      </c>
      <c r="B1842" t="str">
        <f>"1578726386908938"</f>
        <v>1578726386908938</v>
      </c>
      <c r="C1842" t="s">
        <v>37</v>
      </c>
      <c r="D1842">
        <v>5.1183949999999996</v>
      </c>
      <c r="E1842">
        <v>0.39317750000000001</v>
      </c>
      <c r="F1842" t="s">
        <v>85</v>
      </c>
      <c r="G1842">
        <v>-404.67540000000002</v>
      </c>
      <c r="H1842" s="1">
        <v>-5.9174530000000003E-6</v>
      </c>
      <c r="I1842">
        <v>18.132379999999898</v>
      </c>
      <c r="J1842">
        <v>-421.08499999999998</v>
      </c>
      <c r="K1842">
        <v>1.114198</v>
      </c>
      <c r="L1842">
        <v>43.073879999999903</v>
      </c>
      <c r="M1842">
        <v>0.20371300000000001</v>
      </c>
      <c r="N1842">
        <v>0</v>
      </c>
      <c r="O1842">
        <v>-0.97894419999999904</v>
      </c>
      <c r="P1842">
        <v>0.31033709999999998</v>
      </c>
      <c r="Q1842">
        <v>0.1664216</v>
      </c>
      <c r="R1842">
        <v>-0.93594630000000001</v>
      </c>
      <c r="S1842">
        <v>1.7347109999999999</v>
      </c>
      <c r="T1842">
        <v>-0.117216</v>
      </c>
      <c r="U1842">
        <v>-2.6604000000000001</v>
      </c>
      <c r="V1842">
        <v>-0.1178961</v>
      </c>
      <c r="W1842">
        <v>0.17607619999999999</v>
      </c>
      <c r="X1842">
        <v>0.97729100000000002</v>
      </c>
      <c r="Y1842">
        <v>-0.36369429999999903</v>
      </c>
      <c r="Z1842">
        <v>3.7524170000000003E-2</v>
      </c>
      <c r="AA1842">
        <v>0.93076229999999904</v>
      </c>
      <c r="AB1842">
        <v>36</v>
      </c>
      <c r="AC1842">
        <v>16.409599999999902</v>
      </c>
      <c r="AD1842">
        <v>-1.1142039174529901</v>
      </c>
      <c r="AE1842">
        <v>-24.941500000000001</v>
      </c>
      <c r="AF1842">
        <v>-10.9688275617012</v>
      </c>
      <c r="AG1842">
        <v>-1.1142039174529901</v>
      </c>
      <c r="AH1842">
        <v>27.7229236037847</v>
      </c>
      <c r="AI1842">
        <v>92.140251153530997</v>
      </c>
      <c r="AJ1842">
        <v>111.58668037055099</v>
      </c>
      <c r="AK1842">
        <v>29.8348306780731</v>
      </c>
    </row>
    <row r="1843" spans="1:37" x14ac:dyDescent="0.2">
      <c r="A1843" t="str">
        <f>"20200111150626939"</f>
        <v>20200111150626939</v>
      </c>
      <c r="B1843" t="str">
        <f>"1578726386928458"</f>
        <v>1578726386928458</v>
      </c>
      <c r="C1843" t="s">
        <v>37</v>
      </c>
      <c r="D1843">
        <v>5.1461879999999898</v>
      </c>
      <c r="E1843">
        <v>0.39356390000000002</v>
      </c>
      <c r="F1843" t="s">
        <v>85</v>
      </c>
      <c r="G1843">
        <v>-404.57709999999997</v>
      </c>
      <c r="H1843" s="1">
        <v>-5.9948370000000001E-6</v>
      </c>
      <c r="I1843">
        <v>18.309920000000002</v>
      </c>
      <c r="J1843">
        <v>-421.00319999999999</v>
      </c>
      <c r="K1843">
        <v>1.11436</v>
      </c>
      <c r="L1843">
        <v>42.729190000000003</v>
      </c>
      <c r="M1843">
        <v>0.21528259999999999</v>
      </c>
      <c r="N1843">
        <v>0</v>
      </c>
      <c r="O1843">
        <v>-0.97646469999999896</v>
      </c>
      <c r="P1843">
        <v>0.32162639999999998</v>
      </c>
      <c r="Q1843">
        <v>0.1665027</v>
      </c>
      <c r="R1843">
        <v>-0.9321123</v>
      </c>
      <c r="S1843">
        <v>1.76144399999999</v>
      </c>
      <c r="T1843">
        <v>-0.1188892</v>
      </c>
      <c r="U1843">
        <v>-2.642395</v>
      </c>
      <c r="V1843">
        <v>-0.1182248</v>
      </c>
      <c r="W1843">
        <v>0.17613299999999901</v>
      </c>
      <c r="X1843">
        <v>0.97724100000000003</v>
      </c>
      <c r="Y1843">
        <v>-0.3621066</v>
      </c>
      <c r="Z1843">
        <v>3.8044620000000001E-2</v>
      </c>
      <c r="AA1843">
        <v>0.93135990000000002</v>
      </c>
      <c r="AB1843">
        <v>36</v>
      </c>
      <c r="AC1843">
        <v>16.426100000000002</v>
      </c>
      <c r="AD1843">
        <v>-1.1143659948369999</v>
      </c>
      <c r="AE1843">
        <v>-24.419270000000001</v>
      </c>
      <c r="AF1843">
        <v>-10.7679412645357</v>
      </c>
      <c r="AG1843">
        <v>-1.1143659948369999</v>
      </c>
      <c r="AH1843">
        <v>27.3439327372955</v>
      </c>
      <c r="AI1843">
        <v>92.171582238192897</v>
      </c>
      <c r="AJ1843">
        <v>111.49433984077599</v>
      </c>
      <c r="AK1843">
        <v>29.408859688683599</v>
      </c>
    </row>
    <row r="1844" spans="1:37" x14ac:dyDescent="0.2">
      <c r="A1844" t="str">
        <f>"20200111150626960"</f>
        <v>20200111150626960</v>
      </c>
      <c r="B1844" t="str">
        <f>"1578726386958713"</f>
        <v>1578726386958713</v>
      </c>
      <c r="C1844" t="s">
        <v>37</v>
      </c>
      <c r="D1844">
        <v>5.1811629999999997</v>
      </c>
      <c r="E1844">
        <v>0.39391789999999999</v>
      </c>
      <c r="F1844" t="s">
        <v>85</v>
      </c>
      <c r="G1844">
        <v>-404.6422</v>
      </c>
      <c r="H1844" s="1">
        <v>-6.0452040000000003E-6</v>
      </c>
      <c r="I1844">
        <v>18.76324</v>
      </c>
      <c r="J1844">
        <v>-420.91789999999997</v>
      </c>
      <c r="K1844">
        <v>1.1144989999999999</v>
      </c>
      <c r="L1844">
        <v>42.387329999999999</v>
      </c>
      <c r="M1844">
        <v>0.22687959999999999</v>
      </c>
      <c r="N1844">
        <v>0</v>
      </c>
      <c r="O1844">
        <v>-0.97383489999999995</v>
      </c>
      <c r="P1844">
        <v>0.33407379999999998</v>
      </c>
      <c r="Q1844">
        <v>0.16669510000000001</v>
      </c>
      <c r="R1844">
        <v>-0.92768949999999994</v>
      </c>
      <c r="S1844">
        <v>1.7903439999999999</v>
      </c>
      <c r="T1844">
        <v>-0.12194199999999999</v>
      </c>
      <c r="U1844">
        <v>-2.622528</v>
      </c>
      <c r="V1844">
        <v>-0.1197656</v>
      </c>
      <c r="W1844">
        <v>0.17626720000000001</v>
      </c>
      <c r="X1844">
        <v>0.97702919999999904</v>
      </c>
      <c r="Y1844">
        <v>-0.36128660000000001</v>
      </c>
      <c r="Z1844">
        <v>3.9002630000000003E-2</v>
      </c>
      <c r="AA1844">
        <v>0.93163879999999999</v>
      </c>
      <c r="AB1844">
        <v>36</v>
      </c>
      <c r="AC1844">
        <v>16.275699999999901</v>
      </c>
      <c r="AD1844">
        <v>-1.114505045204</v>
      </c>
      <c r="AE1844">
        <v>-23.624089999999999</v>
      </c>
      <c r="AF1844">
        <v>-10.4751090894027</v>
      </c>
      <c r="AG1844">
        <v>-1.114505045204</v>
      </c>
      <c r="AH1844">
        <v>26.660635742186699</v>
      </c>
      <c r="AI1844">
        <v>92.228136361495601</v>
      </c>
      <c r="AJ1844">
        <v>111.45013403511599</v>
      </c>
      <c r="AK1844">
        <v>28.6663483915938</v>
      </c>
    </row>
    <row r="1845" spans="1:37" x14ac:dyDescent="0.2">
      <c r="A1845" t="str">
        <f>"20200111150626984"</f>
        <v>20200111150626984</v>
      </c>
      <c r="B1845" t="str">
        <f>"1578726386978234"</f>
        <v>1578726386978234</v>
      </c>
      <c r="C1845" t="s">
        <v>37</v>
      </c>
      <c r="D1845">
        <v>5.136228</v>
      </c>
      <c r="E1845">
        <v>0.39427449999999897</v>
      </c>
      <c r="F1845" t="s">
        <v>85</v>
      </c>
      <c r="G1845">
        <v>-404.4332</v>
      </c>
      <c r="H1845" s="1">
        <v>-6.1434579999999998E-6</v>
      </c>
      <c r="I1845">
        <v>18.8856</v>
      </c>
      <c r="J1845">
        <v>-420.82499999999999</v>
      </c>
      <c r="K1845">
        <v>1.114625</v>
      </c>
      <c r="L1845">
        <v>42.033479999999997</v>
      </c>
      <c r="M1845">
        <v>0.2389896</v>
      </c>
      <c r="N1845">
        <v>0</v>
      </c>
      <c r="O1845">
        <v>-0.97093359999999995</v>
      </c>
      <c r="P1845">
        <v>0.34704309999999899</v>
      </c>
      <c r="Q1845">
        <v>0.1663113</v>
      </c>
      <c r="R1845">
        <v>-0.92298549999999902</v>
      </c>
      <c r="S1845">
        <v>1.8233029999999999</v>
      </c>
      <c r="T1845">
        <v>-0.12327059999999999</v>
      </c>
      <c r="U1845">
        <v>-2.5994259999999998</v>
      </c>
      <c r="V1845">
        <v>-0.1213275</v>
      </c>
      <c r="W1845">
        <v>0.17582690000000001</v>
      </c>
      <c r="X1845">
        <v>0.9769158</v>
      </c>
      <c r="Y1845">
        <v>-0.36147499999999999</v>
      </c>
      <c r="Z1845">
        <v>3.9406339999999998E-2</v>
      </c>
      <c r="AA1845">
        <v>0.93154869999999901</v>
      </c>
      <c r="AB1845">
        <v>36</v>
      </c>
      <c r="AC1845">
        <v>16.3917999999999</v>
      </c>
      <c r="AD1845">
        <v>-1.1146311434580001</v>
      </c>
      <c r="AE1845">
        <v>-23.147879999999901</v>
      </c>
      <c r="AF1845">
        <v>-10.368128074808199</v>
      </c>
      <c r="AG1845">
        <v>-1.1146311434580001</v>
      </c>
      <c r="AH1845">
        <v>26.354094840000101</v>
      </c>
      <c r="AI1845">
        <v>92.253889750866804</v>
      </c>
      <c r="AJ1845">
        <v>111.475480411134</v>
      </c>
      <c r="AK1845">
        <v>28.342173473417901</v>
      </c>
    </row>
    <row r="1846" spans="1:37" x14ac:dyDescent="0.2">
      <c r="A1846" t="str">
        <f>"20200111150627006"</f>
        <v>20200111150627006</v>
      </c>
      <c r="B1846" t="str">
        <f>"1578726386998729"</f>
        <v>1578726386998729</v>
      </c>
      <c r="C1846" t="s">
        <v>37</v>
      </c>
      <c r="D1846">
        <v>5.1521669999999897</v>
      </c>
      <c r="E1846">
        <v>0.39459450000000001</v>
      </c>
      <c r="F1846" t="s">
        <v>85</v>
      </c>
      <c r="G1846">
        <v>-404.26710000000003</v>
      </c>
      <c r="H1846" s="1">
        <v>-6.2226259999999998E-6</v>
      </c>
      <c r="I1846">
        <v>19.095099999999999</v>
      </c>
      <c r="J1846">
        <v>-420.72640000000001</v>
      </c>
      <c r="K1846">
        <v>1.1147309999999999</v>
      </c>
      <c r="L1846">
        <v>41.676389999999998</v>
      </c>
      <c r="M1846">
        <v>0.2512952</v>
      </c>
      <c r="N1846">
        <v>0</v>
      </c>
      <c r="O1846">
        <v>-0.9678215</v>
      </c>
      <c r="P1846">
        <v>0.3610062</v>
      </c>
      <c r="Q1846">
        <v>0.16552169999999999</v>
      </c>
      <c r="R1846">
        <v>-0.91775669999999898</v>
      </c>
      <c r="S1846">
        <v>1.8581540000000001</v>
      </c>
      <c r="T1846">
        <v>-0.125086</v>
      </c>
      <c r="U1846">
        <v>-2.5741879999999999</v>
      </c>
      <c r="V1846">
        <v>-0.1237465</v>
      </c>
      <c r="W1846">
        <v>0.17495659999999999</v>
      </c>
      <c r="X1846">
        <v>0.97676870000000005</v>
      </c>
      <c r="Y1846">
        <v>-0.36225180000000001</v>
      </c>
      <c r="Z1846">
        <v>3.9962839999999999E-2</v>
      </c>
      <c r="AA1846">
        <v>0.93122320000000003</v>
      </c>
      <c r="AB1846">
        <v>36</v>
      </c>
      <c r="AC1846">
        <v>16.459299999999899</v>
      </c>
      <c r="AD1846">
        <v>-1.1147372226259999</v>
      </c>
      <c r="AE1846">
        <v>-22.581289999999999</v>
      </c>
      <c r="AF1846">
        <v>-10.239682131879601</v>
      </c>
      <c r="AG1846">
        <v>-1.1147372226259999</v>
      </c>
      <c r="AH1846">
        <v>25.9517391798964</v>
      </c>
      <c r="AI1846">
        <v>92.288118037758693</v>
      </c>
      <c r="AJ1846">
        <v>111.532522182501</v>
      </c>
      <c r="AK1846">
        <v>27.9210761916301</v>
      </c>
    </row>
    <row r="1847" spans="1:37" x14ac:dyDescent="0.2">
      <c r="A1847" t="str">
        <f>"20200111150627028"</f>
        <v>20200111150627028</v>
      </c>
      <c r="B1847" t="str">
        <f>"1578726387018250"</f>
        <v>1578726387018250</v>
      </c>
      <c r="C1847" t="s">
        <v>37</v>
      </c>
      <c r="D1847">
        <v>5.1166749999999999</v>
      </c>
      <c r="E1847">
        <v>0.39497929999999998</v>
      </c>
      <c r="F1847" t="s">
        <v>85</v>
      </c>
      <c r="G1847">
        <v>-404.35770000000002</v>
      </c>
      <c r="H1847" s="1">
        <v>-4.12364E-6</v>
      </c>
      <c r="I1847">
        <v>19.679939999999998</v>
      </c>
      <c r="J1847">
        <v>-420.63080000000002</v>
      </c>
      <c r="K1847">
        <v>1.1148129999999901</v>
      </c>
      <c r="L1847">
        <v>41.345640000000003</v>
      </c>
      <c r="M1847">
        <v>0.26275340000000003</v>
      </c>
      <c r="N1847">
        <v>0</v>
      </c>
      <c r="O1847">
        <v>-0.96477349999999995</v>
      </c>
      <c r="P1847">
        <v>0.3736778</v>
      </c>
      <c r="Q1847">
        <v>0.16532720000000001</v>
      </c>
      <c r="R1847">
        <v>-0.91270609999999996</v>
      </c>
      <c r="S1847">
        <v>1.895111</v>
      </c>
      <c r="T1847">
        <v>-0.1290596</v>
      </c>
      <c r="U1847">
        <v>-2.5466609999999998</v>
      </c>
      <c r="V1847">
        <v>-0.12571769999999999</v>
      </c>
      <c r="W1847">
        <v>0.1746955</v>
      </c>
      <c r="X1847">
        <v>0.97656359999999998</v>
      </c>
      <c r="Y1847">
        <v>-0.3646855</v>
      </c>
      <c r="Z1847">
        <v>4.1213039999999999E-2</v>
      </c>
      <c r="AA1847">
        <v>0.930218199999999</v>
      </c>
      <c r="AB1847">
        <v>36</v>
      </c>
      <c r="AC1847">
        <v>16.273099999999999</v>
      </c>
      <c r="AD1847">
        <v>-1.11481712363999</v>
      </c>
      <c r="AE1847">
        <v>-21.665700000000001</v>
      </c>
      <c r="AF1847">
        <v>-9.9910717412054808</v>
      </c>
      <c r="AG1847">
        <v>-1.11481712363999</v>
      </c>
      <c r="AH1847">
        <v>25.137929272450499</v>
      </c>
      <c r="AI1847">
        <v>92.359951403430401</v>
      </c>
      <c r="AJ1847">
        <v>111.675350360617</v>
      </c>
      <c r="AK1847">
        <v>27.073600053627899</v>
      </c>
    </row>
    <row r="1848" spans="1:37" x14ac:dyDescent="0.2">
      <c r="A1848" t="str">
        <f>"20200111150627051"</f>
        <v>20200111150627051</v>
      </c>
      <c r="B1848" t="str">
        <f>"1578726387048506"</f>
        <v>1578726387048506</v>
      </c>
      <c r="C1848" t="s">
        <v>37</v>
      </c>
      <c r="D1848">
        <v>5.1347389999999997</v>
      </c>
      <c r="E1848">
        <v>0.40486309999999998</v>
      </c>
      <c r="F1848" t="s">
        <v>85</v>
      </c>
      <c r="G1848">
        <v>-404.37849999999997</v>
      </c>
      <c r="H1848" s="1">
        <v>-4.1855960000000001E-6</v>
      </c>
      <c r="I1848">
        <v>20.082550000000001</v>
      </c>
      <c r="J1848">
        <v>-420.5256</v>
      </c>
      <c r="K1848">
        <v>1.1148899999999999</v>
      </c>
      <c r="L1848">
        <v>40.997219999999999</v>
      </c>
      <c r="M1848">
        <v>0.27487080000000003</v>
      </c>
      <c r="N1848">
        <v>0</v>
      </c>
      <c r="O1848">
        <v>-0.96139089999999905</v>
      </c>
      <c r="P1848">
        <v>0.38621689999999997</v>
      </c>
      <c r="Q1848">
        <v>0.16490250000000001</v>
      </c>
      <c r="R1848">
        <v>-0.90754840000000003</v>
      </c>
      <c r="S1848">
        <v>1.9274899999999999</v>
      </c>
      <c r="T1848">
        <v>-0.132215</v>
      </c>
      <c r="U1848">
        <v>-2.5217589999999999</v>
      </c>
      <c r="V1848">
        <v>-0.12689149999999999</v>
      </c>
      <c r="W1848">
        <v>0.174229299999999</v>
      </c>
      <c r="X1848">
        <v>0.97649509999999995</v>
      </c>
      <c r="Y1848">
        <v>-0.36491630000000003</v>
      </c>
      <c r="Z1848">
        <v>4.2180299999999997E-2</v>
      </c>
      <c r="AA1848">
        <v>0.93008429999999997</v>
      </c>
      <c r="AB1848">
        <v>36</v>
      </c>
      <c r="AC1848">
        <v>16.147099999999998</v>
      </c>
      <c r="AD1848">
        <v>-1.114894185596</v>
      </c>
      <c r="AE1848">
        <v>-20.914670000000001</v>
      </c>
      <c r="AF1848">
        <v>-9.7583177077319192</v>
      </c>
      <c r="AG1848">
        <v>-1.114894185596</v>
      </c>
      <c r="AH1848">
        <v>24.504043347272098</v>
      </c>
      <c r="AI1848">
        <v>92.420445347941197</v>
      </c>
      <c r="AJ1848">
        <v>111.714077073599</v>
      </c>
      <c r="AK1848">
        <v>26.3991646438879</v>
      </c>
    </row>
    <row r="1849" spans="1:37" x14ac:dyDescent="0.2">
      <c r="A1849" t="str">
        <f>"20200111150627072"</f>
        <v>20200111150627072</v>
      </c>
      <c r="B1849" t="str">
        <f>"1578726387068026"</f>
        <v>1578726387068026</v>
      </c>
      <c r="C1849" t="s">
        <v>37</v>
      </c>
      <c r="D1849">
        <v>5.1580579999999996</v>
      </c>
      <c r="E1849">
        <v>0.40438609999999903</v>
      </c>
      <c r="F1849" t="s">
        <v>85</v>
      </c>
      <c r="G1849">
        <v>-410.1207</v>
      </c>
      <c r="H1849" s="1">
        <v>-1.048226E-5</v>
      </c>
      <c r="I1849">
        <v>27.058579999999999</v>
      </c>
      <c r="J1849">
        <v>-420.41950000000003</v>
      </c>
      <c r="K1849">
        <v>1.1149530000000001</v>
      </c>
      <c r="L1849">
        <v>40.661070000000002</v>
      </c>
      <c r="M1849">
        <v>0.28659899999999999</v>
      </c>
      <c r="N1849">
        <v>0</v>
      </c>
      <c r="O1849">
        <v>-0.95796009999999998</v>
      </c>
      <c r="P1849">
        <v>0.39770630000000001</v>
      </c>
      <c r="Q1849">
        <v>0.16390729999999901</v>
      </c>
      <c r="R1849">
        <v>-0.90275380000000005</v>
      </c>
      <c r="S1849">
        <v>1.8935549999999901</v>
      </c>
      <c r="T1849">
        <v>-0.20289740000000001</v>
      </c>
      <c r="U1849">
        <v>-2.5366520000000001</v>
      </c>
      <c r="V1849">
        <v>-0.12730569999999999</v>
      </c>
      <c r="W1849">
        <v>0.17321829999999999</v>
      </c>
      <c r="X1849">
        <v>0.97662099999999996</v>
      </c>
      <c r="Y1849">
        <v>-0.34212399999999998</v>
      </c>
      <c r="Z1849">
        <v>6.4525520000000003E-2</v>
      </c>
      <c r="AA1849">
        <v>0.93743679999999996</v>
      </c>
      <c r="AB1849">
        <v>36</v>
      </c>
      <c r="AC1849">
        <v>10.2988</v>
      </c>
      <c r="AD1849">
        <v>-1.1149634822600001</v>
      </c>
      <c r="AE1849">
        <v>-13.60249</v>
      </c>
      <c r="AF1849">
        <v>-5.9425189079002596</v>
      </c>
      <c r="AG1849">
        <v>-1.1149634822600001</v>
      </c>
      <c r="AH1849">
        <v>15.915685164523801</v>
      </c>
      <c r="AI1849">
        <v>93.754877474680399</v>
      </c>
      <c r="AJ1849">
        <v>110.474374651094</v>
      </c>
      <c r="AK1849">
        <v>17.025442983774798</v>
      </c>
    </row>
    <row r="1850" spans="1:37" x14ac:dyDescent="0.2">
      <c r="A1850" t="str">
        <f>"20200111150627095"</f>
        <v>20200111150627095</v>
      </c>
      <c r="B1850" t="str">
        <f>"1578726387088521"</f>
        <v>1578726387088521</v>
      </c>
      <c r="C1850" t="s">
        <v>37</v>
      </c>
      <c r="D1850">
        <v>5.1221239999999897</v>
      </c>
      <c r="E1850">
        <v>0.40452349999999998</v>
      </c>
      <c r="F1850" t="s">
        <v>85</v>
      </c>
      <c r="G1850">
        <v>-409.61779999999999</v>
      </c>
      <c r="H1850" s="1">
        <v>-2.6291989999999999E-6</v>
      </c>
      <c r="I1850">
        <v>26.608409999999999</v>
      </c>
      <c r="J1850">
        <v>-420.30610000000001</v>
      </c>
      <c r="K1850">
        <v>1.1149990000000001</v>
      </c>
      <c r="L1850">
        <v>40.317929999999997</v>
      </c>
      <c r="M1850">
        <v>0.2986048</v>
      </c>
      <c r="N1850">
        <v>0</v>
      </c>
      <c r="O1850">
        <v>-0.95428559999999996</v>
      </c>
      <c r="P1850">
        <v>0.40872740000000002</v>
      </c>
      <c r="Q1850">
        <v>0.1631803</v>
      </c>
      <c r="R1850">
        <v>-0.89795020000000003</v>
      </c>
      <c r="S1850">
        <v>1.928955</v>
      </c>
      <c r="T1850">
        <v>-0.19910839999999999</v>
      </c>
      <c r="U1850">
        <v>-2.5095209999999999</v>
      </c>
      <c r="V1850">
        <v>-0.1269643</v>
      </c>
      <c r="W1850">
        <v>0.17249829999999999</v>
      </c>
      <c r="X1850">
        <v>0.97679289999999996</v>
      </c>
      <c r="Y1850">
        <v>-0.34358679999999903</v>
      </c>
      <c r="Z1850">
        <v>6.3247899999999996E-2</v>
      </c>
      <c r="AA1850">
        <v>0.93698869999999901</v>
      </c>
      <c r="AB1850">
        <v>36</v>
      </c>
      <c r="AC1850">
        <v>10.6883</v>
      </c>
      <c r="AD1850">
        <v>-1.1150016291989999</v>
      </c>
      <c r="AE1850">
        <v>-13.7095199999999</v>
      </c>
      <c r="AF1850">
        <v>-6.08147458827177</v>
      </c>
      <c r="AG1850">
        <v>-1.1150016291989999</v>
      </c>
      <c r="AH1850">
        <v>16.2091074854537</v>
      </c>
      <c r="AI1850">
        <v>93.685031728467294</v>
      </c>
      <c r="AJ1850">
        <v>110.56552532342</v>
      </c>
      <c r="AK1850">
        <v>17.348277357590899</v>
      </c>
    </row>
    <row r="1851" spans="1:37" x14ac:dyDescent="0.2">
      <c r="A1851" t="str">
        <f>"20200111150627118"</f>
        <v>20200111150627118</v>
      </c>
      <c r="B1851" t="str">
        <f>"1578726387108042"</f>
        <v>1578726387108042</v>
      </c>
      <c r="C1851" t="s">
        <v>37</v>
      </c>
      <c r="D1851">
        <v>5.1557379999999897</v>
      </c>
      <c r="E1851">
        <v>0.40527269999999999</v>
      </c>
      <c r="F1851" t="s">
        <v>85</v>
      </c>
      <c r="G1851">
        <v>-409.43610000000001</v>
      </c>
      <c r="H1851" s="1">
        <v>-2.71665399999999E-6</v>
      </c>
      <c r="I1851">
        <v>26.518039999999999</v>
      </c>
      <c r="J1851">
        <v>-420.18389999999999</v>
      </c>
      <c r="K1851">
        <v>1.1150439999999999</v>
      </c>
      <c r="L1851">
        <v>39.963229999999903</v>
      </c>
      <c r="M1851">
        <v>0.31103839999999999</v>
      </c>
      <c r="N1851">
        <v>0</v>
      </c>
      <c r="O1851">
        <v>-0.95030559999999997</v>
      </c>
      <c r="P1851">
        <v>0.42026249999999998</v>
      </c>
      <c r="Q1851">
        <v>0.16373399999999999</v>
      </c>
      <c r="R1851">
        <v>-0.89250830000000003</v>
      </c>
      <c r="S1851">
        <v>1.9582520000000001</v>
      </c>
      <c r="T1851">
        <v>-0.2008703</v>
      </c>
      <c r="U1851">
        <v>-2.486084</v>
      </c>
      <c r="V1851">
        <v>-0.12686749999999999</v>
      </c>
      <c r="W1851">
        <v>0.1730506</v>
      </c>
      <c r="X1851">
        <v>0.97670780000000001</v>
      </c>
      <c r="Y1851">
        <v>-0.34241490000000002</v>
      </c>
      <c r="Z1851">
        <v>6.3691079999999997E-2</v>
      </c>
      <c r="AA1851">
        <v>0.93738759999999999</v>
      </c>
      <c r="AB1851">
        <v>36</v>
      </c>
      <c r="AC1851">
        <v>10.7477999999999</v>
      </c>
      <c r="AD1851">
        <v>-1.1150467166539999</v>
      </c>
      <c r="AE1851">
        <v>-13.445189999999901</v>
      </c>
      <c r="AF1851">
        <v>-6.0070424734529704</v>
      </c>
      <c r="AG1851">
        <v>-1.1150467166539999</v>
      </c>
      <c r="AH1851">
        <v>16.054055143362501</v>
      </c>
      <c r="AI1851">
        <v>93.721907551704604</v>
      </c>
      <c r="AJ1851">
        <v>110.514643964008</v>
      </c>
      <c r="AK1851">
        <v>17.177327353354901</v>
      </c>
    </row>
    <row r="1852" spans="1:37" x14ac:dyDescent="0.2">
      <c r="A1852" t="str">
        <f>"20200111150627141"</f>
        <v>20200111150627141</v>
      </c>
      <c r="B1852" t="str">
        <f>"1578726387138299"</f>
        <v>1578726387138299</v>
      </c>
      <c r="C1852" t="s">
        <v>37</v>
      </c>
      <c r="D1852">
        <v>5.1891660000000002</v>
      </c>
      <c r="E1852">
        <v>0.41000920000000002</v>
      </c>
      <c r="F1852" t="s">
        <v>85</v>
      </c>
      <c r="G1852">
        <v>-409.25400000000002</v>
      </c>
      <c r="H1852" s="1">
        <v>-2.7987060000000002E-6</v>
      </c>
      <c r="I1852">
        <v>26.402229999999999</v>
      </c>
      <c r="J1852">
        <v>-420.06799999999998</v>
      </c>
      <c r="K1852">
        <v>1.115083</v>
      </c>
      <c r="L1852">
        <v>39.639530000000001</v>
      </c>
      <c r="M1852">
        <v>0.3223974</v>
      </c>
      <c r="N1852">
        <v>0</v>
      </c>
      <c r="O1852">
        <v>-0.94651200000000002</v>
      </c>
      <c r="P1852">
        <v>0.4309595</v>
      </c>
      <c r="Q1852">
        <v>0.16450899999999999</v>
      </c>
      <c r="R1852">
        <v>-0.88724910000000001</v>
      </c>
      <c r="S1852">
        <v>1.9855349999999901</v>
      </c>
      <c r="T1852">
        <v>-0.2025602</v>
      </c>
      <c r="U1852">
        <v>-2.4635009999999999</v>
      </c>
      <c r="V1852">
        <v>-0.12699769999999999</v>
      </c>
      <c r="W1852">
        <v>0.173818</v>
      </c>
      <c r="X1852">
        <v>0.97655460000000005</v>
      </c>
      <c r="Y1852">
        <v>-0.34163520000000003</v>
      </c>
      <c r="Z1852">
        <v>6.4115809999999995E-2</v>
      </c>
      <c r="AA1852">
        <v>0.93764309999999995</v>
      </c>
      <c r="AB1852">
        <v>36</v>
      </c>
      <c r="AC1852">
        <v>10.814</v>
      </c>
      <c r="AD1852">
        <v>-1.1150857987060001</v>
      </c>
      <c r="AE1852">
        <v>-13.237299999999999</v>
      </c>
      <c r="AF1852">
        <v>-5.9431388702619996</v>
      </c>
      <c r="AG1852">
        <v>-1.1150857987060001</v>
      </c>
      <c r="AH1852">
        <v>15.949193102793</v>
      </c>
      <c r="AI1852">
        <v>93.748333535178006</v>
      </c>
      <c r="AJ1852">
        <v>110.436874666892</v>
      </c>
      <c r="AK1852">
        <v>17.0569949463519</v>
      </c>
    </row>
    <row r="1853" spans="1:37" x14ac:dyDescent="0.2">
      <c r="A1853" t="str">
        <f>"20200111150627176"</f>
        <v>20200111150627176</v>
      </c>
      <c r="B1853" t="str">
        <f>"1578726387168554"</f>
        <v>1578726387168554</v>
      </c>
      <c r="C1853" t="s">
        <v>37</v>
      </c>
      <c r="D1853">
        <v>5.1762670000000002</v>
      </c>
      <c r="E1853">
        <v>0.41378179999999998</v>
      </c>
      <c r="F1853" t="s">
        <v>85</v>
      </c>
      <c r="G1853">
        <v>-409.90300000000002</v>
      </c>
      <c r="H1853" s="1">
        <v>-2.554437E-6</v>
      </c>
      <c r="I1853">
        <v>27.031469999999999</v>
      </c>
      <c r="J1853">
        <v>-419.87040000000002</v>
      </c>
      <c r="K1853">
        <v>1.1151329999999999</v>
      </c>
      <c r="L1853">
        <v>39.113680000000002</v>
      </c>
      <c r="M1853">
        <v>0.34087279999999998</v>
      </c>
      <c r="N1853">
        <v>0</v>
      </c>
      <c r="O1853">
        <v>-0.94001630000000003</v>
      </c>
      <c r="P1853">
        <v>0.44806079999999998</v>
      </c>
      <c r="Q1853">
        <v>0.16411779999999901</v>
      </c>
      <c r="R1853">
        <v>-0.87881030000000004</v>
      </c>
      <c r="S1853">
        <v>1.9822689999999901</v>
      </c>
      <c r="T1853">
        <v>-0.2174538</v>
      </c>
      <c r="U1853">
        <v>-2.45871</v>
      </c>
      <c r="V1853">
        <v>-0.1267732</v>
      </c>
      <c r="W1853">
        <v>0.173432</v>
      </c>
      <c r="X1853">
        <v>0.97665239999999998</v>
      </c>
      <c r="Y1853">
        <v>-0.32311059999999903</v>
      </c>
      <c r="Z1853">
        <v>6.8477270000000007E-2</v>
      </c>
      <c r="AA1853">
        <v>0.94388050000000001</v>
      </c>
      <c r="AB1853">
        <v>36</v>
      </c>
      <c r="AC1853">
        <v>9.9673999999999907</v>
      </c>
      <c r="AD1853">
        <v>-1.1151355544370001</v>
      </c>
      <c r="AE1853">
        <v>-12.08221</v>
      </c>
      <c r="AF1853">
        <v>-5.2249969191665899</v>
      </c>
      <c r="AG1853">
        <v>-1.1151355544370001</v>
      </c>
      <c r="AH1853">
        <v>14.6819616017358</v>
      </c>
      <c r="AI1853">
        <v>94.092909749249003</v>
      </c>
      <c r="AJ1853">
        <v>109.589559327432</v>
      </c>
      <c r="AK1853">
        <v>15.623831687038701</v>
      </c>
    </row>
    <row r="1854" spans="1:37" x14ac:dyDescent="0.2">
      <c r="A1854" t="str">
        <f>"20200111150627195"</f>
        <v>20200111150627195</v>
      </c>
      <c r="B1854" t="str">
        <f>"1578726387188073"</f>
        <v>1578726387188073</v>
      </c>
      <c r="C1854" t="s">
        <v>37</v>
      </c>
      <c r="D1854">
        <v>5.1656529999999998</v>
      </c>
      <c r="E1854">
        <v>0.41590260000000001</v>
      </c>
      <c r="F1854" t="s">
        <v>85</v>
      </c>
      <c r="G1854">
        <v>-410.1259</v>
      </c>
      <c r="H1854" s="1">
        <v>-1.05014899999999E-5</v>
      </c>
      <c r="I1854">
        <v>27.269850000000002</v>
      </c>
      <c r="J1854">
        <v>-419.75130000000001</v>
      </c>
      <c r="K1854">
        <v>1.1151530000000001</v>
      </c>
      <c r="L1854">
        <v>38.811219999999999</v>
      </c>
      <c r="M1854">
        <v>0.35151339999999998</v>
      </c>
      <c r="N1854">
        <v>0</v>
      </c>
      <c r="O1854">
        <v>-0.93608919999999995</v>
      </c>
      <c r="P1854">
        <v>0.45751140000000001</v>
      </c>
      <c r="Q1854">
        <v>0.16327359999999999</v>
      </c>
      <c r="R1854">
        <v>-0.87408560000000002</v>
      </c>
      <c r="S1854">
        <v>2.003479</v>
      </c>
      <c r="T1854">
        <v>-0.22927320000000001</v>
      </c>
      <c r="U1854">
        <v>-2.4350890000000001</v>
      </c>
      <c r="V1854">
        <v>-0.126157399999999</v>
      </c>
      <c r="W1854">
        <v>0.1726087</v>
      </c>
      <c r="X1854">
        <v>0.97687800000000002</v>
      </c>
      <c r="Y1854">
        <v>-0.32158419999999999</v>
      </c>
      <c r="Z1854">
        <v>7.2117089999999995E-2</v>
      </c>
      <c r="AA1854">
        <v>0.94413069999999899</v>
      </c>
      <c r="AB1854">
        <v>36</v>
      </c>
      <c r="AC1854">
        <v>9.6254000000000097</v>
      </c>
      <c r="AD1854">
        <v>-1.1151635014900001</v>
      </c>
      <c r="AE1854">
        <v>-11.541369999999899</v>
      </c>
      <c r="AF1854">
        <v>-4.9265941459923601</v>
      </c>
      <c r="AG1854">
        <v>-1.1151635014900001</v>
      </c>
      <c r="AH1854">
        <v>14.110755832336899</v>
      </c>
      <c r="AI1854">
        <v>94.267076571303704</v>
      </c>
      <c r="AJ1854">
        <v>109.24601026458799</v>
      </c>
      <c r="AK1854">
        <v>14.987606535875299</v>
      </c>
    </row>
    <row r="1855" spans="1:37" x14ac:dyDescent="0.2">
      <c r="A1855" t="str">
        <f>"20200111150627212"</f>
        <v>20200111150627212</v>
      </c>
      <c r="B1855" t="str">
        <f>"1578726387208570"</f>
        <v>1578726387208570</v>
      </c>
      <c r="C1855" t="s">
        <v>37</v>
      </c>
      <c r="D1855">
        <v>5.1150159999999998</v>
      </c>
      <c r="E1855">
        <v>0.4175547</v>
      </c>
      <c r="F1855" t="s">
        <v>85</v>
      </c>
      <c r="G1855">
        <v>-410.08460000000002</v>
      </c>
      <c r="H1855" s="1">
        <v>-1.0509100000000001E-5</v>
      </c>
      <c r="I1855">
        <v>27.195799999999998</v>
      </c>
      <c r="J1855">
        <v>-419.64909999999998</v>
      </c>
      <c r="K1855">
        <v>1.1151629999999999</v>
      </c>
      <c r="L1855">
        <v>38.558839999999996</v>
      </c>
      <c r="M1855">
        <v>0.3603943</v>
      </c>
      <c r="N1855">
        <v>0</v>
      </c>
      <c r="O1855">
        <v>-0.93270589999999998</v>
      </c>
      <c r="P1855">
        <v>0.46646909999999903</v>
      </c>
      <c r="Q1855">
        <v>0.16270519999999999</v>
      </c>
      <c r="R1855">
        <v>-0.86944489999999996</v>
      </c>
      <c r="S1855">
        <v>2.0148320000000002</v>
      </c>
      <c r="T1855">
        <v>-0.23243249999999999</v>
      </c>
      <c r="U1855">
        <v>-2.4209900000000002</v>
      </c>
      <c r="V1855">
        <v>-0.12686610000000001</v>
      </c>
      <c r="W1855">
        <v>0.17201920000000001</v>
      </c>
      <c r="X1855">
        <v>0.97689009999999998</v>
      </c>
      <c r="Y1855">
        <v>-0.31785159999999901</v>
      </c>
      <c r="Z1855">
        <v>7.2995690000000002E-2</v>
      </c>
      <c r="AA1855">
        <v>0.94532640000000001</v>
      </c>
      <c r="AB1855">
        <v>36</v>
      </c>
      <c r="AC1855">
        <v>9.5644999999999492</v>
      </c>
      <c r="AD1855">
        <v>-1.1151735090999999</v>
      </c>
      <c r="AE1855">
        <v>-11.36304</v>
      </c>
      <c r="AF1855">
        <v>-4.7990601538904203</v>
      </c>
      <c r="AG1855">
        <v>-1.1151735090999999</v>
      </c>
      <c r="AH1855">
        <v>13.9678563649819</v>
      </c>
      <c r="AI1855">
        <v>94.317994613395399</v>
      </c>
      <c r="AJ1855">
        <v>108.96163792604101</v>
      </c>
      <c r="AK1855">
        <v>14.811333557408799</v>
      </c>
    </row>
    <row r="1856" spans="1:37" x14ac:dyDescent="0.2">
      <c r="A1856" t="str">
        <f>"20200111150627229"</f>
        <v>20200111150627229</v>
      </c>
      <c r="B1856" t="str">
        <f>"1578726387218329"</f>
        <v>1578726387218329</v>
      </c>
      <c r="C1856" t="s">
        <v>37</v>
      </c>
      <c r="D1856">
        <v>4.1626289999999999</v>
      </c>
      <c r="E1856">
        <v>0.4175547</v>
      </c>
      <c r="F1856" t="s">
        <v>85</v>
      </c>
      <c r="G1856">
        <v>-410.19400000000002</v>
      </c>
      <c r="H1856" s="1">
        <v>-1.048308E-5</v>
      </c>
      <c r="I1856">
        <v>27.333670000000001</v>
      </c>
      <c r="J1856">
        <v>-419.54730000000001</v>
      </c>
      <c r="K1856">
        <v>1.11517</v>
      </c>
      <c r="L1856">
        <v>38.314999999999998</v>
      </c>
      <c r="M1856">
        <v>0.36898559999999903</v>
      </c>
      <c r="N1856">
        <v>0</v>
      </c>
      <c r="O1856">
        <v>-0.92934039999999996</v>
      </c>
      <c r="P1856">
        <v>0.47549350000000001</v>
      </c>
      <c r="Q1856">
        <v>0.1621001</v>
      </c>
      <c r="R1856">
        <v>-0.86465599999999998</v>
      </c>
      <c r="S1856">
        <v>2.0277400000000001</v>
      </c>
      <c r="T1856">
        <v>-0.23915990000000001</v>
      </c>
      <c r="U1856">
        <v>-2.407349</v>
      </c>
      <c r="V1856">
        <v>-0.12796949999999899</v>
      </c>
      <c r="W1856">
        <v>0.17138129999999999</v>
      </c>
      <c r="X1856">
        <v>0.97685840000000002</v>
      </c>
      <c r="Y1856">
        <v>-0.31460169999999998</v>
      </c>
      <c r="Z1856">
        <v>7.4952050000000006E-2</v>
      </c>
      <c r="AA1856">
        <v>0.94625999999999999</v>
      </c>
      <c r="AB1856">
        <v>36</v>
      </c>
      <c r="AC1856">
        <v>9.3532999999999902</v>
      </c>
      <c r="AD1856">
        <v>-1.1151804830800001</v>
      </c>
      <c r="AE1856">
        <v>-10.9813299999999</v>
      </c>
      <c r="AF1856">
        <v>-4.6132825193261597</v>
      </c>
      <c r="AG1856">
        <v>-1.1151804830800001</v>
      </c>
      <c r="AH1856">
        <v>13.5766830043961</v>
      </c>
      <c r="AI1856">
        <v>94.447067549603702</v>
      </c>
      <c r="AJ1856">
        <v>108.76747950453699</v>
      </c>
      <c r="AK1856">
        <v>14.3823615764179</v>
      </c>
    </row>
    <row r="1857" spans="1:37" x14ac:dyDescent="0.2">
      <c r="A1857" t="str">
        <f>"20200111150627252"</f>
        <v>20200111150627252</v>
      </c>
      <c r="B1857" t="str">
        <f>"1578726387248585"</f>
        <v>1578726387248585</v>
      </c>
      <c r="C1857" t="s">
        <v>37</v>
      </c>
      <c r="D1857">
        <v>5.049957</v>
      </c>
      <c r="E1857">
        <v>0.4191819</v>
      </c>
      <c r="F1857" t="s">
        <v>85</v>
      </c>
      <c r="G1857">
        <v>-410.06830000000002</v>
      </c>
      <c r="H1857" s="1">
        <v>-1.0524819999999999E-5</v>
      </c>
      <c r="I1857">
        <v>27.293909999999901</v>
      </c>
      <c r="J1857">
        <v>-419.40469999999999</v>
      </c>
      <c r="K1857">
        <v>1.115181</v>
      </c>
      <c r="L1857">
        <v>37.982759999999999</v>
      </c>
      <c r="M1857">
        <v>0.38069130000000001</v>
      </c>
      <c r="N1857">
        <v>0</v>
      </c>
      <c r="O1857">
        <v>-0.92460699999999996</v>
      </c>
      <c r="P1857">
        <v>0.48698809999999898</v>
      </c>
      <c r="Q1857">
        <v>0.161712299999999</v>
      </c>
      <c r="R1857">
        <v>-0.8583075</v>
      </c>
      <c r="S1857">
        <v>2.0523380000000002</v>
      </c>
      <c r="T1857">
        <v>-0.24145320000000001</v>
      </c>
      <c r="U1857">
        <v>-2.3862299999999999</v>
      </c>
      <c r="V1857">
        <v>-0.1286397</v>
      </c>
      <c r="W1857">
        <v>0.1709744</v>
      </c>
      <c r="X1857">
        <v>0.97684159999999998</v>
      </c>
      <c r="Y1857">
        <v>-0.31233519999999998</v>
      </c>
      <c r="Z1857">
        <v>7.5418159999999998E-2</v>
      </c>
      <c r="AA1857">
        <v>0.94697350000000002</v>
      </c>
      <c r="AB1857">
        <v>36</v>
      </c>
      <c r="AC1857">
        <v>9.3363999999999692</v>
      </c>
      <c r="AD1857">
        <v>-1.1151915248199999</v>
      </c>
      <c r="AE1857">
        <v>-10.68885</v>
      </c>
      <c r="AF1857">
        <v>-4.5357446684153002</v>
      </c>
      <c r="AG1857">
        <v>-1.1151915248199999</v>
      </c>
      <c r="AH1857">
        <v>13.3559890546858</v>
      </c>
      <c r="AI1857">
        <v>94.5205547315839</v>
      </c>
      <c r="AJ1857">
        <v>108.757682569837</v>
      </c>
      <c r="AK1857">
        <v>14.1491722536329</v>
      </c>
    </row>
    <row r="1858" spans="1:37" x14ac:dyDescent="0.2">
      <c r="A1858" t="str">
        <f>"20200111150627274"</f>
        <v>20200111150627274</v>
      </c>
      <c r="B1858" t="str">
        <f>"1578726387268105"</f>
        <v>1578726387268105</v>
      </c>
      <c r="C1858" t="s">
        <v>37</v>
      </c>
      <c r="D1858">
        <v>5.1286459999999998</v>
      </c>
      <c r="E1858">
        <v>0.4312127</v>
      </c>
      <c r="F1858" t="s">
        <v>85</v>
      </c>
      <c r="G1858">
        <v>-409.92540000000002</v>
      </c>
      <c r="H1858" s="1">
        <v>-2.571536E-6</v>
      </c>
      <c r="I1858">
        <v>27.167850000000001</v>
      </c>
      <c r="J1858">
        <v>-419.25850000000003</v>
      </c>
      <c r="K1858">
        <v>1.115186</v>
      </c>
      <c r="L1858">
        <v>37.654269999999997</v>
      </c>
      <c r="M1858">
        <v>0.39227679999999998</v>
      </c>
      <c r="N1858">
        <v>0</v>
      </c>
      <c r="O1858">
        <v>-0.9197514</v>
      </c>
      <c r="P1858">
        <v>0.49885859999999899</v>
      </c>
      <c r="Q1858">
        <v>0.16086689999999901</v>
      </c>
      <c r="R1858">
        <v>-0.85162320000000002</v>
      </c>
      <c r="S1858">
        <v>2.0729679999999999</v>
      </c>
      <c r="T1858">
        <v>-0.24387319999999901</v>
      </c>
      <c r="U1858">
        <v>-2.3650509999999998</v>
      </c>
      <c r="V1858">
        <v>-0.12985260000000001</v>
      </c>
      <c r="W1858">
        <v>0.17009389999999999</v>
      </c>
      <c r="X1858">
        <v>0.97683489999999995</v>
      </c>
      <c r="Y1858">
        <v>-0.30923719999999999</v>
      </c>
      <c r="Z1858">
        <v>7.5947909999999993E-2</v>
      </c>
      <c r="AA1858">
        <v>0.9479474</v>
      </c>
      <c r="AB1858">
        <v>36</v>
      </c>
      <c r="AC1858">
        <v>9.3331</v>
      </c>
      <c r="AD1858">
        <v>-1.1151885715359999</v>
      </c>
      <c r="AE1858">
        <v>-10.486420000000001</v>
      </c>
      <c r="AF1858">
        <v>-4.4429090609200799</v>
      </c>
      <c r="AG1858">
        <v>-1.1151885715359999</v>
      </c>
      <c r="AH1858">
        <v>13.2237806991828</v>
      </c>
      <c r="AI1858">
        <v>94.5705475466427</v>
      </c>
      <c r="AJ1858">
        <v>108.57125351091599</v>
      </c>
      <c r="AK1858">
        <v>13.9946940821788</v>
      </c>
    </row>
    <row r="1859" spans="1:37" x14ac:dyDescent="0.2">
      <c r="A1859" t="str">
        <f>"20200111150627297"</f>
        <v>20200111150627297</v>
      </c>
      <c r="B1859" t="str">
        <f>"1578726387288602"</f>
        <v>1578726387288602</v>
      </c>
      <c r="C1859" t="s">
        <v>37</v>
      </c>
      <c r="D1859">
        <v>5.11205</v>
      </c>
      <c r="E1859">
        <v>0.43470389999999998</v>
      </c>
      <c r="F1859" t="s">
        <v>39</v>
      </c>
      <c r="G1859">
        <v>-394.47550000000001</v>
      </c>
      <c r="H1859">
        <v>7.9985319999999999E-2</v>
      </c>
      <c r="I1859">
        <v>8.5677899999999898</v>
      </c>
      <c r="J1859">
        <v>-419.10480000000001</v>
      </c>
      <c r="K1859">
        <v>1.115192</v>
      </c>
      <c r="L1859">
        <v>37.320770000000003</v>
      </c>
      <c r="M1859">
        <v>0.4040533</v>
      </c>
      <c r="N1859">
        <v>0</v>
      </c>
      <c r="O1859">
        <v>-0.91463909999999904</v>
      </c>
      <c r="P1859">
        <v>0.51093449999999996</v>
      </c>
      <c r="Q1859">
        <v>0.15970409999999999</v>
      </c>
      <c r="R1859">
        <v>-0.84465460000000003</v>
      </c>
      <c r="S1859">
        <v>2.0112000000000001</v>
      </c>
      <c r="T1859">
        <v>-8.4009169999999994E-2</v>
      </c>
      <c r="U1859">
        <v>-2.3604430000000001</v>
      </c>
      <c r="V1859">
        <v>-0.13110539999999901</v>
      </c>
      <c r="W1859">
        <v>0.16889560000000001</v>
      </c>
      <c r="X1859">
        <v>0.97687549999999901</v>
      </c>
      <c r="Y1859">
        <v>-0.28541830000000001</v>
      </c>
      <c r="Z1859">
        <v>2.636699E-2</v>
      </c>
      <c r="AA1859">
        <v>0.95804029999999996</v>
      </c>
      <c r="AB1859">
        <v>36</v>
      </c>
      <c r="AC1859">
        <v>24.629300000000001</v>
      </c>
      <c r="AD1859">
        <v>-1.0352066799999999</v>
      </c>
      <c r="AE1859">
        <v>-28.752980000000001</v>
      </c>
      <c r="AF1859">
        <v>-10.9019947962381</v>
      </c>
      <c r="AG1859">
        <v>-1.0352066799999999</v>
      </c>
      <c r="AH1859">
        <v>36.226259569613397</v>
      </c>
      <c r="AI1859">
        <v>91.567443424580702</v>
      </c>
      <c r="AJ1859">
        <v>106.748735647871</v>
      </c>
      <c r="AK1859">
        <v>37.845303880567897</v>
      </c>
    </row>
    <row r="1860" spans="1:37" x14ac:dyDescent="0.2">
      <c r="A1860" t="str">
        <f>"20200111150627318"</f>
        <v>20200111150627318</v>
      </c>
      <c r="B1860" t="str">
        <f>"1578726387308121"</f>
        <v>1578726387308121</v>
      </c>
      <c r="C1860" t="s">
        <v>37</v>
      </c>
      <c r="D1860">
        <v>5.0652049999999997</v>
      </c>
      <c r="E1860">
        <v>0.43552689999999999</v>
      </c>
      <c r="F1860" t="s">
        <v>85</v>
      </c>
      <c r="G1860">
        <v>-410.87369999999999</v>
      </c>
      <c r="H1860" s="1">
        <v>-1.027426E-5</v>
      </c>
      <c r="I1860">
        <v>27.717320000000001</v>
      </c>
      <c r="J1860">
        <v>-418.95440000000002</v>
      </c>
      <c r="K1860">
        <v>1.115202</v>
      </c>
      <c r="L1860">
        <v>37.004579999999997</v>
      </c>
      <c r="M1860">
        <v>0.41522550000000003</v>
      </c>
      <c r="N1860">
        <v>0</v>
      </c>
      <c r="O1860">
        <v>-0.90962149999999997</v>
      </c>
      <c r="P1860">
        <v>0.52198370000000005</v>
      </c>
      <c r="Q1860">
        <v>0.15936210000000001</v>
      </c>
      <c r="R1860">
        <v>-0.83793609999999896</v>
      </c>
      <c r="S1860">
        <v>2.0342099999999999</v>
      </c>
      <c r="T1860">
        <v>-0.27560950000000001</v>
      </c>
      <c r="U1860">
        <v>-2.373383</v>
      </c>
      <c r="V1860">
        <v>-0.13194049999999999</v>
      </c>
      <c r="W1860">
        <v>0.1685304</v>
      </c>
      <c r="X1860">
        <v>0.97682610000000003</v>
      </c>
      <c r="Y1860">
        <v>-0.2741499</v>
      </c>
      <c r="Z1860">
        <v>8.5035769999999997E-2</v>
      </c>
      <c r="AA1860">
        <v>0.95791999999999999</v>
      </c>
      <c r="AB1860">
        <v>36</v>
      </c>
      <c r="AC1860">
        <v>8.0807000000000304</v>
      </c>
      <c r="AD1860">
        <v>-1.1152122742599999</v>
      </c>
      <c r="AE1860">
        <v>-9.2872599999999892</v>
      </c>
      <c r="AF1860">
        <v>-3.4659365755691098</v>
      </c>
      <c r="AG1860">
        <v>-1.1152122742599999</v>
      </c>
      <c r="AH1860">
        <v>11.708163182997099</v>
      </c>
      <c r="AI1860">
        <v>95.218517385335304</v>
      </c>
      <c r="AJ1860">
        <v>106.49019474549701</v>
      </c>
      <c r="AK1860">
        <v>12.2612193472843</v>
      </c>
    </row>
    <row r="1861" spans="1:37" x14ac:dyDescent="0.2">
      <c r="A1861" t="str">
        <f>"20200111150627341"</f>
        <v>20200111150627341</v>
      </c>
      <c r="B1861" t="str">
        <f>"1578726387338377"</f>
        <v>1578726387338377</v>
      </c>
      <c r="C1861" t="s">
        <v>37</v>
      </c>
      <c r="D1861">
        <v>5.037452</v>
      </c>
      <c r="E1861">
        <v>0.43693589999999999</v>
      </c>
      <c r="F1861" t="s">
        <v>85</v>
      </c>
      <c r="G1861">
        <v>-410.63240000000002</v>
      </c>
      <c r="H1861" s="1">
        <v>-1.034112E-5</v>
      </c>
      <c r="I1861">
        <v>27.50808</v>
      </c>
      <c r="J1861">
        <v>-418.80090000000001</v>
      </c>
      <c r="K1861">
        <v>1.1152169999999999</v>
      </c>
      <c r="L1861">
        <v>36.691859999999998</v>
      </c>
      <c r="M1861">
        <v>0.42628719999999998</v>
      </c>
      <c r="N1861">
        <v>0</v>
      </c>
      <c r="O1861">
        <v>-0.90449000000000002</v>
      </c>
      <c r="P1861">
        <v>0.53244250000000004</v>
      </c>
      <c r="Q1861">
        <v>0.15922800000000001</v>
      </c>
      <c r="R1861">
        <v>-0.83135530000000002</v>
      </c>
      <c r="S1861">
        <v>2.0592649999999999</v>
      </c>
      <c r="T1861">
        <v>-0.27595639999999999</v>
      </c>
      <c r="U1861">
        <v>-2.3498839999999999</v>
      </c>
      <c r="V1861">
        <v>-0.1322595</v>
      </c>
      <c r="W1861">
        <v>0.16839319999999999</v>
      </c>
      <c r="X1861">
        <v>0.97680659999999897</v>
      </c>
      <c r="Y1861">
        <v>-0.27294980000000002</v>
      </c>
      <c r="Z1861">
        <v>8.4840849999999995E-2</v>
      </c>
      <c r="AA1861">
        <v>0.95827989999999996</v>
      </c>
      <c r="AB1861">
        <v>36</v>
      </c>
      <c r="AC1861">
        <v>8.1684999999999892</v>
      </c>
      <c r="AD1861">
        <v>-1.11522734112</v>
      </c>
      <c r="AE1861">
        <v>-9.1837800000000005</v>
      </c>
      <c r="AF1861">
        <v>-3.4453406699170301</v>
      </c>
      <c r="AG1861">
        <v>-1.11522734112</v>
      </c>
      <c r="AH1861">
        <v>11.6935348042659</v>
      </c>
      <c r="AI1861">
        <v>95.227043444942694</v>
      </c>
      <c r="AJ1861">
        <v>106.416890936515</v>
      </c>
      <c r="AK1861">
        <v>12.2414402981326</v>
      </c>
    </row>
    <row r="1862" spans="1:37" x14ac:dyDescent="0.2">
      <c r="A1862" t="str">
        <f>"20200111150627364"</f>
        <v>20200111150627364</v>
      </c>
      <c r="B1862" t="str">
        <f>"1578726387357897"</f>
        <v>1578726387357897</v>
      </c>
      <c r="C1862" t="s">
        <v>37</v>
      </c>
      <c r="D1862">
        <v>5.1317139999999997</v>
      </c>
      <c r="E1862">
        <v>0.44224179999999902</v>
      </c>
      <c r="F1862" t="s">
        <v>85</v>
      </c>
      <c r="G1862">
        <v>-410.34379999999999</v>
      </c>
      <c r="H1862" s="1">
        <v>-1.0416719999999999E-5</v>
      </c>
      <c r="I1862">
        <v>27.214469999999999</v>
      </c>
      <c r="J1862">
        <v>-418.63380000000001</v>
      </c>
      <c r="K1862">
        <v>1.1152329999999999</v>
      </c>
      <c r="L1862">
        <v>36.361759999999997</v>
      </c>
      <c r="M1862">
        <v>0.4379866</v>
      </c>
      <c r="N1862">
        <v>0</v>
      </c>
      <c r="O1862">
        <v>-0.89888299999999999</v>
      </c>
      <c r="P1862">
        <v>0.54329479999999997</v>
      </c>
      <c r="Q1862">
        <v>0.16042699999999999</v>
      </c>
      <c r="R1862">
        <v>-0.82407160000000002</v>
      </c>
      <c r="S1862">
        <v>2.0788880000000001</v>
      </c>
      <c r="T1862">
        <v>-0.27413920000000003</v>
      </c>
      <c r="U1862">
        <v>-2.3296809999999999</v>
      </c>
      <c r="V1862">
        <v>-0.13253499999999999</v>
      </c>
      <c r="W1862">
        <v>0.16959109999999999</v>
      </c>
      <c r="X1862">
        <v>0.97656200000000004</v>
      </c>
      <c r="Y1862">
        <v>-0.26913209999999999</v>
      </c>
      <c r="Z1862">
        <v>8.3919170000000001E-2</v>
      </c>
      <c r="AA1862">
        <v>0.95944019999999997</v>
      </c>
      <c r="AB1862">
        <v>36</v>
      </c>
      <c r="AC1862">
        <v>8.2900000000000098</v>
      </c>
      <c r="AD1862">
        <v>-1.1152434167199901</v>
      </c>
      <c r="AE1862">
        <v>-9.1472899999999893</v>
      </c>
      <c r="AF1862">
        <v>-3.41776113259853</v>
      </c>
      <c r="AG1862">
        <v>-1.1152434167199901</v>
      </c>
      <c r="AH1862">
        <v>11.758337974924601</v>
      </c>
      <c r="AI1862">
        <v>95.204003433901903</v>
      </c>
      <c r="AJ1862">
        <v>106.207405731988</v>
      </c>
      <c r="AK1862">
        <v>12.295664722600099</v>
      </c>
    </row>
    <row r="1863" spans="1:37" x14ac:dyDescent="0.2">
      <c r="A1863" t="str">
        <f>"20200111150627387"</f>
        <v>20200111150627387</v>
      </c>
      <c r="B1863" t="str">
        <f>"1578726387378395"</f>
        <v>1578726387378395</v>
      </c>
      <c r="C1863" t="s">
        <v>37</v>
      </c>
      <c r="D1863">
        <v>5.5874709999999999</v>
      </c>
      <c r="E1863">
        <v>0.44224179999999902</v>
      </c>
      <c r="F1863" t="s">
        <v>85</v>
      </c>
      <c r="G1863">
        <v>-409.07819999999998</v>
      </c>
      <c r="H1863" s="1">
        <v>-2.73638399999999E-6</v>
      </c>
      <c r="I1863">
        <v>25.654109999999999</v>
      </c>
      <c r="J1863">
        <v>-418.46530000000001</v>
      </c>
      <c r="K1863">
        <v>1.1152549999999899</v>
      </c>
      <c r="L1863">
        <v>36.039149999999999</v>
      </c>
      <c r="M1863">
        <v>0.44945099999999999</v>
      </c>
      <c r="N1863">
        <v>0</v>
      </c>
      <c r="O1863">
        <v>-0.89320580000000005</v>
      </c>
      <c r="P1863">
        <v>0.55429019999999996</v>
      </c>
      <c r="Q1863">
        <v>0.160464</v>
      </c>
      <c r="R1863">
        <v>-0.81670949999999998</v>
      </c>
      <c r="S1863">
        <v>2.0718079999999999</v>
      </c>
      <c r="T1863">
        <v>-0.24180160000000001</v>
      </c>
      <c r="U1863">
        <v>-2.3215939999999899</v>
      </c>
      <c r="V1863">
        <v>-0.13314300000000001</v>
      </c>
      <c r="W1863">
        <v>0.16961789999999999</v>
      </c>
      <c r="X1863">
        <v>0.97647459999999997</v>
      </c>
      <c r="Y1863">
        <v>-0.25740039999999997</v>
      </c>
      <c r="Z1863">
        <v>7.3796319999999999E-2</v>
      </c>
      <c r="AA1863">
        <v>0.96348279999999997</v>
      </c>
      <c r="AB1863">
        <v>36</v>
      </c>
      <c r="AC1863">
        <v>9.3871000000000304</v>
      </c>
      <c r="AD1863">
        <v>-1.1152577363839999</v>
      </c>
      <c r="AE1863">
        <v>-10.38504</v>
      </c>
      <c r="AF1863">
        <v>-3.6939295662849099</v>
      </c>
      <c r="AG1863">
        <v>-1.1152577363839999</v>
      </c>
      <c r="AH1863">
        <v>13.4110950807728</v>
      </c>
      <c r="AI1863">
        <v>94.583809377029397</v>
      </c>
      <c r="AJ1863">
        <v>105.399597080859</v>
      </c>
      <c r="AK1863">
        <v>13.9551562773323</v>
      </c>
    </row>
    <row r="1864" spans="1:37" x14ac:dyDescent="0.2">
      <c r="A1864" t="str">
        <f>"20200111150627410"</f>
        <v>20200111150627410</v>
      </c>
      <c r="B1864" t="str">
        <f>"1578726387397914"</f>
        <v>1578726387397914</v>
      </c>
      <c r="C1864" t="s">
        <v>37</v>
      </c>
      <c r="D1864">
        <v>5.1541769999999998</v>
      </c>
      <c r="E1864">
        <v>0.38756770000000001</v>
      </c>
      <c r="F1864" t="s">
        <v>85</v>
      </c>
      <c r="G1864">
        <v>-408.75990000000002</v>
      </c>
      <c r="H1864" s="1">
        <v>-2.8803059999999999E-6</v>
      </c>
      <c r="I1864">
        <v>25.453800000000001</v>
      </c>
      <c r="J1864">
        <v>-418.29379999999998</v>
      </c>
      <c r="K1864">
        <v>1.1152899999999999</v>
      </c>
      <c r="L1864">
        <v>35.720729999999897</v>
      </c>
      <c r="M1864">
        <v>0.46080539999999998</v>
      </c>
      <c r="N1864">
        <v>0</v>
      </c>
      <c r="O1864">
        <v>-0.88740079999999999</v>
      </c>
      <c r="P1864">
        <v>0.56458489999999995</v>
      </c>
      <c r="Q1864">
        <v>0.1606562</v>
      </c>
      <c r="R1864">
        <v>-0.80958869999999905</v>
      </c>
      <c r="S1864">
        <v>2.1029049999999998</v>
      </c>
      <c r="T1864">
        <v>-0.241644999999999</v>
      </c>
      <c r="U1864">
        <v>-2.2935490000000001</v>
      </c>
      <c r="V1864">
        <v>-0.13308619999999999</v>
      </c>
      <c r="W1864">
        <v>0.16981949999999901</v>
      </c>
      <c r="X1864">
        <v>0.97644730000000002</v>
      </c>
      <c r="Y1864">
        <v>-0.25805839999999902</v>
      </c>
      <c r="Z1864">
        <v>7.3426519999999995E-2</v>
      </c>
      <c r="AA1864">
        <v>0.96333500000000005</v>
      </c>
      <c r="AB1864">
        <v>36</v>
      </c>
      <c r="AC1864">
        <v>9.5338999999999601</v>
      </c>
      <c r="AD1864">
        <v>-1.1152928803059901</v>
      </c>
      <c r="AE1864">
        <v>-10.266929999999901</v>
      </c>
      <c r="AF1864">
        <v>-3.7061819852064302</v>
      </c>
      <c r="AG1864">
        <v>-1.1152928803059901</v>
      </c>
      <c r="AH1864">
        <v>13.4203206608685</v>
      </c>
      <c r="AI1864">
        <v>94.579969550950693</v>
      </c>
      <c r="AJ1864">
        <v>105.438127179201</v>
      </c>
      <c r="AK1864">
        <v>13.9672713783639</v>
      </c>
    </row>
    <row r="1865" spans="1:37" x14ac:dyDescent="0.2">
      <c r="A1865" t="str">
        <f>"20200111150627431"</f>
        <v>20200111150627431</v>
      </c>
      <c r="B1865" t="str">
        <f>"1578726387428170"</f>
        <v>1578726387428170</v>
      </c>
      <c r="C1865" t="s">
        <v>37</v>
      </c>
      <c r="D1865">
        <v>5.0649699999999998</v>
      </c>
      <c r="E1865">
        <v>0.40530290000000002</v>
      </c>
      <c r="F1865" t="s">
        <v>86</v>
      </c>
      <c r="G1865">
        <v>-364.55130000000003</v>
      </c>
      <c r="H1865">
        <v>10.36688</v>
      </c>
      <c r="I1865">
        <v>-6.7669789999999903</v>
      </c>
      <c r="J1865">
        <v>-418.12509999999997</v>
      </c>
      <c r="K1865">
        <v>1.1153230000000001</v>
      </c>
      <c r="L1865">
        <v>35.416719999999998</v>
      </c>
      <c r="M1865">
        <v>0.47169119999999998</v>
      </c>
      <c r="N1865">
        <v>0</v>
      </c>
      <c r="O1865">
        <v>-0.88166270000000002</v>
      </c>
      <c r="P1865">
        <v>0.57407969999999997</v>
      </c>
      <c r="Q1865">
        <v>0.16103509999999999</v>
      </c>
      <c r="R1865">
        <v>-0.80280790000000002</v>
      </c>
      <c r="S1865">
        <v>2.4344790000000001</v>
      </c>
      <c r="T1865">
        <v>0.41908809999999902</v>
      </c>
      <c r="U1865">
        <v>-1.924652</v>
      </c>
      <c r="V1865">
        <v>-0.13262850000000001</v>
      </c>
      <c r="W1865">
        <v>0.17021839999999999</v>
      </c>
      <c r="X1865">
        <v>0.97644010000000003</v>
      </c>
      <c r="Y1865">
        <v>-0.3916385</v>
      </c>
      <c r="Z1865">
        <v>-0.13108449999999999</v>
      </c>
      <c r="AA1865">
        <v>0.91073389999999999</v>
      </c>
      <c r="AB1865">
        <v>36</v>
      </c>
      <c r="AC1865">
        <v>53.573799999999899</v>
      </c>
      <c r="AD1865">
        <v>9.251557</v>
      </c>
      <c r="AE1865">
        <v>-42.183698999999997</v>
      </c>
      <c r="AF1865">
        <v>-26.844616419251199</v>
      </c>
      <c r="AG1865">
        <v>9.251557</v>
      </c>
      <c r="AH1865">
        <v>61.338518229777598</v>
      </c>
      <c r="AI1865">
        <v>82.132993223827</v>
      </c>
      <c r="AJ1865">
        <v>113.636445087407</v>
      </c>
      <c r="AK1865">
        <v>67.591704788721998</v>
      </c>
    </row>
    <row r="1866" spans="1:37" x14ac:dyDescent="0.2">
      <c r="A1866" t="str">
        <f>"20200111150627454"</f>
        <v>20200111150627454</v>
      </c>
      <c r="B1866" t="str">
        <f>"1578726387448666"</f>
        <v>1578726387448666</v>
      </c>
      <c r="C1866" t="s">
        <v>37</v>
      </c>
      <c r="D1866">
        <v>5.0508199999999999</v>
      </c>
      <c r="E1866">
        <v>0.40441139999999998</v>
      </c>
      <c r="F1866" t="s">
        <v>85</v>
      </c>
      <c r="G1866">
        <v>-403.89760000000001</v>
      </c>
      <c r="H1866" s="1">
        <v>-4.9590159999999999E-6</v>
      </c>
      <c r="I1866">
        <v>23.168890000000001</v>
      </c>
      <c r="J1866">
        <v>-417.94729999999998</v>
      </c>
      <c r="K1866">
        <v>1.11537</v>
      </c>
      <c r="L1866">
        <v>35.106020000000001</v>
      </c>
      <c r="M1866">
        <v>0.48287570000000002</v>
      </c>
      <c r="N1866">
        <v>0</v>
      </c>
      <c r="O1866">
        <v>-0.87558670000000005</v>
      </c>
      <c r="P1866">
        <v>0.58378980000000003</v>
      </c>
      <c r="Q1866">
        <v>0.16116449999999999</v>
      </c>
      <c r="R1866">
        <v>-0.79574820000000002</v>
      </c>
      <c r="S1866">
        <v>2.395111</v>
      </c>
      <c r="T1866">
        <v>-0.1877598</v>
      </c>
      <c r="U1866">
        <v>-2.0618590000000001</v>
      </c>
      <c r="V1866">
        <v>-0.13209379999999901</v>
      </c>
      <c r="W1866">
        <v>0.17036970000000001</v>
      </c>
      <c r="X1866">
        <v>0.97648630000000003</v>
      </c>
      <c r="Y1866">
        <v>-0.34718830000000001</v>
      </c>
      <c r="Z1866">
        <v>5.7081079999999999E-2</v>
      </c>
      <c r="AA1866">
        <v>0.93605669999999996</v>
      </c>
      <c r="AB1866">
        <v>36</v>
      </c>
      <c r="AC1866">
        <v>14.0496999999999</v>
      </c>
      <c r="AD1866">
        <v>-1.115374959016</v>
      </c>
      <c r="AE1866">
        <v>-11.93713</v>
      </c>
      <c r="AF1866">
        <v>-6.5143219077188697</v>
      </c>
      <c r="AG1866">
        <v>-1.115374959016</v>
      </c>
      <c r="AH1866">
        <v>17.1749301127251</v>
      </c>
      <c r="AI1866">
        <v>93.474790896240805</v>
      </c>
      <c r="AJ1866">
        <v>110.771360051275</v>
      </c>
      <c r="AK1866">
        <v>18.4026812066496</v>
      </c>
    </row>
    <row r="1867" spans="1:37" x14ac:dyDescent="0.2">
      <c r="A1867" t="str">
        <f>"20200111150627476"</f>
        <v>20200111150627476</v>
      </c>
      <c r="B1867" t="str">
        <f>"1578726387468185"</f>
        <v>1578726387468185</v>
      </c>
      <c r="C1867" t="s">
        <v>37</v>
      </c>
      <c r="D1867">
        <v>5.0478540000000001</v>
      </c>
      <c r="E1867">
        <v>0.40385939999999998</v>
      </c>
      <c r="F1867" t="s">
        <v>85</v>
      </c>
      <c r="G1867">
        <v>-402.70499999999998</v>
      </c>
      <c r="H1867" s="1">
        <v>-5.3704030000000002E-6</v>
      </c>
      <c r="I1867">
        <v>22.358829999999902</v>
      </c>
      <c r="J1867">
        <v>-417.76639999999998</v>
      </c>
      <c r="K1867">
        <v>1.1154109999999999</v>
      </c>
      <c r="L1867">
        <v>34.799409999999902</v>
      </c>
      <c r="M1867">
        <v>0.49397829999999898</v>
      </c>
      <c r="N1867">
        <v>0</v>
      </c>
      <c r="O1867">
        <v>-0.86937099999999901</v>
      </c>
      <c r="P1867">
        <v>0.59362169999999903</v>
      </c>
      <c r="Q1867">
        <v>0.16013450000000001</v>
      </c>
      <c r="R1867">
        <v>-0.7886512</v>
      </c>
      <c r="S1867">
        <v>2.4242859999999999</v>
      </c>
      <c r="T1867">
        <v>-0.17740010000000001</v>
      </c>
      <c r="U1867">
        <v>-2.0274349999999899</v>
      </c>
      <c r="V1867">
        <v>-0.13167089999999901</v>
      </c>
      <c r="W1867">
        <v>0.16935939999999999</v>
      </c>
      <c r="X1867">
        <v>0.97671909999999895</v>
      </c>
      <c r="Y1867">
        <v>-0.34877799999999998</v>
      </c>
      <c r="Z1867">
        <v>5.3728390000000001E-2</v>
      </c>
      <c r="AA1867">
        <v>0.93566399999999905</v>
      </c>
      <c r="AB1867">
        <v>36</v>
      </c>
      <c r="AC1867">
        <v>15.0613999999999</v>
      </c>
      <c r="AD1867">
        <v>-1.115416370403</v>
      </c>
      <c r="AE1867">
        <v>-12.440579999999899</v>
      </c>
      <c r="AF1867">
        <v>-6.9266091219171901</v>
      </c>
      <c r="AG1867">
        <v>-1.115416370403</v>
      </c>
      <c r="AH1867">
        <v>18.197793697500199</v>
      </c>
      <c r="AI1867">
        <v>93.278587932526094</v>
      </c>
      <c r="AJ1867">
        <v>110.83827912229199</v>
      </c>
      <c r="AK1867">
        <v>19.503378247472099</v>
      </c>
    </row>
    <row r="1868" spans="1:37" x14ac:dyDescent="0.2">
      <c r="A1868" t="str">
        <f>"20200111150627498"</f>
        <v>20200111150627498</v>
      </c>
      <c r="B1868" t="str">
        <f>"1578726387488681"</f>
        <v>1578726387488681</v>
      </c>
      <c r="C1868" t="s">
        <v>37</v>
      </c>
      <c r="D1868">
        <v>4.9688610000000004</v>
      </c>
      <c r="E1868">
        <v>0.4051207</v>
      </c>
      <c r="F1868" t="s">
        <v>85</v>
      </c>
      <c r="G1868">
        <v>-401.76049999999998</v>
      </c>
      <c r="H1868" s="1">
        <v>-5.708466E-6</v>
      </c>
      <c r="I1868">
        <v>21.7864</v>
      </c>
      <c r="J1868">
        <v>-417.58069999999998</v>
      </c>
      <c r="K1868">
        <v>1.1154500000000001</v>
      </c>
      <c r="L1868">
        <v>34.49371</v>
      </c>
      <c r="M1868">
        <v>0.50510290000000002</v>
      </c>
      <c r="N1868">
        <v>0</v>
      </c>
      <c r="O1868">
        <v>-0.86295469999999896</v>
      </c>
      <c r="P1868">
        <v>0.60362130000000003</v>
      </c>
      <c r="Q1868">
        <v>0.15911889999999901</v>
      </c>
      <c r="R1868">
        <v>-0.78123129999999996</v>
      </c>
      <c r="S1868">
        <v>2.4516909999999998</v>
      </c>
      <c r="T1868">
        <v>-0.17085310000000001</v>
      </c>
      <c r="U1868">
        <v>-1.9932559999999999</v>
      </c>
      <c r="V1868">
        <v>-0.1314535</v>
      </c>
      <c r="W1868">
        <v>0.1683569</v>
      </c>
      <c r="X1868">
        <v>0.976921699999999</v>
      </c>
      <c r="Y1868">
        <v>-0.34981079999999998</v>
      </c>
      <c r="Z1868">
        <v>5.1537890000000003E-2</v>
      </c>
      <c r="AA1868">
        <v>0.9354017</v>
      </c>
      <c r="AB1868">
        <v>36</v>
      </c>
      <c r="AC1868">
        <v>15.8202</v>
      </c>
      <c r="AD1868">
        <v>-1.115455708466</v>
      </c>
      <c r="AE1868">
        <v>-12.70731</v>
      </c>
      <c r="AF1868">
        <v>-7.2124741304309303</v>
      </c>
      <c r="AG1868">
        <v>-1.115455708466</v>
      </c>
      <c r="AH1868">
        <v>18.901254556420099</v>
      </c>
      <c r="AI1868">
        <v>93.155924923694201</v>
      </c>
      <c r="AJ1868">
        <v>110.886207133067</v>
      </c>
      <c r="AK1868">
        <v>20.261328888458301</v>
      </c>
    </row>
    <row r="1869" spans="1:37" x14ac:dyDescent="0.2">
      <c r="A1869" t="str">
        <f>"20200111150627519"</f>
        <v>20200111150627519</v>
      </c>
      <c r="B1869" t="str">
        <f>"1578726387508201"</f>
        <v>1578726387508201</v>
      </c>
      <c r="C1869" t="s">
        <v>37</v>
      </c>
      <c r="D1869">
        <v>5.0135870000000002</v>
      </c>
      <c r="E1869">
        <v>0.40549489999999999</v>
      </c>
      <c r="F1869" t="s">
        <v>85</v>
      </c>
      <c r="G1869">
        <v>-402.33819999999997</v>
      </c>
      <c r="H1869" s="1">
        <v>-5.53830799999999E-6</v>
      </c>
      <c r="I1869">
        <v>22.342369999999999</v>
      </c>
      <c r="J1869">
        <v>-417.39960000000002</v>
      </c>
      <c r="K1869">
        <v>1.1154819999999901</v>
      </c>
      <c r="L1869">
        <v>34.203769999999999</v>
      </c>
      <c r="M1869">
        <v>0.51570519999999997</v>
      </c>
      <c r="N1869">
        <v>0</v>
      </c>
      <c r="O1869">
        <v>-0.85666089999999995</v>
      </c>
      <c r="P1869">
        <v>0.61322690000000002</v>
      </c>
      <c r="Q1869">
        <v>0.15797659999999999</v>
      </c>
      <c r="R1869">
        <v>-0.77394909999999995</v>
      </c>
      <c r="S1869">
        <v>2.4695740000000002</v>
      </c>
      <c r="T1869">
        <v>-0.1807252</v>
      </c>
      <c r="U1869">
        <v>-1.96875</v>
      </c>
      <c r="V1869">
        <v>-0.13133900000000001</v>
      </c>
      <c r="W1869">
        <v>0.16722309999999899</v>
      </c>
      <c r="X1869">
        <v>0.97713179999999999</v>
      </c>
      <c r="Y1869">
        <v>-0.34710029999999997</v>
      </c>
      <c r="Z1869">
        <v>5.4239120000000002E-2</v>
      </c>
      <c r="AA1869">
        <v>0.93625829999999999</v>
      </c>
      <c r="AB1869">
        <v>36</v>
      </c>
      <c r="AC1869">
        <v>15.061400000000001</v>
      </c>
      <c r="AD1869">
        <v>-1.1154875383079901</v>
      </c>
      <c r="AE1869">
        <v>-11.8613999999999</v>
      </c>
      <c r="AF1869">
        <v>-6.7632412970250799</v>
      </c>
      <c r="AG1869">
        <v>-1.1154875383079901</v>
      </c>
      <c r="AH1869">
        <v>17.869558006314701</v>
      </c>
      <c r="AI1869">
        <v>93.341265755490298</v>
      </c>
      <c r="AJ1869">
        <v>110.730570596563</v>
      </c>
      <c r="AK1869">
        <v>19.139144406972601</v>
      </c>
    </row>
    <row r="1870" spans="1:37" x14ac:dyDescent="0.2">
      <c r="A1870" t="str">
        <f>"20200111150627542"</f>
        <v>20200111150627542</v>
      </c>
      <c r="B1870" t="str">
        <f>"1578726387538457"</f>
        <v>1578726387538457</v>
      </c>
      <c r="C1870" t="s">
        <v>37</v>
      </c>
      <c r="D1870">
        <v>5.0617099999999997</v>
      </c>
      <c r="E1870">
        <v>0.40668159999999998</v>
      </c>
      <c r="F1870" t="s">
        <v>85</v>
      </c>
      <c r="G1870">
        <v>-402.00689999999997</v>
      </c>
      <c r="H1870" s="1">
        <v>-5.6695329999999999E-6</v>
      </c>
      <c r="I1870">
        <v>22.212510000000002</v>
      </c>
      <c r="J1870">
        <v>-417.20749999999998</v>
      </c>
      <c r="K1870">
        <v>1.115516</v>
      </c>
      <c r="L1870">
        <v>33.904789999999998</v>
      </c>
      <c r="M1870">
        <v>0.52669319999999997</v>
      </c>
      <c r="N1870">
        <v>0</v>
      </c>
      <c r="O1870">
        <v>-0.84994890000000001</v>
      </c>
      <c r="P1870">
        <v>0.62360059999999995</v>
      </c>
      <c r="Q1870">
        <v>0.15796859999999999</v>
      </c>
      <c r="R1870">
        <v>-0.76561610000000002</v>
      </c>
      <c r="S1870">
        <v>2.490265</v>
      </c>
      <c r="T1870">
        <v>-0.18046619999999999</v>
      </c>
      <c r="U1870">
        <v>-1.939972</v>
      </c>
      <c r="V1870">
        <v>-0.13194149999999999</v>
      </c>
      <c r="W1870">
        <v>0.1671977</v>
      </c>
      <c r="X1870">
        <v>0.97705499999999901</v>
      </c>
      <c r="Y1870">
        <v>-0.34553669999999997</v>
      </c>
      <c r="Z1870">
        <v>5.3892179999999998E-2</v>
      </c>
      <c r="AA1870">
        <v>0.93685640000000003</v>
      </c>
      <c r="AB1870">
        <v>36</v>
      </c>
      <c r="AC1870">
        <v>15.2006</v>
      </c>
      <c r="AD1870">
        <v>-1.1155216695329999</v>
      </c>
      <c r="AE1870">
        <v>-11.69228</v>
      </c>
      <c r="AF1870">
        <v>-6.7392980820113904</v>
      </c>
      <c r="AG1870">
        <v>-1.1155216695329999</v>
      </c>
      <c r="AH1870">
        <v>17.8850024048953</v>
      </c>
      <c r="AI1870">
        <v>93.3403230153789</v>
      </c>
      <c r="AJ1870">
        <v>110.647052017394</v>
      </c>
      <c r="AK1870">
        <v>19.145125704902298</v>
      </c>
    </row>
    <row r="1871" spans="1:37" x14ac:dyDescent="0.2">
      <c r="A1871" t="str">
        <f>"20200111150627565"</f>
        <v>20200111150627565</v>
      </c>
      <c r="B1871" t="str">
        <f>"1578726387557977"</f>
        <v>1578726387557977</v>
      </c>
      <c r="C1871" t="s">
        <v>37</v>
      </c>
      <c r="D1871">
        <v>5.1234900000000003</v>
      </c>
      <c r="E1871">
        <v>0.40694659999999999</v>
      </c>
      <c r="F1871" t="s">
        <v>85</v>
      </c>
      <c r="G1871">
        <v>-402.0822</v>
      </c>
      <c r="H1871" s="1">
        <v>-5.662445E-6</v>
      </c>
      <c r="I1871">
        <v>22.36974</v>
      </c>
      <c r="J1871">
        <v>-417.00360000000001</v>
      </c>
      <c r="K1871">
        <v>1.11555</v>
      </c>
      <c r="L1871">
        <v>33.59628</v>
      </c>
      <c r="M1871">
        <v>0.53808679999999998</v>
      </c>
      <c r="N1871">
        <v>0</v>
      </c>
      <c r="O1871">
        <v>-0.84278189999999997</v>
      </c>
      <c r="P1871">
        <v>0.63509850000000001</v>
      </c>
      <c r="Q1871">
        <v>0.15843450000000001</v>
      </c>
      <c r="R1871">
        <v>-0.75600849999999997</v>
      </c>
      <c r="S1871">
        <v>2.5086979999999999</v>
      </c>
      <c r="T1871">
        <v>-0.18502099999999999</v>
      </c>
      <c r="U1871">
        <v>-1.913208</v>
      </c>
      <c r="V1871">
        <v>-0.13363929999999999</v>
      </c>
      <c r="W1871">
        <v>0.1676105</v>
      </c>
      <c r="X1871">
        <v>0.97675339999999999</v>
      </c>
      <c r="Y1871">
        <v>-0.3424799</v>
      </c>
      <c r="Z1871">
        <v>5.4925960000000003E-2</v>
      </c>
      <c r="AA1871">
        <v>0.93791819999999904</v>
      </c>
      <c r="AB1871">
        <v>36</v>
      </c>
      <c r="AC1871">
        <v>14.9214</v>
      </c>
      <c r="AD1871">
        <v>-1.115555662445</v>
      </c>
      <c r="AE1871">
        <v>-11.22654</v>
      </c>
      <c r="AF1871">
        <v>-6.5119836675778</v>
      </c>
      <c r="AG1871">
        <v>-1.115555662445</v>
      </c>
      <c r="AH1871">
        <v>17.429910489475699</v>
      </c>
      <c r="AI1871">
        <v>93.4310413493928</v>
      </c>
      <c r="AJ1871">
        <v>110.486175996049</v>
      </c>
      <c r="AK1871">
        <v>18.640069082327699</v>
      </c>
    </row>
    <row r="1872" spans="1:37" x14ac:dyDescent="0.2">
      <c r="A1872" t="str">
        <f>"20200111150627588"</f>
        <v>20200111150627588</v>
      </c>
      <c r="B1872" t="str">
        <f>"1578726387578473"</f>
        <v>1578726387578473</v>
      </c>
      <c r="C1872" t="s">
        <v>37</v>
      </c>
      <c r="D1872">
        <v>5.1055919999999997</v>
      </c>
      <c r="E1872">
        <v>0.4076864</v>
      </c>
      <c r="F1872" t="s">
        <v>85</v>
      </c>
      <c r="G1872">
        <v>-401.4271</v>
      </c>
      <c r="H1872" s="1">
        <v>-5.9142229999999996E-6</v>
      </c>
      <c r="I1872">
        <v>22.069879999999898</v>
      </c>
      <c r="J1872">
        <v>-416.80040000000002</v>
      </c>
      <c r="K1872">
        <v>1.1155839999999999</v>
      </c>
      <c r="L1872">
        <v>33.297519999999999</v>
      </c>
      <c r="M1872">
        <v>0.54916529999999997</v>
      </c>
      <c r="N1872">
        <v>0</v>
      </c>
      <c r="O1872">
        <v>-0.83560489999999998</v>
      </c>
      <c r="P1872">
        <v>0.64654880000000003</v>
      </c>
      <c r="Q1872">
        <v>0.15811149999999999</v>
      </c>
      <c r="R1872">
        <v>-0.74630779999999997</v>
      </c>
      <c r="S1872">
        <v>2.5355219999999998</v>
      </c>
      <c r="T1872">
        <v>-0.18158840000000001</v>
      </c>
      <c r="U1872">
        <v>-1.8762509999999999</v>
      </c>
      <c r="V1872">
        <v>-0.13560559999999999</v>
      </c>
      <c r="W1872">
        <v>0.1672264</v>
      </c>
      <c r="X1872">
        <v>0.97654830000000004</v>
      </c>
      <c r="Y1872">
        <v>-0.34371380000000001</v>
      </c>
      <c r="Z1872">
        <v>5.3644339999999999E-2</v>
      </c>
      <c r="AA1872">
        <v>0.93754099999999996</v>
      </c>
      <c r="AB1872">
        <v>36</v>
      </c>
      <c r="AC1872">
        <v>15.3733</v>
      </c>
      <c r="AD1872">
        <v>-1.1155899142229999</v>
      </c>
      <c r="AE1872">
        <v>-11.227639999999999</v>
      </c>
      <c r="AF1872">
        <v>-6.6579177580161204</v>
      </c>
      <c r="AG1872">
        <v>-1.1155899142229999</v>
      </c>
      <c r="AH1872">
        <v>17.764967372512501</v>
      </c>
      <c r="AI1872">
        <v>93.365295725749306</v>
      </c>
      <c r="AJ1872">
        <v>110.544889572225</v>
      </c>
      <c r="AK1872">
        <v>19.0043804286185</v>
      </c>
    </row>
    <row r="1873" spans="1:37" x14ac:dyDescent="0.2">
      <c r="A1873" t="str">
        <f>"20200111150627609"</f>
        <v>20200111150627609</v>
      </c>
      <c r="B1873" t="str">
        <f>"1578726387597993"</f>
        <v>1578726387597993</v>
      </c>
      <c r="C1873" t="s">
        <v>37</v>
      </c>
      <c r="D1873">
        <v>5.0952289999999998</v>
      </c>
      <c r="E1873">
        <v>0.40852579999999999</v>
      </c>
      <c r="F1873" t="s">
        <v>85</v>
      </c>
      <c r="G1873">
        <v>-401.22590000000002</v>
      </c>
      <c r="H1873" s="1">
        <v>-6.0124249999999901E-6</v>
      </c>
      <c r="I1873">
        <v>22.09498</v>
      </c>
      <c r="J1873">
        <v>-416.6046</v>
      </c>
      <c r="K1873">
        <v>1.115612</v>
      </c>
      <c r="L1873">
        <v>33.017400000000002</v>
      </c>
      <c r="M1873">
        <v>0.55959080000000005</v>
      </c>
      <c r="N1873">
        <v>0</v>
      </c>
      <c r="O1873">
        <v>-0.82865909999999998</v>
      </c>
      <c r="P1873">
        <v>0.65659990000000001</v>
      </c>
      <c r="Q1873">
        <v>0.1568821</v>
      </c>
      <c r="R1873">
        <v>-0.73774309999999998</v>
      </c>
      <c r="S1873">
        <v>2.5596619999999999</v>
      </c>
      <c r="T1873">
        <v>-0.18334589999999901</v>
      </c>
      <c r="U1873">
        <v>-1.8411249999999999</v>
      </c>
      <c r="V1873">
        <v>-0.13643159999999999</v>
      </c>
      <c r="W1873">
        <v>0.16597339999999999</v>
      </c>
      <c r="X1873">
        <v>0.97664699999999904</v>
      </c>
      <c r="Y1873">
        <v>-0.34459699999999999</v>
      </c>
      <c r="Z1873">
        <v>5.3903109999999997E-2</v>
      </c>
      <c r="AA1873">
        <v>0.93720190000000003</v>
      </c>
      <c r="AB1873">
        <v>36</v>
      </c>
      <c r="AC1873">
        <v>15.378699999999901</v>
      </c>
      <c r="AD1873">
        <v>-1.1156180124249999</v>
      </c>
      <c r="AE1873">
        <v>-10.922420000000001</v>
      </c>
      <c r="AF1873">
        <v>-6.6090996127295698</v>
      </c>
      <c r="AG1873">
        <v>-1.1156180124249999</v>
      </c>
      <c r="AH1873">
        <v>17.5967970892168</v>
      </c>
      <c r="AI1873">
        <v>93.396567818675805</v>
      </c>
      <c r="AJ1873">
        <v>110.585444007711</v>
      </c>
      <c r="AK1873">
        <v>18.830084148502799</v>
      </c>
    </row>
    <row r="1874" spans="1:37" x14ac:dyDescent="0.2">
      <c r="A1874" t="str">
        <f>"20200111150627631"</f>
        <v>20200111150627631</v>
      </c>
      <c r="B1874" t="str">
        <f>"1578726387628250"</f>
        <v>1578726387628250</v>
      </c>
      <c r="C1874" t="s">
        <v>37</v>
      </c>
      <c r="D1874">
        <v>5.0808799999999996</v>
      </c>
      <c r="E1874">
        <v>0.42134110000000002</v>
      </c>
      <c r="F1874" t="s">
        <v>85</v>
      </c>
      <c r="G1874">
        <v>-401.47149999999999</v>
      </c>
      <c r="H1874" s="1">
        <v>-5.9506039999999902E-6</v>
      </c>
      <c r="I1874">
        <v>22.390470000000001</v>
      </c>
      <c r="J1874">
        <v>-416.39940000000001</v>
      </c>
      <c r="K1874">
        <v>1.115637</v>
      </c>
      <c r="L1874">
        <v>32.731659999999998</v>
      </c>
      <c r="M1874">
        <v>0.57025389999999998</v>
      </c>
      <c r="N1874">
        <v>0</v>
      </c>
      <c r="O1874">
        <v>-0.82135749999999996</v>
      </c>
      <c r="P1874">
        <v>0.66641019999999995</v>
      </c>
      <c r="Q1874">
        <v>0.15608669999999999</v>
      </c>
      <c r="R1874">
        <v>-0.72906409999999999</v>
      </c>
      <c r="S1874">
        <v>2.5793149999999998</v>
      </c>
      <c r="T1874">
        <v>-0.1901486</v>
      </c>
      <c r="U1874">
        <v>-1.8112790000000001</v>
      </c>
      <c r="V1874">
        <v>-0.13676369999999999</v>
      </c>
      <c r="W1874">
        <v>0.1651697</v>
      </c>
      <c r="X1874">
        <v>0.97673670000000001</v>
      </c>
      <c r="Y1874">
        <v>-0.3429874</v>
      </c>
      <c r="Z1874">
        <v>5.5564530000000001E-2</v>
      </c>
      <c r="AA1874">
        <v>0.937695099999999</v>
      </c>
      <c r="AB1874">
        <v>36</v>
      </c>
      <c r="AC1874">
        <v>14.927899999999999</v>
      </c>
      <c r="AD1874">
        <v>-1.115642950604</v>
      </c>
      <c r="AE1874">
        <v>-10.3411899999999</v>
      </c>
      <c r="AF1874">
        <v>-6.3406880884963597</v>
      </c>
      <c r="AG1874">
        <v>-1.115642950604</v>
      </c>
      <c r="AH1874">
        <v>16.944107746770701</v>
      </c>
      <c r="AI1874">
        <v>93.528747151189705</v>
      </c>
      <c r="AJ1874">
        <v>110.51645115182799</v>
      </c>
      <c r="AK1874">
        <v>18.125997130172099</v>
      </c>
    </row>
    <row r="1875" spans="1:37" x14ac:dyDescent="0.2">
      <c r="A1875" t="str">
        <f>"20200111150627655"</f>
        <v>20200111150627655</v>
      </c>
      <c r="B1875" t="str">
        <f>"1578726387648443"</f>
        <v>1578726387648443</v>
      </c>
      <c r="C1875" t="s">
        <v>37</v>
      </c>
      <c r="D1875">
        <v>5.1546289999999999</v>
      </c>
      <c r="E1875">
        <v>0.4207475</v>
      </c>
      <c r="F1875" t="s">
        <v>85</v>
      </c>
      <c r="G1875">
        <v>-406.12529999999998</v>
      </c>
      <c r="H1875" s="1">
        <v>-4.2409189999999998E-6</v>
      </c>
      <c r="I1875">
        <v>25.20945</v>
      </c>
      <c r="J1875">
        <v>-416.18389999999999</v>
      </c>
      <c r="K1875">
        <v>1.1156629999999901</v>
      </c>
      <c r="L1875">
        <v>32.440059999999903</v>
      </c>
      <c r="M1875">
        <v>0.58116699999999999</v>
      </c>
      <c r="N1875">
        <v>0</v>
      </c>
      <c r="O1875">
        <v>-0.81367219999999996</v>
      </c>
      <c r="P1875">
        <v>0.67613780000000001</v>
      </c>
      <c r="Q1875">
        <v>0.1566081</v>
      </c>
      <c r="R1875">
        <v>-0.71993890000000005</v>
      </c>
      <c r="S1875">
        <v>2.535431</v>
      </c>
      <c r="T1875">
        <v>-0.27531689999999998</v>
      </c>
      <c r="U1875">
        <v>-1.8563229999999999</v>
      </c>
      <c r="V1875">
        <v>-0.1369301</v>
      </c>
      <c r="W1875">
        <v>0.1656851</v>
      </c>
      <c r="X1875">
        <v>0.97662610000000005</v>
      </c>
      <c r="Y1875">
        <v>-0.3101795</v>
      </c>
      <c r="Z1875">
        <v>7.9158279999999998E-2</v>
      </c>
      <c r="AA1875">
        <v>0.94737669999999996</v>
      </c>
      <c r="AB1875">
        <v>36</v>
      </c>
      <c r="AC1875">
        <v>10.0586</v>
      </c>
      <c r="AD1875">
        <v>-1.1156672409189901</v>
      </c>
      <c r="AE1875">
        <v>-7.2306099999999898</v>
      </c>
      <c r="AF1875">
        <v>-3.9505312977098899</v>
      </c>
      <c r="AG1875">
        <v>-1.1156672409189901</v>
      </c>
      <c r="AH1875">
        <v>11.6357635974676</v>
      </c>
      <c r="AI1875">
        <v>95.187798102571904</v>
      </c>
      <c r="AJ1875">
        <v>108.753186881582</v>
      </c>
      <c r="AK1875">
        <v>12.3386549276166</v>
      </c>
    </row>
    <row r="1876" spans="1:37" x14ac:dyDescent="0.2">
      <c r="A1876" t="str">
        <f>"20200111150627676"</f>
        <v>20200111150627676</v>
      </c>
      <c r="B1876" t="str">
        <f>"1578726387667945"</f>
        <v>1578726387667945</v>
      </c>
      <c r="C1876" t="s">
        <v>37</v>
      </c>
      <c r="D1876">
        <v>5.1453030000000002</v>
      </c>
      <c r="E1876">
        <v>0.4211704</v>
      </c>
      <c r="F1876" t="s">
        <v>85</v>
      </c>
      <c r="G1876">
        <v>-405.55450000000002</v>
      </c>
      <c r="H1876" s="1">
        <v>-4.4725739999999999E-6</v>
      </c>
      <c r="I1876">
        <v>24.897289999999899</v>
      </c>
      <c r="J1876">
        <v>-415.9631</v>
      </c>
      <c r="K1876">
        <v>1.115686</v>
      </c>
      <c r="L1876">
        <v>32.149749999999997</v>
      </c>
      <c r="M1876">
        <v>0.59205699999999895</v>
      </c>
      <c r="N1876">
        <v>0</v>
      </c>
      <c r="O1876">
        <v>-0.80578280000000002</v>
      </c>
      <c r="P1876">
        <v>0.68527439999999995</v>
      </c>
      <c r="Q1876">
        <v>0.15735679999999999</v>
      </c>
      <c r="R1876">
        <v>-0.71108260000000001</v>
      </c>
      <c r="S1876">
        <v>2.5628359999999999</v>
      </c>
      <c r="T1876">
        <v>-0.26899790000000001</v>
      </c>
      <c r="U1876">
        <v>-1.8186340000000001</v>
      </c>
      <c r="V1876">
        <v>-0.1363925</v>
      </c>
      <c r="W1876">
        <v>0.16645109999999999</v>
      </c>
      <c r="X1876">
        <v>0.97657109999999903</v>
      </c>
      <c r="Y1876">
        <v>-0.31160690000000002</v>
      </c>
      <c r="Z1876">
        <v>7.6862550000000002E-2</v>
      </c>
      <c r="AA1876">
        <v>0.94709730000000003</v>
      </c>
      <c r="AB1876">
        <v>36</v>
      </c>
      <c r="AC1876">
        <v>10.4085999999999</v>
      </c>
      <c r="AD1876">
        <v>-1.115690472574</v>
      </c>
      <c r="AE1876">
        <v>-7.2524599999999904</v>
      </c>
      <c r="AF1876">
        <v>-4.0621562062766099</v>
      </c>
      <c r="AG1876">
        <v>-1.115690472574</v>
      </c>
      <c r="AH1876">
        <v>11.915329384513701</v>
      </c>
      <c r="AI1876">
        <v>95.064669766525896</v>
      </c>
      <c r="AJ1876">
        <v>108.82519292520701</v>
      </c>
      <c r="AK1876">
        <v>12.6380755107824</v>
      </c>
    </row>
    <row r="1877" spans="1:37" x14ac:dyDescent="0.2">
      <c r="A1877" t="str">
        <f>"20200111150627698"</f>
        <v>20200111150627698</v>
      </c>
      <c r="B1877" t="str">
        <f>"1578726387688441"</f>
        <v>1578726387688441</v>
      </c>
      <c r="C1877" t="s">
        <v>37</v>
      </c>
      <c r="D1877">
        <v>5.1046589999999998</v>
      </c>
      <c r="E1877">
        <v>0.42202390000000001</v>
      </c>
      <c r="F1877" t="s">
        <v>85</v>
      </c>
      <c r="G1877">
        <v>-404.99959999999999</v>
      </c>
      <c r="H1877" s="1">
        <v>-4.6924509999999997E-6</v>
      </c>
      <c r="I1877">
        <v>24.563879999999902</v>
      </c>
      <c r="J1877">
        <v>-415.75630000000001</v>
      </c>
      <c r="K1877">
        <v>1.115704</v>
      </c>
      <c r="L1877">
        <v>31.88477</v>
      </c>
      <c r="M1877">
        <v>0.60201019999999905</v>
      </c>
      <c r="N1877">
        <v>0</v>
      </c>
      <c r="O1877">
        <v>-0.79837389999999997</v>
      </c>
      <c r="P1877">
        <v>0.69387270000000001</v>
      </c>
      <c r="Q1877">
        <v>0.15854939999999901</v>
      </c>
      <c r="R1877">
        <v>-0.70242660000000001</v>
      </c>
      <c r="S1877">
        <v>2.5833439999999999</v>
      </c>
      <c r="T1877">
        <v>-0.26289249999999997</v>
      </c>
      <c r="U1877">
        <v>-1.7874759999999901</v>
      </c>
      <c r="V1877">
        <v>-0.1363576</v>
      </c>
      <c r="W1877">
        <v>0.16764289999999901</v>
      </c>
      <c r="X1877">
        <v>0.97637209999999997</v>
      </c>
      <c r="Y1877">
        <v>-0.3112103</v>
      </c>
      <c r="Z1877">
        <v>7.4658619999999995E-2</v>
      </c>
      <c r="AA1877">
        <v>0.94740389999999997</v>
      </c>
      <c r="AB1877">
        <v>36</v>
      </c>
      <c r="AC1877">
        <v>10.7567</v>
      </c>
      <c r="AD1877">
        <v>-1.115708692451</v>
      </c>
      <c r="AE1877">
        <v>-7.3208900000000003</v>
      </c>
      <c r="AF1877">
        <v>-4.1504835680065</v>
      </c>
      <c r="AG1877">
        <v>-1.115708692451</v>
      </c>
      <c r="AH1877">
        <v>12.231643001724301</v>
      </c>
      <c r="AI1877">
        <v>94.936819464868506</v>
      </c>
      <c r="AJ1877">
        <v>108.743280439128</v>
      </c>
      <c r="AK1877">
        <v>12.964737184236901</v>
      </c>
    </row>
    <row r="1878" spans="1:37" x14ac:dyDescent="0.2">
      <c r="A1878" t="str">
        <f>"20200111150627720"</f>
        <v>20200111150627720</v>
      </c>
      <c r="B1878" t="str">
        <f>"1578726387707961"</f>
        <v>1578726387707961</v>
      </c>
      <c r="C1878" t="s">
        <v>37</v>
      </c>
      <c r="D1878">
        <v>5.1276679999999999</v>
      </c>
      <c r="E1878">
        <v>0.42290820000000001</v>
      </c>
      <c r="F1878" t="s">
        <v>85</v>
      </c>
      <c r="G1878">
        <v>-404.45049999999998</v>
      </c>
      <c r="H1878" s="1">
        <v>-4.8902469999999996E-6</v>
      </c>
      <c r="I1878">
        <v>24.22927</v>
      </c>
      <c r="J1878">
        <v>-415.53530000000001</v>
      </c>
      <c r="K1878">
        <v>1.115729</v>
      </c>
      <c r="L1878">
        <v>31.608920000000001</v>
      </c>
      <c r="M1878">
        <v>0.61238519999999996</v>
      </c>
      <c r="N1878">
        <v>0</v>
      </c>
      <c r="O1878">
        <v>-0.79044380000000003</v>
      </c>
      <c r="P1878">
        <v>0.70355880000000004</v>
      </c>
      <c r="Q1878">
        <v>0.15951029999999999</v>
      </c>
      <c r="R1878">
        <v>-0.69250400000000001</v>
      </c>
      <c r="S1878">
        <v>2.5999759999999998</v>
      </c>
      <c r="T1878">
        <v>-0.256579</v>
      </c>
      <c r="U1878">
        <v>-1.760529</v>
      </c>
      <c r="V1878">
        <v>-0.13733509999999999</v>
      </c>
      <c r="W1878">
        <v>0.16856979999999999</v>
      </c>
      <c r="X1878">
        <v>0.97607549999999899</v>
      </c>
      <c r="Y1878">
        <v>-0.30850029999999901</v>
      </c>
      <c r="Z1878">
        <v>7.2326509999999997E-2</v>
      </c>
      <c r="AA1878">
        <v>0.94847060000000005</v>
      </c>
      <c r="AB1878">
        <v>36</v>
      </c>
      <c r="AC1878">
        <v>11.0848</v>
      </c>
      <c r="AD1878">
        <v>-1.115733890247</v>
      </c>
      <c r="AE1878">
        <v>-7.3796499999999998</v>
      </c>
      <c r="AF1878">
        <v>-4.2135323924553303</v>
      </c>
      <c r="AG1878">
        <v>-1.115733890247</v>
      </c>
      <c r="AH1878">
        <v>12.534529072719399</v>
      </c>
      <c r="AI1878">
        <v>94.822812196431798</v>
      </c>
      <c r="AJ1878">
        <v>108.580277859468</v>
      </c>
      <c r="AK1878">
        <v>13.270762465320701</v>
      </c>
    </row>
    <row r="1879" spans="1:37" x14ac:dyDescent="0.2">
      <c r="A1879" t="str">
        <f>"20200111150627744"</f>
        <v>20200111150627744</v>
      </c>
      <c r="B1879" t="str">
        <f>"1578726387738218"</f>
        <v>1578726387738218</v>
      </c>
      <c r="C1879" t="s">
        <v>37</v>
      </c>
      <c r="D1879">
        <v>5.209479</v>
      </c>
      <c r="E1879">
        <v>0.3996364</v>
      </c>
      <c r="F1879" t="s">
        <v>85</v>
      </c>
      <c r="G1879">
        <v>-404.21640000000002</v>
      </c>
      <c r="H1879" s="1">
        <v>-4.9826950000000002E-6</v>
      </c>
      <c r="I1879">
        <v>24.13588</v>
      </c>
      <c r="J1879">
        <v>-415.29939999999999</v>
      </c>
      <c r="K1879">
        <v>1.11574</v>
      </c>
      <c r="L1879">
        <v>31.322389999999999</v>
      </c>
      <c r="M1879">
        <v>0.6231738</v>
      </c>
      <c r="N1879">
        <v>0</v>
      </c>
      <c r="O1879">
        <v>-0.7819661</v>
      </c>
      <c r="P1879">
        <v>0.71413340000000003</v>
      </c>
      <c r="Q1879">
        <v>0.1599933</v>
      </c>
      <c r="R1879">
        <v>-0.68148019999999998</v>
      </c>
      <c r="S1879">
        <v>2.6199650000000001</v>
      </c>
      <c r="T1879">
        <v>-0.25825629999999999</v>
      </c>
      <c r="U1879">
        <v>-1.7297669999999901</v>
      </c>
      <c r="V1879">
        <v>-0.13905780000000001</v>
      </c>
      <c r="W1879">
        <v>0.1689957</v>
      </c>
      <c r="X1879">
        <v>0.97575780000000001</v>
      </c>
      <c r="Y1879">
        <v>-0.30652209999999902</v>
      </c>
      <c r="Z1879">
        <v>7.2199559999999996E-2</v>
      </c>
      <c r="AA1879">
        <v>0.9491214</v>
      </c>
      <c r="AB1879">
        <v>36</v>
      </c>
      <c r="AC1879">
        <v>11.082999999999901</v>
      </c>
      <c r="AD1879">
        <v>-1.1157449826950001</v>
      </c>
      <c r="AE1879">
        <v>-7.1865100000000002</v>
      </c>
      <c r="AF1879">
        <v>-4.1587971577524598</v>
      </c>
      <c r="AG1879">
        <v>-1.1157449826950001</v>
      </c>
      <c r="AH1879">
        <v>12.4386431166749</v>
      </c>
      <c r="AI1879">
        <v>94.8624983038208</v>
      </c>
      <c r="AJ1879">
        <v>108.487096747709</v>
      </c>
      <c r="AK1879">
        <v>13.1628387230773</v>
      </c>
    </row>
    <row r="1880" spans="1:37" x14ac:dyDescent="0.2">
      <c r="A1880" t="str">
        <f>"20200111150627766"</f>
        <v>20200111150627766</v>
      </c>
      <c r="B1880" t="str">
        <f>"1578726387758428"</f>
        <v>1578726387758428</v>
      </c>
      <c r="C1880" t="s">
        <v>37</v>
      </c>
      <c r="D1880">
        <v>5.4998760000000004</v>
      </c>
      <c r="E1880">
        <v>0.3936538</v>
      </c>
      <c r="F1880" t="s">
        <v>39</v>
      </c>
      <c r="G1880">
        <v>-396.25729999999999</v>
      </c>
      <c r="H1880" s="1">
        <v>-2.035577E-6</v>
      </c>
      <c r="I1880">
        <v>20.69089</v>
      </c>
      <c r="J1880">
        <v>-415.06979999999999</v>
      </c>
      <c r="K1880">
        <v>1.115753</v>
      </c>
      <c r="L1880">
        <v>31.050929999999902</v>
      </c>
      <c r="M1880">
        <v>0.63340200000000002</v>
      </c>
      <c r="N1880">
        <v>0</v>
      </c>
      <c r="O1880">
        <v>-0.77370450000000002</v>
      </c>
      <c r="P1880">
        <v>0.72455719999999901</v>
      </c>
      <c r="Q1880">
        <v>0.15980920000000001</v>
      </c>
      <c r="R1880">
        <v>-0.67043140000000001</v>
      </c>
      <c r="S1880">
        <v>2.7643740000000001</v>
      </c>
      <c r="T1880">
        <v>-0.16197449999999999</v>
      </c>
      <c r="U1880">
        <v>-1.543396</v>
      </c>
      <c r="V1880">
        <v>-0.14124919999999999</v>
      </c>
      <c r="W1880">
        <v>0.16873949999999999</v>
      </c>
      <c r="X1880">
        <v>0.9754874</v>
      </c>
      <c r="Y1880">
        <v>-0.36566389999999999</v>
      </c>
      <c r="Z1880">
        <v>4.5680690000000003E-2</v>
      </c>
      <c r="AA1880">
        <v>0.92962529999999999</v>
      </c>
      <c r="AB1880">
        <v>36</v>
      </c>
      <c r="AC1880">
        <v>18.8125</v>
      </c>
      <c r="AD1880">
        <v>-1.1157550355769901</v>
      </c>
      <c r="AE1880">
        <v>-10.3600399999999</v>
      </c>
      <c r="AF1880">
        <v>-7.9724603116119201</v>
      </c>
      <c r="AG1880">
        <v>-1.1157550355769901</v>
      </c>
      <c r="AH1880">
        <v>19.879655104627901</v>
      </c>
      <c r="AI1880">
        <v>92.981988433588697</v>
      </c>
      <c r="AJ1880">
        <v>111.852569574174</v>
      </c>
      <c r="AK1880">
        <v>21.4477439326051</v>
      </c>
    </row>
    <row r="1881" spans="1:37" x14ac:dyDescent="0.2">
      <c r="A1881" t="str">
        <f>"20200111150627788"</f>
        <v>20200111150627788</v>
      </c>
      <c r="B1881" t="str">
        <f>"1578726387777948"</f>
        <v>1578726387777948</v>
      </c>
      <c r="C1881" t="s">
        <v>37</v>
      </c>
      <c r="D1881">
        <v>5.2908280000000003</v>
      </c>
      <c r="E1881">
        <v>0.34494200000000003</v>
      </c>
      <c r="F1881" t="s">
        <v>39</v>
      </c>
      <c r="G1881">
        <v>-391.06810000000002</v>
      </c>
      <c r="H1881" s="1">
        <v>-4.3847370000000001E-6</v>
      </c>
      <c r="I1881">
        <v>18.589739999999999</v>
      </c>
      <c r="J1881">
        <v>-414.83449999999999</v>
      </c>
      <c r="K1881">
        <v>1.115761</v>
      </c>
      <c r="L1881">
        <v>30.77994</v>
      </c>
      <c r="M1881">
        <v>0.64362209999999997</v>
      </c>
      <c r="N1881">
        <v>0</v>
      </c>
      <c r="O1881">
        <v>-0.76522369999999995</v>
      </c>
      <c r="P1881">
        <v>0.7345488</v>
      </c>
      <c r="Q1881">
        <v>0.16002829999999901</v>
      </c>
      <c r="R1881">
        <v>-0.6594158</v>
      </c>
      <c r="S1881">
        <v>2.8163450000000001</v>
      </c>
      <c r="T1881">
        <v>-0.13092219999999999</v>
      </c>
      <c r="U1881">
        <v>-1.462189</v>
      </c>
      <c r="V1881">
        <v>-0.1429985</v>
      </c>
      <c r="W1881">
        <v>0.1689003</v>
      </c>
      <c r="X1881">
        <v>0.97520459999999998</v>
      </c>
      <c r="Y1881">
        <v>-0.38185399999999903</v>
      </c>
      <c r="Z1881">
        <v>3.682187E-2</v>
      </c>
      <c r="AA1881">
        <v>0.92348889999999995</v>
      </c>
      <c r="AB1881">
        <v>36</v>
      </c>
      <c r="AC1881">
        <v>23.766399999999901</v>
      </c>
      <c r="AD1881">
        <v>-1.1157653847369999</v>
      </c>
      <c r="AE1881">
        <v>-12.190200000000001</v>
      </c>
      <c r="AF1881">
        <v>-10.323663753402601</v>
      </c>
      <c r="AG1881">
        <v>-1.1157653847369999</v>
      </c>
      <c r="AH1881">
        <v>24.584168663563101</v>
      </c>
      <c r="AI1881">
        <v>92.396182111367096</v>
      </c>
      <c r="AJ1881">
        <v>112.779063320115</v>
      </c>
      <c r="AK1881">
        <v>26.687156359672699</v>
      </c>
    </row>
    <row r="1882" spans="1:37" x14ac:dyDescent="0.2">
      <c r="A1882" t="str">
        <f>"20200111150627805"</f>
        <v>20200111150627805</v>
      </c>
      <c r="B1882" t="str">
        <f>"1578726387798445"</f>
        <v>1578726387798445</v>
      </c>
      <c r="C1882" t="s">
        <v>37</v>
      </c>
      <c r="D1882">
        <v>5.2347229999999998</v>
      </c>
      <c r="E1882">
        <v>0.4001478</v>
      </c>
      <c r="F1882" t="s">
        <v>87</v>
      </c>
      <c r="G1882">
        <v>-279.02</v>
      </c>
      <c r="H1882">
        <v>16.703800000000001</v>
      </c>
      <c r="I1882">
        <v>-17.109179999999999</v>
      </c>
      <c r="J1882">
        <v>-414.66250000000002</v>
      </c>
      <c r="K1882">
        <v>1.1157680000000001</v>
      </c>
      <c r="L1882">
        <v>30.586670000000002</v>
      </c>
      <c r="M1882">
        <v>0.65092150000000004</v>
      </c>
      <c r="N1882">
        <v>0</v>
      </c>
      <c r="O1882">
        <v>-0.75902419999999904</v>
      </c>
      <c r="P1882">
        <v>0.74132589999999998</v>
      </c>
      <c r="Q1882">
        <v>0.16048479999999901</v>
      </c>
      <c r="R1882">
        <v>-0.65167529999999996</v>
      </c>
      <c r="S1882">
        <v>3.0443419999999999</v>
      </c>
      <c r="T1882">
        <v>0.34941290000000003</v>
      </c>
      <c r="U1882">
        <v>-1.073456</v>
      </c>
      <c r="V1882">
        <v>-0.14382990000000001</v>
      </c>
      <c r="W1882">
        <v>0.16932839999999999</v>
      </c>
      <c r="X1882">
        <v>0.97500810000000004</v>
      </c>
      <c r="Y1882">
        <v>-0.49344149999999998</v>
      </c>
      <c r="Z1882">
        <v>-0.10037649999999999</v>
      </c>
      <c r="AA1882">
        <v>0.86396770000000001</v>
      </c>
      <c r="AB1882">
        <v>36</v>
      </c>
      <c r="AC1882">
        <v>135.64250000000001</v>
      </c>
      <c r="AD1882">
        <v>15.588032</v>
      </c>
      <c r="AE1882">
        <v>-47.69585</v>
      </c>
      <c r="AF1882">
        <v>-71.080843263465894</v>
      </c>
      <c r="AG1882">
        <v>15.588032</v>
      </c>
      <c r="AH1882">
        <v>123.05997551482101</v>
      </c>
      <c r="AI1882">
        <v>83.740409459950598</v>
      </c>
      <c r="AJ1882">
        <v>120.01121948532101</v>
      </c>
      <c r="AK1882">
        <v>142.96583715834601</v>
      </c>
    </row>
    <row r="1883" spans="1:37" x14ac:dyDescent="0.2">
      <c r="A1883" t="str">
        <f>"20200111150627821"</f>
        <v>20200111150627821</v>
      </c>
      <c r="B1883" t="str">
        <f>"1578726387817965"</f>
        <v>1578726387817965</v>
      </c>
      <c r="C1883" t="s">
        <v>37</v>
      </c>
      <c r="D1883">
        <v>5.2971560000000002</v>
      </c>
      <c r="E1883">
        <v>0.3999067</v>
      </c>
      <c r="F1883" t="s">
        <v>39</v>
      </c>
      <c r="G1883">
        <v>-397.90730000000002</v>
      </c>
      <c r="H1883" s="1">
        <v>-1.6235899999999999E-6</v>
      </c>
      <c r="I1883">
        <v>22.073799999999999</v>
      </c>
      <c r="J1883">
        <v>-414.48930000000001</v>
      </c>
      <c r="K1883">
        <v>1.115777</v>
      </c>
      <c r="L1883">
        <v>30.3956599999999</v>
      </c>
      <c r="M1883">
        <v>0.65813569999999999</v>
      </c>
      <c r="N1883">
        <v>0</v>
      </c>
      <c r="O1883">
        <v>-0.75277769999999899</v>
      </c>
      <c r="P1883">
        <v>0.74872050000000001</v>
      </c>
      <c r="Q1883">
        <v>0.16123560000000001</v>
      </c>
      <c r="R1883">
        <v>-0.64297850000000001</v>
      </c>
      <c r="S1883">
        <v>2.8255309999999998</v>
      </c>
      <c r="T1883">
        <v>-0.1881591</v>
      </c>
      <c r="U1883">
        <v>-1.4355770000000001</v>
      </c>
      <c r="V1883">
        <v>-0.14581279999999999</v>
      </c>
      <c r="W1883">
        <v>0.1700122</v>
      </c>
      <c r="X1883">
        <v>0.97459449999999903</v>
      </c>
      <c r="Y1883">
        <v>-0.37148759999999997</v>
      </c>
      <c r="Z1883">
        <v>5.2158749999999997E-2</v>
      </c>
      <c r="AA1883">
        <v>0.92697160000000001</v>
      </c>
      <c r="AB1883">
        <v>36</v>
      </c>
      <c r="AC1883">
        <v>16.581999999999901</v>
      </c>
      <c r="AD1883">
        <v>-1.11577862359</v>
      </c>
      <c r="AE1883">
        <v>-8.3218599999999903</v>
      </c>
      <c r="AF1883">
        <v>-6.9810391944275496</v>
      </c>
      <c r="AG1883">
        <v>-1.11577862359</v>
      </c>
      <c r="AH1883">
        <v>17.1173797425472</v>
      </c>
      <c r="AI1883">
        <v>93.454032883887393</v>
      </c>
      <c r="AJ1883">
        <v>112.18727583584101</v>
      </c>
      <c r="AK1883">
        <v>18.519842316325501</v>
      </c>
    </row>
    <row r="1884" spans="1:37" x14ac:dyDescent="0.2">
      <c r="A1884" t="str">
        <f>"20200111150627837"</f>
        <v>20200111150627837</v>
      </c>
      <c r="B1884" t="str">
        <f>"1578726387828700"</f>
        <v>1578726387828700</v>
      </c>
      <c r="C1884" t="s">
        <v>37</v>
      </c>
      <c r="D1884">
        <v>5.1666869999999996</v>
      </c>
      <c r="E1884">
        <v>0.39764529999999998</v>
      </c>
      <c r="F1884" t="s">
        <v>39</v>
      </c>
      <c r="G1884">
        <v>-397.2217</v>
      </c>
      <c r="H1884" s="1">
        <v>-1.8971429999999999E-6</v>
      </c>
      <c r="I1884">
        <v>21.883890000000001</v>
      </c>
      <c r="J1884">
        <v>-414.31209999999999</v>
      </c>
      <c r="K1884">
        <v>1.1157820000000001</v>
      </c>
      <c r="L1884">
        <v>30.203700000000001</v>
      </c>
      <c r="M1884">
        <v>0.66538730000000001</v>
      </c>
      <c r="N1884">
        <v>0</v>
      </c>
      <c r="O1884">
        <v>-0.74637559999999903</v>
      </c>
      <c r="P1884">
        <v>0.7554691</v>
      </c>
      <c r="Q1884">
        <v>0.1616215</v>
      </c>
      <c r="R1884">
        <v>-0.63493739999999999</v>
      </c>
      <c r="S1884">
        <v>2.8429259999999998</v>
      </c>
      <c r="T1884">
        <v>-0.18370039999999899</v>
      </c>
      <c r="U1884">
        <v>-1.401367</v>
      </c>
      <c r="V1884">
        <v>-0.14675769999999999</v>
      </c>
      <c r="W1884">
        <v>0.17036599999999999</v>
      </c>
      <c r="X1884">
        <v>0.97439089999999995</v>
      </c>
      <c r="Y1884">
        <v>-0.37381219999999998</v>
      </c>
      <c r="Z1884">
        <v>5.0682610000000003E-2</v>
      </c>
      <c r="AA1884">
        <v>0.92611860000000001</v>
      </c>
      <c r="AB1884">
        <v>36</v>
      </c>
      <c r="AC1884">
        <v>17.090399999999899</v>
      </c>
      <c r="AD1884">
        <v>-1.1157838971430001</v>
      </c>
      <c r="AE1884">
        <v>-8.3198100000000004</v>
      </c>
      <c r="AF1884">
        <v>-7.1958276618631398</v>
      </c>
      <c r="AG1884">
        <v>-1.1157838971430001</v>
      </c>
      <c r="AH1884">
        <v>17.522669271259499</v>
      </c>
      <c r="AI1884">
        <v>93.371013832440894</v>
      </c>
      <c r="AJ1884">
        <v>112.32590622827399</v>
      </c>
      <c r="AK1884">
        <v>18.975480174011398</v>
      </c>
    </row>
    <row r="1885" spans="1:37" x14ac:dyDescent="0.2">
      <c r="A1885" t="str">
        <f>"20200111150627856"</f>
        <v>20200111150627856</v>
      </c>
      <c r="B1885" t="str">
        <f>"1578726387848220"</f>
        <v>1578726387848220</v>
      </c>
      <c r="C1885" t="s">
        <v>37</v>
      </c>
      <c r="D1885">
        <v>5.1898249999999999</v>
      </c>
      <c r="E1885">
        <v>0.39837729999999999</v>
      </c>
      <c r="F1885" t="s">
        <v>39</v>
      </c>
      <c r="G1885">
        <v>-395.1628</v>
      </c>
      <c r="H1885" s="1">
        <v>-2.675477E-6</v>
      </c>
      <c r="I1885">
        <v>21.151289999999999</v>
      </c>
      <c r="J1885">
        <v>-414.11509999999998</v>
      </c>
      <c r="K1885">
        <v>1.1157840000000001</v>
      </c>
      <c r="L1885">
        <v>29.994629999999901</v>
      </c>
      <c r="M1885">
        <v>0.67328980000000005</v>
      </c>
      <c r="N1885">
        <v>0</v>
      </c>
      <c r="O1885">
        <v>-0.73925469999999904</v>
      </c>
      <c r="P1885">
        <v>0.76266650000000002</v>
      </c>
      <c r="Q1885">
        <v>0.16180050000000001</v>
      </c>
      <c r="R1885">
        <v>-0.62622730000000004</v>
      </c>
      <c r="S1885">
        <v>2.8675229999999998</v>
      </c>
      <c r="T1885">
        <v>-0.1670838</v>
      </c>
      <c r="U1885">
        <v>-1.3555600000000001</v>
      </c>
      <c r="V1885">
        <v>-0.14755289999999999</v>
      </c>
      <c r="W1885">
        <v>0.17051769999999999</v>
      </c>
      <c r="X1885">
        <v>0.97424419999999901</v>
      </c>
      <c r="Y1885">
        <v>-0.37938</v>
      </c>
      <c r="Z1885">
        <v>4.5891969999999997E-2</v>
      </c>
      <c r="AA1885">
        <v>0.92410210000000004</v>
      </c>
      <c r="AB1885">
        <v>36</v>
      </c>
      <c r="AC1885">
        <v>18.952299999999902</v>
      </c>
      <c r="AD1885">
        <v>-1.1157866754770001</v>
      </c>
      <c r="AE1885">
        <v>-8.8433399999999907</v>
      </c>
      <c r="AF1885">
        <v>-8.0343163188961402</v>
      </c>
      <c r="AG1885">
        <v>-1.1157866754770001</v>
      </c>
      <c r="AH1885">
        <v>19.244862428385801</v>
      </c>
      <c r="AI1885">
        <v>93.062582083913696</v>
      </c>
      <c r="AJ1885">
        <v>112.65948733341899</v>
      </c>
      <c r="AK1885">
        <v>20.884442738669101</v>
      </c>
    </row>
    <row r="1886" spans="1:37" x14ac:dyDescent="0.2">
      <c r="A1886" t="str">
        <f>"20200111150627869"</f>
        <v>20200111150627869</v>
      </c>
      <c r="B1886" t="str">
        <f>"1578726387857980"</f>
        <v>1578726387857980</v>
      </c>
      <c r="C1886" t="s">
        <v>37</v>
      </c>
      <c r="D1886">
        <v>5.2476330000000004</v>
      </c>
      <c r="E1886">
        <v>0.39840179999999997</v>
      </c>
      <c r="F1886" t="s">
        <v>38</v>
      </c>
      <c r="G1886">
        <v>-413.05380000000002</v>
      </c>
      <c r="H1886">
        <v>1.0527629999999999</v>
      </c>
      <c r="I1886">
        <v>29.50543</v>
      </c>
      <c r="J1886">
        <v>-413.96039999999999</v>
      </c>
      <c r="K1886">
        <v>1.1157900000000001</v>
      </c>
      <c r="L1886">
        <v>29.833649999999999</v>
      </c>
      <c r="M1886">
        <v>0.67937789999999998</v>
      </c>
      <c r="N1886">
        <v>0</v>
      </c>
      <c r="O1886">
        <v>-0.73366350000000002</v>
      </c>
      <c r="P1886">
        <v>0.76760479999999998</v>
      </c>
      <c r="Q1886">
        <v>0.1620693</v>
      </c>
      <c r="R1886">
        <v>-0.62009419999999904</v>
      </c>
      <c r="S1886">
        <v>2.8802490000000001</v>
      </c>
      <c r="T1886">
        <v>-0.1709937</v>
      </c>
      <c r="U1886">
        <v>-1.3269959999999901</v>
      </c>
      <c r="V1886">
        <v>-0.14727570000000001</v>
      </c>
      <c r="W1886">
        <v>0.17079539999999899</v>
      </c>
      <c r="X1886">
        <v>0.97423760000000004</v>
      </c>
      <c r="Y1886">
        <v>-0.38078879999999998</v>
      </c>
      <c r="Z1886">
        <v>4.6764590000000002E-2</v>
      </c>
      <c r="AA1886">
        <v>0.92347869999999999</v>
      </c>
      <c r="AB1886">
        <v>36</v>
      </c>
      <c r="AC1886">
        <v>0.90659999999996899</v>
      </c>
      <c r="AD1886">
        <v>-6.3027000000000097E-2</v>
      </c>
      <c r="AE1886">
        <v>-0.32821999999999801</v>
      </c>
      <c r="AF1886">
        <v>-0.44031303868490201</v>
      </c>
      <c r="AG1886">
        <v>-6.3027000000000097E-2</v>
      </c>
      <c r="AH1886">
        <v>0.85316011660055202</v>
      </c>
      <c r="AI1886">
        <v>93.755935728164204</v>
      </c>
      <c r="AJ1886">
        <v>117.298105018058</v>
      </c>
      <c r="AK1886">
        <v>0.96214871996110796</v>
      </c>
    </row>
    <row r="1887" spans="1:37" x14ac:dyDescent="0.2">
      <c r="A1887" t="str">
        <f>"20200111150627889"</f>
        <v>20200111150627889</v>
      </c>
      <c r="B1887" t="str">
        <f>"1578726387878477"</f>
        <v>1578726387878477</v>
      </c>
      <c r="C1887" t="s">
        <v>37</v>
      </c>
      <c r="D1887">
        <v>5.1865439999999996</v>
      </c>
      <c r="E1887">
        <v>0.39785740000000003</v>
      </c>
      <c r="F1887" t="s">
        <v>39</v>
      </c>
      <c r="G1887">
        <v>-394.8954</v>
      </c>
      <c r="H1887" s="1">
        <v>-2.82477199999999E-6</v>
      </c>
      <c r="I1887">
        <v>21.237410000000001</v>
      </c>
      <c r="J1887">
        <v>-413.7491</v>
      </c>
      <c r="K1887">
        <v>1.1157950000000001</v>
      </c>
      <c r="L1887">
        <v>29.6181599999999</v>
      </c>
      <c r="M1887">
        <v>0.68753679999999995</v>
      </c>
      <c r="N1887">
        <v>0</v>
      </c>
      <c r="O1887">
        <v>-0.72602330000000004</v>
      </c>
      <c r="P1887">
        <v>0.77398829999999996</v>
      </c>
      <c r="Q1887">
        <v>0.1625385</v>
      </c>
      <c r="R1887">
        <v>-0.61198379999999997</v>
      </c>
      <c r="S1887">
        <v>2.89093</v>
      </c>
      <c r="T1887">
        <v>-0.16919400000000001</v>
      </c>
      <c r="U1887">
        <v>-1.3034969999999999</v>
      </c>
      <c r="V1887">
        <v>-0.14657870000000001</v>
      </c>
      <c r="W1887">
        <v>0.17128689999999999</v>
      </c>
      <c r="X1887">
        <v>0.97425640000000002</v>
      </c>
      <c r="Y1887">
        <v>-0.37800909999999999</v>
      </c>
      <c r="Z1887">
        <v>4.5895699999999998E-2</v>
      </c>
      <c r="AA1887">
        <v>0.92466360000000003</v>
      </c>
      <c r="AB1887">
        <v>36</v>
      </c>
      <c r="AC1887">
        <v>18.8537</v>
      </c>
      <c r="AD1887">
        <v>-1.115797824772</v>
      </c>
      <c r="AE1887">
        <v>-8.3807499999999902</v>
      </c>
      <c r="AF1887">
        <v>-7.9037626042447604</v>
      </c>
      <c r="AG1887">
        <v>-1.115797824772</v>
      </c>
      <c r="AH1887">
        <v>18.9934299800695</v>
      </c>
      <c r="AI1887">
        <v>93.104558239076397</v>
      </c>
      <c r="AJ1887">
        <v>112.59372821477599</v>
      </c>
      <c r="AK1887">
        <v>20.6025447578163</v>
      </c>
    </row>
    <row r="1888" spans="1:37" x14ac:dyDescent="0.2">
      <c r="A1888" t="str">
        <f>"20200111150627910"</f>
        <v>20200111150627910</v>
      </c>
      <c r="B1888" t="str">
        <f>"1578726387908732"</f>
        <v>1578726387908732</v>
      </c>
      <c r="C1888" t="s">
        <v>37</v>
      </c>
      <c r="D1888">
        <v>5.219652</v>
      </c>
      <c r="E1888">
        <v>0.3971249</v>
      </c>
      <c r="F1888" t="s">
        <v>39</v>
      </c>
      <c r="G1888">
        <v>-393.88220000000001</v>
      </c>
      <c r="H1888" s="1">
        <v>-3.2260499999999998E-6</v>
      </c>
      <c r="I1888">
        <v>20.945489999999999</v>
      </c>
      <c r="J1888">
        <v>-413.5009</v>
      </c>
      <c r="K1888">
        <v>1.1157979999999901</v>
      </c>
      <c r="L1888">
        <v>29.37079</v>
      </c>
      <c r="M1888">
        <v>0.69690319999999994</v>
      </c>
      <c r="N1888">
        <v>0</v>
      </c>
      <c r="O1888">
        <v>-0.71703709999999998</v>
      </c>
      <c r="P1888">
        <v>0.78227469999999999</v>
      </c>
      <c r="Q1888">
        <v>0.1626416</v>
      </c>
      <c r="R1888">
        <v>-0.6013271</v>
      </c>
      <c r="S1888">
        <v>2.9069210000000001</v>
      </c>
      <c r="T1888">
        <v>-0.16326309999999999</v>
      </c>
      <c r="U1888">
        <v>-1.2689820000000001</v>
      </c>
      <c r="V1888">
        <v>-0.1472637</v>
      </c>
      <c r="W1888">
        <v>0.1713672</v>
      </c>
      <c r="X1888">
        <v>0.97413899999999998</v>
      </c>
      <c r="Y1888">
        <v>-0.37718279999999998</v>
      </c>
      <c r="Z1888">
        <v>4.3897369999999998E-2</v>
      </c>
      <c r="AA1888">
        <v>0.92509789999999903</v>
      </c>
      <c r="AB1888">
        <v>36</v>
      </c>
      <c r="AC1888">
        <v>19.618699999999901</v>
      </c>
      <c r="AD1888">
        <v>-1.1158012260500001</v>
      </c>
      <c r="AE1888">
        <v>-8.4253</v>
      </c>
      <c r="AF1888">
        <v>-8.17414650096819</v>
      </c>
      <c r="AG1888">
        <v>-1.1158012260500001</v>
      </c>
      <c r="AH1888">
        <v>19.6617023025055</v>
      </c>
      <c r="AI1888">
        <v>92.999660075834399</v>
      </c>
      <c r="AJ1888">
        <v>112.574586247064</v>
      </c>
      <c r="AK1888">
        <v>21.3223877843851</v>
      </c>
    </row>
    <row r="1889" spans="1:37" x14ac:dyDescent="0.2">
      <c r="A1889" t="str">
        <f>"20200111150627934"</f>
        <v>20200111150627934</v>
      </c>
      <c r="B1889" t="str">
        <f>"1578726387928252"</f>
        <v>1578726387928252</v>
      </c>
      <c r="C1889" t="s">
        <v>37</v>
      </c>
      <c r="D1889">
        <v>5.2162300000000004</v>
      </c>
      <c r="E1889">
        <v>0.3970014</v>
      </c>
      <c r="F1889" t="s">
        <v>39</v>
      </c>
      <c r="G1889">
        <v>-392.84570000000002</v>
      </c>
      <c r="H1889" s="1">
        <v>-3.6579420000000001E-6</v>
      </c>
      <c r="I1889">
        <v>20.727270000000001</v>
      </c>
      <c r="J1889">
        <v>-413.23970000000003</v>
      </c>
      <c r="K1889">
        <v>1.1158030000000001</v>
      </c>
      <c r="L1889">
        <v>29.117339999999999</v>
      </c>
      <c r="M1889">
        <v>0.70650990000000002</v>
      </c>
      <c r="N1889">
        <v>0</v>
      </c>
      <c r="O1889">
        <v>-0.70757320000000001</v>
      </c>
      <c r="P1889">
        <v>0.79107620000000001</v>
      </c>
      <c r="Q1889">
        <v>0.16418629999999901</v>
      </c>
      <c r="R1889">
        <v>-0.58927169999999995</v>
      </c>
      <c r="S1889">
        <v>2.9264220000000001</v>
      </c>
      <c r="T1889">
        <v>-0.15808629999999901</v>
      </c>
      <c r="U1889">
        <v>-1.2246090000000001</v>
      </c>
      <c r="V1889">
        <v>-0.14887639999999999</v>
      </c>
      <c r="W1889">
        <v>0.17285619999999999</v>
      </c>
      <c r="X1889">
        <v>0.97363060000000001</v>
      </c>
      <c r="Y1889">
        <v>-0.378913</v>
      </c>
      <c r="Z1889">
        <v>4.2158260000000003E-2</v>
      </c>
      <c r="AA1889">
        <v>0.9244715</v>
      </c>
      <c r="AB1889">
        <v>36</v>
      </c>
      <c r="AC1889">
        <v>20.393999999999998</v>
      </c>
      <c r="AD1889">
        <v>-1.1158066579420001</v>
      </c>
      <c r="AE1889">
        <v>-8.3900699999999997</v>
      </c>
      <c r="AF1889">
        <v>-8.4816480406149992</v>
      </c>
      <c r="AG1889">
        <v>-1.1158066579420001</v>
      </c>
      <c r="AH1889">
        <v>20.295064374098999</v>
      </c>
      <c r="AI1889">
        <v>92.903982401016407</v>
      </c>
      <c r="AJ1889">
        <v>112.68086868379299</v>
      </c>
      <c r="AK1889">
        <v>22.024373224489299</v>
      </c>
    </row>
    <row r="1890" spans="1:37" x14ac:dyDescent="0.2">
      <c r="A1890" t="str">
        <f>"20200111150627957"</f>
        <v>20200111150627957</v>
      </c>
      <c r="B1890" t="str">
        <f>"1578726387948748"</f>
        <v>1578726387948748</v>
      </c>
      <c r="C1890" t="s">
        <v>37</v>
      </c>
      <c r="D1890">
        <v>5.2368290000000002</v>
      </c>
      <c r="E1890">
        <v>0.39690439999999999</v>
      </c>
      <c r="F1890" t="s">
        <v>38</v>
      </c>
      <c r="G1890">
        <v>-412.2079</v>
      </c>
      <c r="H1890">
        <v>1.0625039999999999</v>
      </c>
      <c r="I1890">
        <v>28.703790000000001</v>
      </c>
      <c r="J1890">
        <v>-412.96800000000002</v>
      </c>
      <c r="K1890">
        <v>1.115807</v>
      </c>
      <c r="L1890">
        <v>28.861239999999999</v>
      </c>
      <c r="M1890">
        <v>0.71623269999999895</v>
      </c>
      <c r="N1890">
        <v>0</v>
      </c>
      <c r="O1890">
        <v>-0.69772990000000001</v>
      </c>
      <c r="P1890">
        <v>0.79984250000000001</v>
      </c>
      <c r="Q1890">
        <v>0.16502069999999999</v>
      </c>
      <c r="R1890">
        <v>-0.5770788</v>
      </c>
      <c r="S1890">
        <v>2.9450989999999999</v>
      </c>
      <c r="T1890">
        <v>-0.15209129999999901</v>
      </c>
      <c r="U1890">
        <v>-1.179718</v>
      </c>
      <c r="V1890">
        <v>-0.1502349</v>
      </c>
      <c r="W1890">
        <v>0.1736452</v>
      </c>
      <c r="X1890">
        <v>0.97328150000000002</v>
      </c>
      <c r="Y1890">
        <v>-0.38037149999999997</v>
      </c>
      <c r="Z1890">
        <v>4.0207090000000001E-2</v>
      </c>
      <c r="AA1890">
        <v>0.92395939999999999</v>
      </c>
      <c r="AB1890">
        <v>36</v>
      </c>
      <c r="AC1890">
        <v>0.76010000000002198</v>
      </c>
      <c r="AD1890">
        <v>-5.3302999999999802E-2</v>
      </c>
      <c r="AE1890">
        <v>-0.15745000000000001</v>
      </c>
      <c r="AF1890">
        <v>-0.41565206653263498</v>
      </c>
      <c r="AG1890">
        <v>-5.3302999999999802E-2</v>
      </c>
      <c r="AH1890">
        <v>0.65125524436100302</v>
      </c>
      <c r="AI1890">
        <v>93.946715563722705</v>
      </c>
      <c r="AJ1890">
        <v>122.547329860636</v>
      </c>
      <c r="AK1890">
        <v>0.77442962464613996</v>
      </c>
    </row>
    <row r="1891" spans="1:37" x14ac:dyDescent="0.2">
      <c r="A1891" t="str">
        <f>"20200111150627978"</f>
        <v>20200111150627978</v>
      </c>
      <c r="B1891" t="str">
        <f>"1578726387968268"</f>
        <v>1578726387968268</v>
      </c>
      <c r="C1891" t="s">
        <v>37</v>
      </c>
      <c r="D1891">
        <v>5.237895</v>
      </c>
      <c r="E1891">
        <v>0.39717740000000001</v>
      </c>
      <c r="F1891" t="s">
        <v>38</v>
      </c>
      <c r="G1891">
        <v>-411.89760000000001</v>
      </c>
      <c r="H1891">
        <v>1.0624799999999901</v>
      </c>
      <c r="I1891">
        <v>28.451550000000001</v>
      </c>
      <c r="J1891">
        <v>-412.7201</v>
      </c>
      <c r="K1891">
        <v>1.1157999999999999</v>
      </c>
      <c r="L1891">
        <v>28.633579999999998</v>
      </c>
      <c r="M1891">
        <v>0.72487969999999902</v>
      </c>
      <c r="N1891">
        <v>0</v>
      </c>
      <c r="O1891">
        <v>-0.68874230000000003</v>
      </c>
      <c r="P1891">
        <v>0.80793470000000001</v>
      </c>
      <c r="Q1891">
        <v>0.16473450000000001</v>
      </c>
      <c r="R1891">
        <v>-0.5657778</v>
      </c>
      <c r="S1891">
        <v>2.9632869999999998</v>
      </c>
      <c r="T1891">
        <v>-0.14760580000000001</v>
      </c>
      <c r="U1891">
        <v>-1.1336979999999901</v>
      </c>
      <c r="V1891">
        <v>-0.15181159999999999</v>
      </c>
      <c r="W1891">
        <v>0.17330799999999999</v>
      </c>
      <c r="X1891">
        <v>0.97309690000000004</v>
      </c>
      <c r="Y1891">
        <v>-0.38331459999999901</v>
      </c>
      <c r="Z1891">
        <v>3.873878E-2</v>
      </c>
      <c r="AA1891">
        <v>0.92280509999999905</v>
      </c>
      <c r="AB1891">
        <v>36</v>
      </c>
      <c r="AC1891">
        <v>0.82249999999999002</v>
      </c>
      <c r="AD1891">
        <v>-5.3319999999999999E-2</v>
      </c>
      <c r="AE1891">
        <v>-0.182029999999997</v>
      </c>
      <c r="AF1891">
        <v>-0.432846452089789</v>
      </c>
      <c r="AG1891">
        <v>-5.3319999999999999E-2</v>
      </c>
      <c r="AH1891">
        <v>0.71877191322629497</v>
      </c>
      <c r="AI1891">
        <v>93.636186891266902</v>
      </c>
      <c r="AJ1891">
        <v>121.056468275304</v>
      </c>
      <c r="AK1891">
        <v>0.84073309482243297</v>
      </c>
    </row>
    <row r="1892" spans="1:37" x14ac:dyDescent="0.2">
      <c r="A1892" t="str">
        <f>"20200111150627993"</f>
        <v>20200111150627993</v>
      </c>
      <c r="B1892" t="str">
        <f>"1578726387988764"</f>
        <v>1578726387988764</v>
      </c>
      <c r="C1892" t="s">
        <v>37</v>
      </c>
      <c r="D1892">
        <v>5.2735760000000003</v>
      </c>
      <c r="E1892">
        <v>0.39736279999999902</v>
      </c>
      <c r="F1892" t="s">
        <v>39</v>
      </c>
      <c r="G1892">
        <v>-390.52170000000001</v>
      </c>
      <c r="H1892" s="1">
        <v>-4.6643999999999998E-6</v>
      </c>
      <c r="I1892">
        <v>20.4815</v>
      </c>
      <c r="J1892">
        <v>-412.55130000000003</v>
      </c>
      <c r="K1892">
        <v>1.1157979999999901</v>
      </c>
      <c r="L1892">
        <v>28.48114</v>
      </c>
      <c r="M1892">
        <v>0.73066009999999904</v>
      </c>
      <c r="N1892">
        <v>0</v>
      </c>
      <c r="O1892">
        <v>-0.68260699999999996</v>
      </c>
      <c r="P1892">
        <v>0.81316699999999997</v>
      </c>
      <c r="Q1892">
        <v>0.1643183</v>
      </c>
      <c r="R1892">
        <v>-0.55835400000000002</v>
      </c>
      <c r="S1892">
        <v>2.9779049999999998</v>
      </c>
      <c r="T1892">
        <v>-0.14968480000000001</v>
      </c>
      <c r="U1892">
        <v>-1.0935969999999999</v>
      </c>
      <c r="V1892">
        <v>-0.1525668</v>
      </c>
      <c r="W1892">
        <v>0.17286840000000001</v>
      </c>
      <c r="X1892">
        <v>0.97305699999999995</v>
      </c>
      <c r="Y1892">
        <v>-0.38791369999999997</v>
      </c>
      <c r="Z1892">
        <v>3.9143039999999997E-2</v>
      </c>
      <c r="AA1892">
        <v>0.92086420000000002</v>
      </c>
      <c r="AB1892">
        <v>36</v>
      </c>
      <c r="AC1892">
        <v>22.029599999999999</v>
      </c>
      <c r="AD1892">
        <v>-1.1158026643999901</v>
      </c>
      <c r="AE1892">
        <v>-7.9996400000000003</v>
      </c>
      <c r="AF1892">
        <v>-9.1725947119122093</v>
      </c>
      <c r="AG1892">
        <v>-1.1158026643999901</v>
      </c>
      <c r="AH1892">
        <v>21.509984462182999</v>
      </c>
      <c r="AI1892">
        <v>92.731870867642797</v>
      </c>
      <c r="AJ1892">
        <v>113.09506166537101</v>
      </c>
      <c r="AK1892">
        <v>23.410701418330799</v>
      </c>
    </row>
    <row r="1893" spans="1:37" x14ac:dyDescent="0.2">
      <c r="A1893" t="str">
        <f>"20200111150628011"</f>
        <v>20200111150628011</v>
      </c>
      <c r="B1893" t="str">
        <f>"1578726388008285"</f>
        <v>1578726388008285</v>
      </c>
      <c r="C1893" t="s">
        <v>37</v>
      </c>
      <c r="D1893">
        <v>5.2821400000000001</v>
      </c>
      <c r="E1893">
        <v>0.39764429999999901</v>
      </c>
      <c r="F1893" t="s">
        <v>38</v>
      </c>
      <c r="G1893">
        <v>-411.49380000000002</v>
      </c>
      <c r="H1893">
        <v>1.0619620000000001</v>
      </c>
      <c r="I1893">
        <v>28.10332</v>
      </c>
      <c r="J1893">
        <v>-412.32870000000003</v>
      </c>
      <c r="K1893">
        <v>1.1157870000000001</v>
      </c>
      <c r="L1893">
        <v>28.284759999999999</v>
      </c>
      <c r="M1893">
        <v>0.73812889999999998</v>
      </c>
      <c r="N1893">
        <v>0</v>
      </c>
      <c r="O1893">
        <v>-0.67452349999999905</v>
      </c>
      <c r="P1893">
        <v>0.82046989999999997</v>
      </c>
      <c r="Q1893">
        <v>0.16235739999999901</v>
      </c>
      <c r="R1893">
        <v>-0.54815100000000005</v>
      </c>
      <c r="S1893">
        <v>2.98696899999999</v>
      </c>
      <c r="T1893">
        <v>-0.15208579999999999</v>
      </c>
      <c r="U1893">
        <v>-1.067566</v>
      </c>
      <c r="V1893">
        <v>-0.1542181</v>
      </c>
      <c r="W1893">
        <v>0.17085699999999901</v>
      </c>
      <c r="X1893">
        <v>0.97315189999999996</v>
      </c>
      <c r="Y1893">
        <v>-0.38574809999999998</v>
      </c>
      <c r="Z1893">
        <v>3.9416270000000003E-2</v>
      </c>
      <c r="AA1893">
        <v>0.92176179999999996</v>
      </c>
      <c r="AB1893">
        <v>36</v>
      </c>
      <c r="AC1893">
        <v>0.83490000000000397</v>
      </c>
      <c r="AD1893">
        <v>-5.3824999999999998E-2</v>
      </c>
      <c r="AE1893">
        <v>-0.18143999999999799</v>
      </c>
      <c r="AF1893">
        <v>-0.42757605000291499</v>
      </c>
      <c r="AG1893">
        <v>-5.3824999999999998E-2</v>
      </c>
      <c r="AH1893">
        <v>0.73579702125115998</v>
      </c>
      <c r="AI1893">
        <v>93.619043005949095</v>
      </c>
      <c r="AJ1893">
        <v>120.16112737349501</v>
      </c>
      <c r="AK1893">
        <v>0.85271077490739799</v>
      </c>
    </row>
    <row r="1894" spans="1:37" x14ac:dyDescent="0.2">
      <c r="A1894" t="str">
        <f>"20200111150628026"</f>
        <v>20200111150628026</v>
      </c>
      <c r="B1894" t="str">
        <f>"1578726388018044"</f>
        <v>1578726388018044</v>
      </c>
      <c r="C1894" t="s">
        <v>37</v>
      </c>
      <c r="D1894">
        <v>5.2544120000000003</v>
      </c>
      <c r="E1894">
        <v>0.397897099999999</v>
      </c>
      <c r="F1894" t="s">
        <v>39</v>
      </c>
      <c r="G1894">
        <v>-391.35809999999998</v>
      </c>
      <c r="H1894" s="1">
        <v>-4.4478349999999999E-6</v>
      </c>
      <c r="I1894">
        <v>21.071269999999998</v>
      </c>
      <c r="J1894">
        <v>-412.14690000000002</v>
      </c>
      <c r="K1894">
        <v>1.1157840000000001</v>
      </c>
      <c r="L1894">
        <v>28.127870000000001</v>
      </c>
      <c r="M1894">
        <v>0.74410679999999996</v>
      </c>
      <c r="N1894">
        <v>0</v>
      </c>
      <c r="O1894">
        <v>-0.66792339999999994</v>
      </c>
      <c r="P1894">
        <v>0.82566240000000002</v>
      </c>
      <c r="Q1894">
        <v>0.1616013</v>
      </c>
      <c r="R1894">
        <v>-0.54052509999999998</v>
      </c>
      <c r="S1894">
        <v>2.9988709999999998</v>
      </c>
      <c r="T1894">
        <v>-0.15956219999999999</v>
      </c>
      <c r="U1894">
        <v>-1.031555</v>
      </c>
      <c r="V1894">
        <v>-0.154645</v>
      </c>
      <c r="W1894">
        <v>0.17008879999999901</v>
      </c>
      <c r="X1894">
        <v>0.97321869999999999</v>
      </c>
      <c r="Y1894">
        <v>-0.38845159999999901</v>
      </c>
      <c r="Z1894">
        <v>4.1145660000000001E-2</v>
      </c>
      <c r="AA1894">
        <v>0.92054999999999998</v>
      </c>
      <c r="AB1894">
        <v>36</v>
      </c>
      <c r="AC1894">
        <v>20.788799999999998</v>
      </c>
      <c r="AD1894">
        <v>-1.115788447835</v>
      </c>
      <c r="AE1894">
        <v>-7.0566000000000004</v>
      </c>
      <c r="AF1894">
        <v>-8.6130054394431301</v>
      </c>
      <c r="AG1894">
        <v>-1.115788447835</v>
      </c>
      <c r="AH1894">
        <v>20.132202891650198</v>
      </c>
      <c r="AI1894">
        <v>92.917020665883797</v>
      </c>
      <c r="AJ1894">
        <v>113.162319297365</v>
      </c>
      <c r="AK1894">
        <v>21.925657112861298</v>
      </c>
    </row>
    <row r="1895" spans="1:37" x14ac:dyDescent="0.2">
      <c r="A1895" t="str">
        <f>"20200111150628046"</f>
        <v>20200111150628046</v>
      </c>
      <c r="B1895" t="str">
        <f>"1578726388038540"</f>
        <v>1578726388038540</v>
      </c>
      <c r="C1895" t="s">
        <v>37</v>
      </c>
      <c r="D1895">
        <v>5.2374689999999999</v>
      </c>
      <c r="E1895">
        <v>0.39846589999999998</v>
      </c>
      <c r="F1895" t="s">
        <v>39</v>
      </c>
      <c r="G1895">
        <v>-391.58879999999999</v>
      </c>
      <c r="H1895" s="1">
        <v>-4.3921419999999997E-6</v>
      </c>
      <c r="I1895">
        <v>21.256820000000001</v>
      </c>
      <c r="J1895">
        <v>-411.9058</v>
      </c>
      <c r="K1895">
        <v>1.1157809999999999</v>
      </c>
      <c r="L1895">
        <v>27.923679999999901</v>
      </c>
      <c r="M1895">
        <v>0.75188259999999996</v>
      </c>
      <c r="N1895">
        <v>0</v>
      </c>
      <c r="O1895">
        <v>-0.65915800000000002</v>
      </c>
      <c r="P1895">
        <v>0.83220620000000001</v>
      </c>
      <c r="Q1895">
        <v>0.1609109</v>
      </c>
      <c r="R1895">
        <v>-0.53060469999999904</v>
      </c>
      <c r="S1895">
        <v>3.0074160000000001</v>
      </c>
      <c r="T1895">
        <v>-0.1632275</v>
      </c>
      <c r="U1895">
        <v>-1.0051570000000001</v>
      </c>
      <c r="V1895">
        <v>-0.15495529999999999</v>
      </c>
      <c r="W1895">
        <v>0.16939000000000001</v>
      </c>
      <c r="X1895">
        <v>0.97329129999999997</v>
      </c>
      <c r="Y1895">
        <v>-0.38566729999999999</v>
      </c>
      <c r="Z1895">
        <v>4.1663869999999999E-2</v>
      </c>
      <c r="AA1895">
        <v>0.92169669999999904</v>
      </c>
      <c r="AB1895">
        <v>36</v>
      </c>
      <c r="AC1895">
        <v>20.317</v>
      </c>
      <c r="AD1895">
        <v>-1.115785392142</v>
      </c>
      <c r="AE1895">
        <v>-6.66685999999999</v>
      </c>
      <c r="AF1895">
        <v>-8.3574287782555707</v>
      </c>
      <c r="AG1895">
        <v>-1.115785392142</v>
      </c>
      <c r="AH1895">
        <v>19.618895850117699</v>
      </c>
      <c r="AI1895">
        <v>92.995174951028901</v>
      </c>
      <c r="AJ1895">
        <v>113.073458653073</v>
      </c>
      <c r="AK1895">
        <v>21.353984808524601</v>
      </c>
    </row>
    <row r="1896" spans="1:37" x14ac:dyDescent="0.2">
      <c r="A1896" t="str">
        <f>"20200111150628068"</f>
        <v>20200111150628068</v>
      </c>
      <c r="B1896" t="str">
        <f>"1578726388057904"</f>
        <v>1578726388057904</v>
      </c>
      <c r="C1896" t="s">
        <v>37</v>
      </c>
      <c r="D1896">
        <v>5.2252799999999997</v>
      </c>
      <c r="E1896">
        <v>0.39875569999999999</v>
      </c>
      <c r="F1896" t="s">
        <v>39</v>
      </c>
      <c r="G1896">
        <v>-391.7672</v>
      </c>
      <c r="H1896" s="1">
        <v>-4.3553429999999997E-6</v>
      </c>
      <c r="I1896">
        <v>21.435389999999899</v>
      </c>
      <c r="J1896">
        <v>-411.63639999999998</v>
      </c>
      <c r="K1896">
        <v>1.115777</v>
      </c>
      <c r="L1896">
        <v>27.700990000000001</v>
      </c>
      <c r="M1896">
        <v>0.7603664</v>
      </c>
      <c r="N1896">
        <v>0</v>
      </c>
      <c r="O1896">
        <v>-0.64935310000000002</v>
      </c>
      <c r="P1896">
        <v>0.83907739999999997</v>
      </c>
      <c r="Q1896">
        <v>0.16085469999999999</v>
      </c>
      <c r="R1896">
        <v>-0.51968749999999997</v>
      </c>
      <c r="S1896">
        <v>3.0173649999999999</v>
      </c>
      <c r="T1896">
        <v>-0.16717779999999999</v>
      </c>
      <c r="U1896">
        <v>-0.97213749999999999</v>
      </c>
      <c r="V1896">
        <v>-0.15505439999999901</v>
      </c>
      <c r="W1896">
        <v>0.16933119999999999</v>
      </c>
      <c r="X1896">
        <v>0.97328570000000003</v>
      </c>
      <c r="Y1896">
        <v>-0.383683</v>
      </c>
      <c r="Z1896">
        <v>4.221039E-2</v>
      </c>
      <c r="AA1896">
        <v>0.92249969999999903</v>
      </c>
      <c r="AB1896">
        <v>36</v>
      </c>
      <c r="AC1896">
        <v>19.8691999999999</v>
      </c>
      <c r="AD1896">
        <v>-1.115781355343</v>
      </c>
      <c r="AE1896">
        <v>-6.2656000000000001</v>
      </c>
      <c r="AF1896">
        <v>-8.1154440342554306</v>
      </c>
      <c r="AG1896">
        <v>-1.115781355343</v>
      </c>
      <c r="AH1896">
        <v>19.123366756082198</v>
      </c>
      <c r="AI1896">
        <v>93.074413232676505</v>
      </c>
      <c r="AJ1896">
        <v>112.99506572764</v>
      </c>
      <c r="AK1896">
        <v>20.8040514322017</v>
      </c>
    </row>
    <row r="1897" spans="1:37" x14ac:dyDescent="0.2">
      <c r="A1897" t="str">
        <f>"20200111150628090"</f>
        <v>20200111150628090</v>
      </c>
      <c r="B1897" t="str">
        <f>"1578726388078401"</f>
        <v>1578726388078401</v>
      </c>
      <c r="C1897" t="s">
        <v>37</v>
      </c>
      <c r="D1897">
        <v>5.2317929999999997</v>
      </c>
      <c r="E1897">
        <v>0.39935929999999997</v>
      </c>
      <c r="F1897" t="s">
        <v>39</v>
      </c>
      <c r="G1897">
        <v>-391.55599999999998</v>
      </c>
      <c r="H1897" s="1">
        <v>-4.4484749999999998E-6</v>
      </c>
      <c r="I1897">
        <v>21.503239999999899</v>
      </c>
      <c r="J1897">
        <v>-411.36959999999999</v>
      </c>
      <c r="K1897">
        <v>1.1157729999999999</v>
      </c>
      <c r="L1897">
        <v>27.486239999999999</v>
      </c>
      <c r="M1897">
        <v>0.7685573</v>
      </c>
      <c r="N1897">
        <v>0</v>
      </c>
      <c r="O1897">
        <v>-0.63963729999999996</v>
      </c>
      <c r="P1897">
        <v>0.84574780000000005</v>
      </c>
      <c r="Q1897">
        <v>0.16039529999999999</v>
      </c>
      <c r="R1897">
        <v>-0.50890459999999904</v>
      </c>
      <c r="S1897">
        <v>3.0286559999999998</v>
      </c>
      <c r="T1897">
        <v>-0.168289299999999</v>
      </c>
      <c r="U1897">
        <v>-0.9347839</v>
      </c>
      <c r="V1897">
        <v>-0.15518479999999901</v>
      </c>
      <c r="W1897">
        <v>0.16886879999999899</v>
      </c>
      <c r="X1897">
        <v>0.97334529999999997</v>
      </c>
      <c r="Y1897">
        <v>-0.38330120000000001</v>
      </c>
      <c r="Z1897">
        <v>4.205967E-2</v>
      </c>
      <c r="AA1897">
        <v>0.92266519999999996</v>
      </c>
      <c r="AB1897">
        <v>36</v>
      </c>
      <c r="AC1897">
        <v>19.813600000000001</v>
      </c>
      <c r="AD1897">
        <v>-1.1157774484749901</v>
      </c>
      <c r="AE1897">
        <v>-5.9829999999999997</v>
      </c>
      <c r="AF1897">
        <v>-8.0525788011416992</v>
      </c>
      <c r="AG1897">
        <v>-1.1157774484749901</v>
      </c>
      <c r="AH1897">
        <v>19.001365806536398</v>
      </c>
      <c r="AI1897">
        <v>93.094751864196596</v>
      </c>
      <c r="AJ1897">
        <v>112.96671949264299</v>
      </c>
      <c r="AK1897">
        <v>20.667387042800801</v>
      </c>
    </row>
    <row r="1898" spans="1:37" x14ac:dyDescent="0.2">
      <c r="A1898" t="str">
        <f>"20200111150628113"</f>
        <v>20200111150628113</v>
      </c>
      <c r="B1898" t="str">
        <f>"1578726388108656"</f>
        <v>1578726388108656</v>
      </c>
      <c r="C1898" t="s">
        <v>37</v>
      </c>
      <c r="D1898">
        <v>5.2040649999999999</v>
      </c>
      <c r="E1898">
        <v>0.39996120000000002</v>
      </c>
      <c r="F1898" t="s">
        <v>39</v>
      </c>
      <c r="G1898">
        <v>-391.80739999999997</v>
      </c>
      <c r="H1898" s="1">
        <v>-4.3843450000000003E-6</v>
      </c>
      <c r="I1898">
        <v>21.686109999999999</v>
      </c>
      <c r="J1898">
        <v>-411.0856</v>
      </c>
      <c r="K1898">
        <v>1.1157729999999999</v>
      </c>
      <c r="L1898">
        <v>27.263549999999999</v>
      </c>
      <c r="M1898">
        <v>0.77705740000000001</v>
      </c>
      <c r="N1898">
        <v>0</v>
      </c>
      <c r="O1898">
        <v>-0.6292837</v>
      </c>
      <c r="P1898">
        <v>0.85200880000000001</v>
      </c>
      <c r="Q1898">
        <v>0.16045979999999899</v>
      </c>
      <c r="R1898">
        <v>-0.49833090000000002</v>
      </c>
      <c r="S1898">
        <v>3.0379939999999999</v>
      </c>
      <c r="T1898">
        <v>-0.17327960000000001</v>
      </c>
      <c r="U1898">
        <v>-0.90075680000000002</v>
      </c>
      <c r="V1898">
        <v>-0.1542608</v>
      </c>
      <c r="W1898">
        <v>0.16896420000000001</v>
      </c>
      <c r="X1898">
        <v>0.973475599999999</v>
      </c>
      <c r="Y1898">
        <v>-0.38113849999999999</v>
      </c>
      <c r="Z1898">
        <v>4.2792690000000001E-2</v>
      </c>
      <c r="AA1898">
        <v>0.92352710000000005</v>
      </c>
      <c r="AB1898">
        <v>36</v>
      </c>
      <c r="AC1898">
        <v>19.278199999999998</v>
      </c>
      <c r="AD1898">
        <v>-1.1157773843449901</v>
      </c>
      <c r="AE1898">
        <v>-5.5774399999999904</v>
      </c>
      <c r="AF1898">
        <v>-7.7741521381305096</v>
      </c>
      <c r="AG1898">
        <v>-1.1157773843449901</v>
      </c>
      <c r="AH1898">
        <v>18.434776099601699</v>
      </c>
      <c r="AI1898">
        <v>93.192048316864899</v>
      </c>
      <c r="AJ1898">
        <v>112.865699193708</v>
      </c>
      <c r="AK1898">
        <v>20.038048070624502</v>
      </c>
    </row>
    <row r="1899" spans="1:37" x14ac:dyDescent="0.2">
      <c r="A1899" t="str">
        <f>"20200111150628136"</f>
        <v>20200111150628136</v>
      </c>
      <c r="B1899" t="str">
        <f>"1578726388128177"</f>
        <v>1578726388128177</v>
      </c>
      <c r="C1899" t="s">
        <v>37</v>
      </c>
      <c r="D1899">
        <v>5.309177</v>
      </c>
      <c r="E1899">
        <v>0.4006691</v>
      </c>
      <c r="F1899" t="s">
        <v>38</v>
      </c>
      <c r="G1899">
        <v>-410.00819999999999</v>
      </c>
      <c r="H1899">
        <v>1.053844</v>
      </c>
      <c r="I1899">
        <v>26.957270000000001</v>
      </c>
      <c r="J1899">
        <v>-410.78109999999998</v>
      </c>
      <c r="K1899">
        <v>1.1157709999999901</v>
      </c>
      <c r="L1899">
        <v>27.0321</v>
      </c>
      <c r="M1899">
        <v>0.7859178</v>
      </c>
      <c r="N1899">
        <v>0</v>
      </c>
      <c r="O1899">
        <v>-0.61818240000000002</v>
      </c>
      <c r="P1899">
        <v>0.85824630000000002</v>
      </c>
      <c r="Q1899">
        <v>0.1605615</v>
      </c>
      <c r="R1899">
        <v>-0.48747689999999999</v>
      </c>
      <c r="S1899">
        <v>3.0473020000000002</v>
      </c>
      <c r="T1899">
        <v>-0.17517659999999999</v>
      </c>
      <c r="U1899">
        <v>-0.86645509999999903</v>
      </c>
      <c r="V1899">
        <v>-0.1527763</v>
      </c>
      <c r="W1899">
        <v>0.16911599999999999</v>
      </c>
      <c r="X1899">
        <v>0.97368330000000003</v>
      </c>
      <c r="Y1899">
        <v>-0.378355</v>
      </c>
      <c r="Z1899">
        <v>4.268504E-2</v>
      </c>
      <c r="AA1899">
        <v>0.9246759</v>
      </c>
      <c r="AB1899">
        <v>36</v>
      </c>
      <c r="AC1899">
        <v>0.77289999999999204</v>
      </c>
      <c r="AD1899">
        <v>-6.1926999999999802E-2</v>
      </c>
      <c r="AE1899">
        <v>-7.4829999999998606E-2</v>
      </c>
      <c r="AF1899">
        <v>-0.416373282511522</v>
      </c>
      <c r="AG1899">
        <v>-6.1926999999999802E-2</v>
      </c>
      <c r="AH1899">
        <v>0.64962287359775495</v>
      </c>
      <c r="AI1899">
        <v>94.588565413613907</v>
      </c>
      <c r="AJ1899">
        <v>122.657684725754</v>
      </c>
      <c r="AK1899">
        <v>0.77408755423390196</v>
      </c>
    </row>
    <row r="1900" spans="1:37" x14ac:dyDescent="0.2">
      <c r="A1900" t="str">
        <f>"20200111150628169"</f>
        <v>20200111150628169</v>
      </c>
      <c r="B1900" t="str">
        <f>"1578726388158161"</f>
        <v>1578726388158161</v>
      </c>
      <c r="C1900" t="s">
        <v>37</v>
      </c>
      <c r="D1900">
        <v>5.2084229999999998</v>
      </c>
      <c r="E1900">
        <v>0.4013523</v>
      </c>
      <c r="F1900" t="s">
        <v>39</v>
      </c>
      <c r="G1900">
        <v>-391.43970000000002</v>
      </c>
      <c r="H1900" s="1">
        <v>-4.5409300000000004E-6</v>
      </c>
      <c r="I1900">
        <v>21.772770000000001</v>
      </c>
      <c r="J1900">
        <v>-410.36509999999998</v>
      </c>
      <c r="K1900">
        <v>1.115764</v>
      </c>
      <c r="L1900">
        <v>26.726099999999999</v>
      </c>
      <c r="M1900">
        <v>0.79763419999999996</v>
      </c>
      <c r="N1900">
        <v>0</v>
      </c>
      <c r="O1900">
        <v>-0.60298909999999994</v>
      </c>
      <c r="P1900">
        <v>0.86765179999999997</v>
      </c>
      <c r="Q1900">
        <v>0.16020770000000001</v>
      </c>
      <c r="R1900">
        <v>-0.47065309999999999</v>
      </c>
      <c r="S1900">
        <v>3.0564580000000001</v>
      </c>
      <c r="T1900">
        <v>-0.1763226</v>
      </c>
      <c r="U1900">
        <v>-0.83111569999999901</v>
      </c>
      <c r="V1900">
        <v>-0.15310399999999999</v>
      </c>
      <c r="W1900">
        <v>0.16875270000000001</v>
      </c>
      <c r="X1900">
        <v>0.97369490000000003</v>
      </c>
      <c r="Y1900">
        <v>-0.37125390000000003</v>
      </c>
      <c r="Z1900">
        <v>4.207963E-2</v>
      </c>
      <c r="AA1900">
        <v>0.9275774</v>
      </c>
      <c r="AB1900">
        <v>36</v>
      </c>
      <c r="AC1900">
        <v>18.9253999999999</v>
      </c>
      <c r="AD1900">
        <v>-1.11576854093</v>
      </c>
      <c r="AE1900">
        <v>-4.9533299999999896</v>
      </c>
      <c r="AF1900">
        <v>-7.4373567105454397</v>
      </c>
      <c r="AG1900">
        <v>-1.11576854093</v>
      </c>
      <c r="AH1900">
        <v>18.025376178551099</v>
      </c>
      <c r="AI1900">
        <v>93.274923183538306</v>
      </c>
      <c r="AJ1900">
        <v>112.421278678055</v>
      </c>
      <c r="AK1900">
        <v>19.5313440565441</v>
      </c>
    </row>
    <row r="1901" spans="1:37" x14ac:dyDescent="0.2">
      <c r="A1901" t="str">
        <f>"20200111150628191"</f>
        <v>20200111150628191</v>
      </c>
      <c r="B1901" t="str">
        <f>"1578726388188418"</f>
        <v>1578726388188418</v>
      </c>
      <c r="C1901" t="s">
        <v>37</v>
      </c>
      <c r="D1901">
        <v>5.1989739999999998</v>
      </c>
      <c r="E1901">
        <v>0.42249160000000002</v>
      </c>
      <c r="F1901" t="s">
        <v>39</v>
      </c>
      <c r="G1901">
        <v>-391.50349999999997</v>
      </c>
      <c r="H1901" s="1">
        <v>-4.5475430000000002E-6</v>
      </c>
      <c r="I1901">
        <v>21.948119999999999</v>
      </c>
      <c r="J1901">
        <v>-410.09129999999999</v>
      </c>
      <c r="K1901">
        <v>1.1157539999999999</v>
      </c>
      <c r="L1901">
        <v>26.53134</v>
      </c>
      <c r="M1901">
        <v>0.80509969999999997</v>
      </c>
      <c r="N1901">
        <v>0</v>
      </c>
      <c r="O1901">
        <v>-0.59298469999999903</v>
      </c>
      <c r="P1901">
        <v>0.87363329999999995</v>
      </c>
      <c r="Q1901">
        <v>0.15932349999999901</v>
      </c>
      <c r="R1901">
        <v>-0.4597617</v>
      </c>
      <c r="S1901">
        <v>3.069366</v>
      </c>
      <c r="T1901">
        <v>-0.18157029999999999</v>
      </c>
      <c r="U1901">
        <v>-0.77752690000000002</v>
      </c>
      <c r="V1901">
        <v>-0.15319720000000001</v>
      </c>
      <c r="W1901">
        <v>0.16786760000000001</v>
      </c>
      <c r="X1901">
        <v>0.97383319999999995</v>
      </c>
      <c r="Y1901">
        <v>-0.37572909999999998</v>
      </c>
      <c r="Z1901">
        <v>4.2970149999999999E-2</v>
      </c>
      <c r="AA1901">
        <v>0.92573289999999997</v>
      </c>
      <c r="AB1901">
        <v>36</v>
      </c>
      <c r="AC1901">
        <v>18.587800000000001</v>
      </c>
      <c r="AD1901">
        <v>-1.1157585475430001</v>
      </c>
      <c r="AE1901">
        <v>-4.5832199999999998</v>
      </c>
      <c r="AF1901">
        <v>-7.3081818246496901</v>
      </c>
      <c r="AG1901">
        <v>-1.1157585475430001</v>
      </c>
      <c r="AH1901">
        <v>17.624570548604101</v>
      </c>
      <c r="AI1901">
        <v>93.346778332907505</v>
      </c>
      <c r="AJ1901">
        <v>112.521766900106</v>
      </c>
      <c r="AK1901">
        <v>19.112297761945801</v>
      </c>
    </row>
    <row r="1902" spans="1:37" x14ac:dyDescent="0.2">
      <c r="A1902" t="str">
        <f>"20200111150628214"</f>
        <v>20200111150628214</v>
      </c>
      <c r="B1902" t="str">
        <f>"1578726388208914"</f>
        <v>1578726388208914</v>
      </c>
      <c r="C1902" t="s">
        <v>37</v>
      </c>
      <c r="D1902">
        <v>5.3025529999999996</v>
      </c>
      <c r="E1902">
        <v>0.42301129999999998</v>
      </c>
      <c r="F1902" t="s">
        <v>85</v>
      </c>
      <c r="G1902">
        <v>-400.01199999999898</v>
      </c>
      <c r="H1902" s="1">
        <v>-6.5838630000000002E-6</v>
      </c>
      <c r="I1902">
        <v>23.52946</v>
      </c>
      <c r="J1902">
        <v>-409.79379999999998</v>
      </c>
      <c r="K1902">
        <v>1.1157459999999999</v>
      </c>
      <c r="L1902">
        <v>26.325559999999999</v>
      </c>
      <c r="M1902">
        <v>0.81299840000000001</v>
      </c>
      <c r="N1902">
        <v>0</v>
      </c>
      <c r="O1902">
        <v>-0.58210810000000002</v>
      </c>
      <c r="P1902">
        <v>0.87947589999999998</v>
      </c>
      <c r="Q1902">
        <v>0.15851080000000001</v>
      </c>
      <c r="R1902">
        <v>-0.44877219999999901</v>
      </c>
      <c r="S1902">
        <v>3.0213619999999999</v>
      </c>
      <c r="T1902">
        <v>-0.3344588</v>
      </c>
      <c r="U1902">
        <v>-0.89984129999999996</v>
      </c>
      <c r="V1902">
        <v>-0.15237300000000001</v>
      </c>
      <c r="W1902">
        <v>0.16708399999999901</v>
      </c>
      <c r="X1902">
        <v>0.97409729999999894</v>
      </c>
      <c r="Y1902">
        <v>-0.321328</v>
      </c>
      <c r="Z1902">
        <v>7.5745419999999994E-2</v>
      </c>
      <c r="AA1902">
        <v>0.94393379999999905</v>
      </c>
      <c r="AB1902">
        <v>36</v>
      </c>
      <c r="AC1902">
        <v>9.7818000000000307</v>
      </c>
      <c r="AD1902">
        <v>-1.11575258386299</v>
      </c>
      <c r="AE1902">
        <v>-2.7960999999999898</v>
      </c>
      <c r="AF1902">
        <v>-3.38049446308808</v>
      </c>
      <c r="AG1902">
        <v>-1.11575258386299</v>
      </c>
      <c r="AH1902">
        <v>9.4672301547561304</v>
      </c>
      <c r="AI1902">
        <v>96.333374592454206</v>
      </c>
      <c r="AJ1902">
        <v>109.650285989072</v>
      </c>
      <c r="AK1902">
        <v>10.1144003008824</v>
      </c>
    </row>
    <row r="1903" spans="1:37" x14ac:dyDescent="0.2">
      <c r="A1903" t="str">
        <f>"20200111150628236"</f>
        <v>20200111150628236</v>
      </c>
      <c r="B1903" t="str">
        <f>"1578726388228433"</f>
        <v>1578726388228433</v>
      </c>
      <c r="C1903" t="s">
        <v>37</v>
      </c>
      <c r="D1903">
        <v>5.3489300000000002</v>
      </c>
      <c r="E1903">
        <v>0.4291835</v>
      </c>
      <c r="F1903" t="s">
        <v>39</v>
      </c>
      <c r="G1903">
        <v>-398.9051</v>
      </c>
      <c r="H1903" s="1">
        <v>-1.458349E-6</v>
      </c>
      <c r="I1903">
        <v>23.225439999999999</v>
      </c>
      <c r="J1903">
        <v>-409.49630000000002</v>
      </c>
      <c r="K1903">
        <v>1.115742</v>
      </c>
      <c r="L1903">
        <v>26.12585</v>
      </c>
      <c r="M1903">
        <v>0.8206812</v>
      </c>
      <c r="N1903">
        <v>0</v>
      </c>
      <c r="O1903">
        <v>-0.57122580000000001</v>
      </c>
      <c r="P1903">
        <v>0.88547520000000002</v>
      </c>
      <c r="Q1903">
        <v>0.158526</v>
      </c>
      <c r="R1903">
        <v>-0.43681120000000001</v>
      </c>
      <c r="S1903">
        <v>3.0272220000000001</v>
      </c>
      <c r="T1903">
        <v>-0.3101932</v>
      </c>
      <c r="U1903">
        <v>-0.86187739999999902</v>
      </c>
      <c r="V1903">
        <v>-0.15259719999999999</v>
      </c>
      <c r="W1903">
        <v>0.16709199999999999</v>
      </c>
      <c r="X1903">
        <v>0.97406079999999995</v>
      </c>
      <c r="Y1903">
        <v>-0.32080920000000002</v>
      </c>
      <c r="Z1903">
        <v>6.9428009999999998E-2</v>
      </c>
      <c r="AA1903">
        <v>0.94459579999999999</v>
      </c>
      <c r="AB1903">
        <v>36</v>
      </c>
      <c r="AC1903">
        <v>10.591200000000001</v>
      </c>
      <c r="AD1903">
        <v>-1.115743458349</v>
      </c>
      <c r="AE1903">
        <v>-2.9004099999999999</v>
      </c>
      <c r="AF1903">
        <v>-3.6324909143206501</v>
      </c>
      <c r="AG1903">
        <v>-1.115743458349</v>
      </c>
      <c r="AH1903">
        <v>10.243982117449301</v>
      </c>
      <c r="AI1903">
        <v>95.861120366907898</v>
      </c>
      <c r="AJ1903">
        <v>109.52438154405699</v>
      </c>
      <c r="AK1903">
        <v>10.926071724553699</v>
      </c>
    </row>
    <row r="1904" spans="1:37" x14ac:dyDescent="0.2">
      <c r="A1904" t="str">
        <f>"20200111150628258"</f>
        <v>20200111150628258</v>
      </c>
      <c r="B1904" t="str">
        <f>"1578726388248929"</f>
        <v>1578726388248929</v>
      </c>
      <c r="C1904" t="s">
        <v>37</v>
      </c>
      <c r="D1904">
        <v>5.2259289999999998</v>
      </c>
      <c r="E1904">
        <v>0.43390029999999902</v>
      </c>
      <c r="F1904" t="s">
        <v>39</v>
      </c>
      <c r="G1904">
        <v>-397.94549999999998</v>
      </c>
      <c r="H1904" s="1">
        <v>-1.802748E-6</v>
      </c>
      <c r="I1904">
        <v>22.814979999999998</v>
      </c>
      <c r="J1904">
        <v>-409.19450000000001</v>
      </c>
      <c r="K1904">
        <v>1.1157280000000001</v>
      </c>
      <c r="L1904">
        <v>25.928989999999999</v>
      </c>
      <c r="M1904">
        <v>0.82826069999999996</v>
      </c>
      <c r="N1904">
        <v>0</v>
      </c>
      <c r="O1904">
        <v>-0.56017910000000004</v>
      </c>
      <c r="P1904">
        <v>0.89168400000000003</v>
      </c>
      <c r="Q1904">
        <v>0.1579854</v>
      </c>
      <c r="R1904">
        <v>-0.42419409999999902</v>
      </c>
      <c r="S1904">
        <v>3.013916</v>
      </c>
      <c r="T1904">
        <v>-0.2911261</v>
      </c>
      <c r="U1904">
        <v>-0.86389159999999898</v>
      </c>
      <c r="V1904">
        <v>-0.15341459999999901</v>
      </c>
      <c r="W1904">
        <v>0.16652539999999999</v>
      </c>
      <c r="X1904">
        <v>0.97402939999999905</v>
      </c>
      <c r="Y1904">
        <v>-0.30693819999999999</v>
      </c>
      <c r="Z1904">
        <v>6.3953650000000001E-2</v>
      </c>
      <c r="AA1904">
        <v>0.94957819999999904</v>
      </c>
      <c r="AB1904">
        <v>36</v>
      </c>
      <c r="AC1904">
        <v>11.249000000000001</v>
      </c>
      <c r="AD1904">
        <v>-1.115729802748</v>
      </c>
      <c r="AE1904">
        <v>-3.1140099999999999</v>
      </c>
      <c r="AF1904">
        <v>-3.68887755849856</v>
      </c>
      <c r="AG1904">
        <v>-1.115729802748</v>
      </c>
      <c r="AH1904">
        <v>10.9623559867754</v>
      </c>
      <c r="AI1904">
        <v>95.509886868631895</v>
      </c>
      <c r="AJ1904">
        <v>108.59829656126099</v>
      </c>
      <c r="AK1904">
        <v>11.6200653791244</v>
      </c>
    </row>
    <row r="1905" spans="1:37" x14ac:dyDescent="0.2">
      <c r="A1905" t="str">
        <f>"20200111150628280"</f>
        <v>20200111150628280</v>
      </c>
      <c r="B1905" t="str">
        <f>"1578726388268454"</f>
        <v>1578726388268454</v>
      </c>
      <c r="C1905" t="s">
        <v>37</v>
      </c>
      <c r="D1905">
        <v>5.2052100000000001</v>
      </c>
      <c r="E1905">
        <v>0.4360269</v>
      </c>
      <c r="F1905" t="s">
        <v>39</v>
      </c>
      <c r="G1905">
        <v>-398.7346</v>
      </c>
      <c r="H1905" s="1">
        <v>-1.4658199999999999E-6</v>
      </c>
      <c r="I1905">
        <v>22.950669999999999</v>
      </c>
      <c r="J1905">
        <v>-408.9126</v>
      </c>
      <c r="K1905">
        <v>1.1157219999999901</v>
      </c>
      <c r="L1905">
        <v>25.750150000000001</v>
      </c>
      <c r="M1905">
        <v>0.83515139999999999</v>
      </c>
      <c r="N1905">
        <v>0</v>
      </c>
      <c r="O1905">
        <v>-0.54985299999999904</v>
      </c>
      <c r="P1905">
        <v>0.89691939999999903</v>
      </c>
      <c r="Q1905">
        <v>0.15665860000000001</v>
      </c>
      <c r="R1905">
        <v>-0.41351399999999999</v>
      </c>
      <c r="S1905">
        <v>3.0132140000000001</v>
      </c>
      <c r="T1905">
        <v>-0.32141129999999901</v>
      </c>
      <c r="U1905">
        <v>-0.85797119999999905</v>
      </c>
      <c r="V1905">
        <v>-0.1530397</v>
      </c>
      <c r="W1905">
        <v>0.16521349999999899</v>
      </c>
      <c r="X1905">
        <v>0.97431179999999995</v>
      </c>
      <c r="Y1905">
        <v>-0.2961319</v>
      </c>
      <c r="Z1905">
        <v>6.917893E-2</v>
      </c>
      <c r="AA1905">
        <v>0.95263850000000005</v>
      </c>
      <c r="AB1905">
        <v>36</v>
      </c>
      <c r="AC1905">
        <v>10.1779999999999</v>
      </c>
      <c r="AD1905">
        <v>-1.1157234658199999</v>
      </c>
      <c r="AE1905">
        <v>-2.7994799999999902</v>
      </c>
      <c r="AF1905">
        <v>-3.2227108401994302</v>
      </c>
      <c r="AG1905">
        <v>-1.1157234658199999</v>
      </c>
      <c r="AH1905">
        <v>9.92946811700957</v>
      </c>
      <c r="AI1905">
        <v>96.100422723886894</v>
      </c>
      <c r="AJ1905">
        <v>107.98137087413799</v>
      </c>
      <c r="AK1905">
        <v>10.4988114136044</v>
      </c>
    </row>
    <row r="1906" spans="1:37" x14ac:dyDescent="0.2">
      <c r="A1906" t="str">
        <f>"20200111150628302"</f>
        <v>20200111150628302</v>
      </c>
      <c r="B1906" t="str">
        <f>"1578726388298710"</f>
        <v>1578726388298710</v>
      </c>
      <c r="C1906" t="s">
        <v>37</v>
      </c>
      <c r="D1906">
        <v>5.2579320000000003</v>
      </c>
      <c r="E1906">
        <v>0.4378282</v>
      </c>
      <c r="F1906" t="s">
        <v>39</v>
      </c>
      <c r="G1906">
        <v>-398.40140000000002</v>
      </c>
      <c r="H1906" s="1">
        <v>-1.59231E-6</v>
      </c>
      <c r="I1906">
        <v>22.834060000000001</v>
      </c>
      <c r="J1906">
        <v>-408.61040000000003</v>
      </c>
      <c r="K1906">
        <v>1.115718</v>
      </c>
      <c r="L1906">
        <v>25.563870000000001</v>
      </c>
      <c r="M1906">
        <v>0.84233829999999998</v>
      </c>
      <c r="N1906">
        <v>0</v>
      </c>
      <c r="O1906">
        <v>-0.53877869999999894</v>
      </c>
      <c r="P1906">
        <v>0.90226859999999998</v>
      </c>
      <c r="Q1906">
        <v>0.15551319999999999</v>
      </c>
      <c r="R1906">
        <v>-0.40215339999999999</v>
      </c>
      <c r="S1906">
        <v>3.0150450000000002</v>
      </c>
      <c r="T1906">
        <v>-0.32003599999999999</v>
      </c>
      <c r="U1906">
        <v>-0.83645630000000004</v>
      </c>
      <c r="V1906">
        <v>-0.1525502</v>
      </c>
      <c r="W1906">
        <v>0.1640865</v>
      </c>
      <c r="X1906">
        <v>0.97457890000000003</v>
      </c>
      <c r="Y1906">
        <v>-0.29007909999999998</v>
      </c>
      <c r="Z1906">
        <v>6.7678589999999997E-2</v>
      </c>
      <c r="AA1906">
        <v>0.95460659999999897</v>
      </c>
      <c r="AB1906">
        <v>36</v>
      </c>
      <c r="AC1906">
        <v>10.209</v>
      </c>
      <c r="AD1906">
        <v>-1.1157195923100001</v>
      </c>
      <c r="AE1906">
        <v>-2.7298100000000001</v>
      </c>
      <c r="AF1906">
        <v>-3.16597168203768</v>
      </c>
      <c r="AG1906">
        <v>-1.1157195923100001</v>
      </c>
      <c r="AH1906">
        <v>9.9600965928274299</v>
      </c>
      <c r="AI1906">
        <v>96.093560551804998</v>
      </c>
      <c r="AJ1906">
        <v>107.633668302316</v>
      </c>
      <c r="AK1906">
        <v>10.510553317432</v>
      </c>
    </row>
    <row r="1907" spans="1:37" x14ac:dyDescent="0.2">
      <c r="A1907" t="str">
        <f>"20200111150628327"</f>
        <v>20200111150628327</v>
      </c>
      <c r="B1907" t="str">
        <f>"1578726388318230"</f>
        <v>1578726388318230</v>
      </c>
      <c r="C1907" t="s">
        <v>37</v>
      </c>
      <c r="D1907">
        <v>5.2392029999999998</v>
      </c>
      <c r="E1907">
        <v>0.43924439999999998</v>
      </c>
      <c r="F1907" t="s">
        <v>39</v>
      </c>
      <c r="G1907">
        <v>-398.02870000000001</v>
      </c>
      <c r="H1907" s="1">
        <v>-1.739071E-6</v>
      </c>
      <c r="I1907">
        <v>22.72354</v>
      </c>
      <c r="J1907">
        <v>-408.28609999999998</v>
      </c>
      <c r="K1907">
        <v>1.115712</v>
      </c>
      <c r="L1907">
        <v>25.369869999999999</v>
      </c>
      <c r="M1907">
        <v>0.84982990000000003</v>
      </c>
      <c r="N1907">
        <v>0</v>
      </c>
      <c r="O1907">
        <v>-0.52688310000000005</v>
      </c>
      <c r="P1907">
        <v>0.90755330000000001</v>
      </c>
      <c r="Q1907">
        <v>0.1552345</v>
      </c>
      <c r="R1907">
        <v>-0.39019169999999997</v>
      </c>
      <c r="S1907">
        <v>3.0186769999999998</v>
      </c>
      <c r="T1907">
        <v>-0.31828489999999998</v>
      </c>
      <c r="U1907">
        <v>-0.8102722</v>
      </c>
      <c r="V1907">
        <v>-0.15174479999999901</v>
      </c>
      <c r="W1907">
        <v>0.16383490000000001</v>
      </c>
      <c r="X1907">
        <v>0.97474699999999903</v>
      </c>
      <c r="Y1907">
        <v>-0.28474519999999998</v>
      </c>
      <c r="Z1907">
        <v>6.6044080000000005E-2</v>
      </c>
      <c r="AA1907">
        <v>0.95632539999999999</v>
      </c>
      <c r="AB1907">
        <v>36</v>
      </c>
      <c r="AC1907">
        <v>10.257399999999899</v>
      </c>
      <c r="AD1907">
        <v>-1.1157137390709999</v>
      </c>
      <c r="AE1907">
        <v>-2.6463299999999998</v>
      </c>
      <c r="AF1907">
        <v>-3.1211865997449801</v>
      </c>
      <c r="AG1907">
        <v>-1.1157137390709999</v>
      </c>
      <c r="AH1907">
        <v>10.001334849253601</v>
      </c>
      <c r="AI1907">
        <v>96.078590159391695</v>
      </c>
      <c r="AJ1907">
        <v>107.331942226512</v>
      </c>
      <c r="AK1907">
        <v>10.5362859540198</v>
      </c>
    </row>
    <row r="1908" spans="1:37" x14ac:dyDescent="0.2">
      <c r="A1908" t="str">
        <f>"20200111150628349"</f>
        <v>20200111150628349</v>
      </c>
      <c r="B1908" t="str">
        <f>"1578726388338726"</f>
        <v>1578726388338726</v>
      </c>
      <c r="C1908" t="s">
        <v>37</v>
      </c>
      <c r="D1908">
        <v>5.2715170000000002</v>
      </c>
      <c r="E1908">
        <v>0.44034459999999997</v>
      </c>
      <c r="F1908" t="s">
        <v>39</v>
      </c>
      <c r="G1908">
        <v>-397.9051</v>
      </c>
      <c r="H1908" s="1">
        <v>-1.78895E-6</v>
      </c>
      <c r="I1908">
        <v>22.691459999999999</v>
      </c>
      <c r="J1908">
        <v>-407.97879999999998</v>
      </c>
      <c r="K1908">
        <v>1.1157139999999901</v>
      </c>
      <c r="L1908">
        <v>25.19162</v>
      </c>
      <c r="M1908">
        <v>0.85672190000000004</v>
      </c>
      <c r="N1908">
        <v>0</v>
      </c>
      <c r="O1908">
        <v>-0.51560059999999996</v>
      </c>
      <c r="P1908">
        <v>0.91267259999999995</v>
      </c>
      <c r="Q1908">
        <v>0.155880399999999</v>
      </c>
      <c r="R1908">
        <v>-0.37779609999999902</v>
      </c>
      <c r="S1908">
        <v>3.025604</v>
      </c>
      <c r="T1908">
        <v>-0.32518140000000001</v>
      </c>
      <c r="U1908">
        <v>-0.78063959999999999</v>
      </c>
      <c r="V1908">
        <v>-0.1520938</v>
      </c>
      <c r="W1908">
        <v>0.16446849999999999</v>
      </c>
      <c r="X1908">
        <v>0.97458579999999995</v>
      </c>
      <c r="Y1908">
        <v>-0.28128700000000001</v>
      </c>
      <c r="Z1908">
        <v>6.6255850000000005E-2</v>
      </c>
      <c r="AA1908">
        <v>0.95733369999999995</v>
      </c>
      <c r="AB1908">
        <v>36</v>
      </c>
      <c r="AC1908">
        <v>10.073699999999899</v>
      </c>
      <c r="AD1908">
        <v>-1.11571578894999</v>
      </c>
      <c r="AE1908">
        <v>-2.5001600000000002</v>
      </c>
      <c r="AF1908">
        <v>-3.0174772493322402</v>
      </c>
      <c r="AG1908">
        <v>-1.11571578894999</v>
      </c>
      <c r="AH1908">
        <v>9.80703398976347</v>
      </c>
      <c r="AI1908">
        <v>96.205745784498404</v>
      </c>
      <c r="AJ1908">
        <v>107.10234645990001</v>
      </c>
      <c r="AK1908">
        <v>10.32123569871</v>
      </c>
    </row>
    <row r="1909" spans="1:37" x14ac:dyDescent="0.2">
      <c r="A1909" t="str">
        <f>"20200111150628370"</f>
        <v>20200111150628370</v>
      </c>
      <c r="B1909" t="str">
        <f>"1578726388368007"</f>
        <v>1578726388368007</v>
      </c>
      <c r="C1909" t="s">
        <v>37</v>
      </c>
      <c r="D1909">
        <v>5.2182180000000002</v>
      </c>
      <c r="E1909">
        <v>0.44275159999999902</v>
      </c>
      <c r="F1909" t="s">
        <v>39</v>
      </c>
      <c r="G1909">
        <v>-397.61649999999997</v>
      </c>
      <c r="H1909" s="1">
        <v>-1.910342E-6</v>
      </c>
      <c r="I1909">
        <v>22.634920000000001</v>
      </c>
      <c r="J1909">
        <v>-407.67720000000003</v>
      </c>
      <c r="K1909">
        <v>1.11572</v>
      </c>
      <c r="L1909">
        <v>25.021850000000001</v>
      </c>
      <c r="M1909">
        <v>0.8632938</v>
      </c>
      <c r="N1909">
        <v>0</v>
      </c>
      <c r="O1909">
        <v>-0.50452010000000003</v>
      </c>
      <c r="P1909">
        <v>0.91755710000000001</v>
      </c>
      <c r="Q1909">
        <v>0.1569362</v>
      </c>
      <c r="R1909">
        <v>-0.36532229999999999</v>
      </c>
      <c r="S1909">
        <v>3.0330509999999999</v>
      </c>
      <c r="T1909">
        <v>-0.32657190000000003</v>
      </c>
      <c r="U1909">
        <v>-0.74835209999999996</v>
      </c>
      <c r="V1909">
        <v>-0.1527627</v>
      </c>
      <c r="W1909">
        <v>0.16550029999999999</v>
      </c>
      <c r="X1909">
        <v>0.97430649999999996</v>
      </c>
      <c r="Y1909">
        <v>-0.27911160000000002</v>
      </c>
      <c r="Z1909">
        <v>6.5393010000000001E-2</v>
      </c>
      <c r="AA1909">
        <v>0.95802940000000003</v>
      </c>
      <c r="AB1909">
        <v>36</v>
      </c>
      <c r="AC1909">
        <v>10.060700000000001</v>
      </c>
      <c r="AD1909">
        <v>-1.115721910342</v>
      </c>
      <c r="AE1909">
        <v>-2.38693</v>
      </c>
      <c r="AF1909">
        <v>-2.98077407274346</v>
      </c>
      <c r="AG1909">
        <v>-1.115721910342</v>
      </c>
      <c r="AH1909">
        <v>9.7766686961000904</v>
      </c>
      <c r="AI1909">
        <v>96.229744568819498</v>
      </c>
      <c r="AJ1909">
        <v>106.955754868711</v>
      </c>
      <c r="AK1909">
        <v>10.2816876166931</v>
      </c>
    </row>
    <row r="1910" spans="1:37" x14ac:dyDescent="0.2">
      <c r="A1910" t="str">
        <f>"20200111150628395"</f>
        <v>20200111150628395</v>
      </c>
      <c r="B1910" t="str">
        <f>"1578726388388503"</f>
        <v>1578726388388503</v>
      </c>
      <c r="C1910" t="s">
        <v>37</v>
      </c>
      <c r="D1910">
        <v>5.1744069999999898</v>
      </c>
      <c r="E1910">
        <v>0.44439830000000002</v>
      </c>
      <c r="F1910" t="s">
        <v>39</v>
      </c>
      <c r="G1910">
        <v>-397.19330000000002</v>
      </c>
      <c r="H1910" s="1">
        <v>-2.0798789999999998E-6</v>
      </c>
      <c r="I1910">
        <v>22.520160000000001</v>
      </c>
      <c r="J1910">
        <v>-407.35550000000001</v>
      </c>
      <c r="K1910">
        <v>1.1157189999999999</v>
      </c>
      <c r="L1910">
        <v>24.846620000000001</v>
      </c>
      <c r="M1910">
        <v>0.8700968</v>
      </c>
      <c r="N1910">
        <v>0</v>
      </c>
      <c r="O1910">
        <v>-0.49269459999999998</v>
      </c>
      <c r="P1910">
        <v>0.92263050000000002</v>
      </c>
      <c r="Q1910">
        <v>0.156977799999999</v>
      </c>
      <c r="R1910">
        <v>-0.3522942</v>
      </c>
      <c r="S1910">
        <v>3.0363769999999999</v>
      </c>
      <c r="T1910">
        <v>-0.3231385</v>
      </c>
      <c r="U1910">
        <v>-0.72454830000000003</v>
      </c>
      <c r="V1910">
        <v>-0.15326339999999999</v>
      </c>
      <c r="W1910">
        <v>0.16552149999999999</v>
      </c>
      <c r="X1910">
        <v>0.97422430000000004</v>
      </c>
      <c r="Y1910">
        <v>-0.27351179999999897</v>
      </c>
      <c r="Z1910">
        <v>6.3372719999999994E-2</v>
      </c>
      <c r="AA1910">
        <v>0.95977869999999998</v>
      </c>
      <c r="AB1910">
        <v>36</v>
      </c>
      <c r="AC1910">
        <v>10.162199999999901</v>
      </c>
      <c r="AD1910">
        <v>-1.115721079879</v>
      </c>
      <c r="AE1910">
        <v>-2.32646</v>
      </c>
      <c r="AF1910">
        <v>-2.9491108727934598</v>
      </c>
      <c r="AG1910">
        <v>-1.115721079879</v>
      </c>
      <c r="AH1910">
        <v>9.8761294695068607</v>
      </c>
      <c r="AI1910">
        <v>96.178119639725296</v>
      </c>
      <c r="AJ1910">
        <v>106.626150261513</v>
      </c>
      <c r="AK1910">
        <v>10.3672571959306</v>
      </c>
    </row>
    <row r="1911" spans="1:37" x14ac:dyDescent="0.2">
      <c r="A1911" t="str">
        <f>"20200111150628417"</f>
        <v>20200111150628417</v>
      </c>
      <c r="B1911" t="str">
        <f>"1578726388408023"</f>
        <v>1578726388408023</v>
      </c>
      <c r="C1911" t="s">
        <v>37</v>
      </c>
      <c r="D1911">
        <v>5.2772589999999999</v>
      </c>
      <c r="E1911">
        <v>0.44571719999999998</v>
      </c>
      <c r="F1911" t="s">
        <v>39</v>
      </c>
      <c r="G1911">
        <v>-397.01459999999997</v>
      </c>
      <c r="H1911" s="1">
        <v>-2.1559469999999998E-6</v>
      </c>
      <c r="I1911">
        <v>22.488710000000001</v>
      </c>
      <c r="J1911">
        <v>-407.0292</v>
      </c>
      <c r="K1911">
        <v>1.115715</v>
      </c>
      <c r="L1911">
        <v>24.67484</v>
      </c>
      <c r="M1911">
        <v>0.87678529999999999</v>
      </c>
      <c r="N1911">
        <v>0</v>
      </c>
      <c r="O1911">
        <v>-0.4806917</v>
      </c>
      <c r="P1911">
        <v>0.92753019999999997</v>
      </c>
      <c r="Q1911">
        <v>0.15650620000000001</v>
      </c>
      <c r="R1911">
        <v>-0.3394025</v>
      </c>
      <c r="S1911">
        <v>3.0425419999999899</v>
      </c>
      <c r="T1911">
        <v>-0.32827309999999998</v>
      </c>
      <c r="U1911">
        <v>-0.69375609999999999</v>
      </c>
      <c r="V1911">
        <v>-0.15347629999999901</v>
      </c>
      <c r="W1911">
        <v>0.16503570000000001</v>
      </c>
      <c r="X1911">
        <v>0.97427319999999995</v>
      </c>
      <c r="Y1911">
        <v>-0.26990690000000001</v>
      </c>
      <c r="Z1911">
        <v>6.3058870000000003E-2</v>
      </c>
      <c r="AA1911">
        <v>0.96081939999999999</v>
      </c>
      <c r="AB1911">
        <v>36</v>
      </c>
      <c r="AC1911">
        <v>10.0146</v>
      </c>
      <c r="AD1911">
        <v>-1.1157171559469901</v>
      </c>
      <c r="AE1911">
        <v>-2.1861299999999901</v>
      </c>
      <c r="AF1911">
        <v>-2.86350842980075</v>
      </c>
      <c r="AG1911">
        <v>-1.1157171559469901</v>
      </c>
      <c r="AH1911">
        <v>9.7172837076991403</v>
      </c>
      <c r="AI1911">
        <v>96.284963382853803</v>
      </c>
      <c r="AJ1911">
        <v>106.41929547111801</v>
      </c>
      <c r="AK1911">
        <v>10.191668556008301</v>
      </c>
    </row>
    <row r="1912" spans="1:37" x14ac:dyDescent="0.2">
      <c r="A1912" t="str">
        <f>"20200111150628440"</f>
        <v>20200111150628440</v>
      </c>
      <c r="B1912" t="str">
        <f>"1578726388438278"</f>
        <v>1578726388438278</v>
      </c>
      <c r="C1912" t="s">
        <v>37</v>
      </c>
      <c r="D1912">
        <v>5.3004189999999998</v>
      </c>
      <c r="E1912">
        <v>0.44690219999999897</v>
      </c>
      <c r="F1912" t="s">
        <v>39</v>
      </c>
      <c r="G1912">
        <v>-396.85379999999998</v>
      </c>
      <c r="H1912" s="1">
        <v>-2.22578699999999E-6</v>
      </c>
      <c r="I1912">
        <v>22.465489999999999</v>
      </c>
      <c r="J1912">
        <v>-406.70420000000001</v>
      </c>
      <c r="K1912">
        <v>1.11571</v>
      </c>
      <c r="L1912">
        <v>24.509250000000002</v>
      </c>
      <c r="M1912">
        <v>0.88324389999999997</v>
      </c>
      <c r="N1912">
        <v>0</v>
      </c>
      <c r="O1912">
        <v>-0.46871849999999998</v>
      </c>
      <c r="P1912">
        <v>0.93217799999999995</v>
      </c>
      <c r="Q1912">
        <v>0.15538879999999999</v>
      </c>
      <c r="R1912">
        <v>-0.32695359999999901</v>
      </c>
      <c r="S1912">
        <v>3.048584</v>
      </c>
      <c r="T1912">
        <v>-0.33427209999999902</v>
      </c>
      <c r="U1912">
        <v>-0.66192629999999997</v>
      </c>
      <c r="V1912">
        <v>-0.1533186</v>
      </c>
      <c r="W1912">
        <v>0.1639158</v>
      </c>
      <c r="X1912">
        <v>0.97448709999999905</v>
      </c>
      <c r="Y1912">
        <v>-0.26672020000000002</v>
      </c>
      <c r="Z1912">
        <v>6.2883300000000003E-2</v>
      </c>
      <c r="AA1912">
        <v>0.96172029999999997</v>
      </c>
      <c r="AB1912">
        <v>36</v>
      </c>
      <c r="AC1912">
        <v>9.8504000000000307</v>
      </c>
      <c r="AD1912">
        <v>-1.115712225787</v>
      </c>
      <c r="AE1912">
        <v>-2.0437599999999998</v>
      </c>
      <c r="AF1912">
        <v>-2.7780151543988301</v>
      </c>
      <c r="AG1912">
        <v>-1.115712225787</v>
      </c>
      <c r="AH1912">
        <v>9.5417781249816507</v>
      </c>
      <c r="AI1912">
        <v>96.405649571222796</v>
      </c>
      <c r="AJ1912">
        <v>106.232511844512</v>
      </c>
      <c r="AK1912">
        <v>10.000385580327301</v>
      </c>
    </row>
    <row r="1913" spans="1:37" x14ac:dyDescent="0.2">
      <c r="A1913" t="str">
        <f>"20200111150628462"</f>
        <v>20200111150628462</v>
      </c>
      <c r="B1913" t="str">
        <f>"1578726388458779"</f>
        <v>1578726388458779</v>
      </c>
      <c r="C1913" t="s">
        <v>37</v>
      </c>
      <c r="D1913">
        <v>5.3121</v>
      </c>
      <c r="E1913">
        <v>0.4476348</v>
      </c>
      <c r="F1913" t="s">
        <v>39</v>
      </c>
      <c r="G1913">
        <v>-396.67489999999998</v>
      </c>
      <c r="H1913" s="1">
        <v>-2.3035629999999999E-6</v>
      </c>
      <c r="I1913">
        <v>22.439969999999999</v>
      </c>
      <c r="J1913">
        <v>-406.39299999999997</v>
      </c>
      <c r="K1913">
        <v>1.1157109999999999</v>
      </c>
      <c r="L1913">
        <v>24.35577</v>
      </c>
      <c r="M1913">
        <v>0.88923859999999999</v>
      </c>
      <c r="N1913">
        <v>0</v>
      </c>
      <c r="O1913">
        <v>-0.45724369999999998</v>
      </c>
      <c r="P1913">
        <v>0.93633659999999996</v>
      </c>
      <c r="Q1913">
        <v>0.15505450000000001</v>
      </c>
      <c r="R1913">
        <v>-0.31501079999999998</v>
      </c>
      <c r="S1913">
        <v>3.053925</v>
      </c>
      <c r="T1913">
        <v>-0.33973569999999997</v>
      </c>
      <c r="U1913">
        <v>-0.6300964</v>
      </c>
      <c r="V1913">
        <v>-0.15317349999999999</v>
      </c>
      <c r="W1913">
        <v>0.163578</v>
      </c>
      <c r="X1913">
        <v>0.97456659999999995</v>
      </c>
      <c r="Y1913">
        <v>-0.26413559999999903</v>
      </c>
      <c r="Z1913">
        <v>6.2644290000000005E-2</v>
      </c>
      <c r="AA1913">
        <v>0.962449</v>
      </c>
      <c r="AB1913">
        <v>36</v>
      </c>
      <c r="AC1913">
        <v>9.7181000000000495</v>
      </c>
      <c r="AD1913">
        <v>-1.115713303563</v>
      </c>
      <c r="AE1913">
        <v>-1.91579999999999</v>
      </c>
      <c r="AF1913">
        <v>-2.7058561170018298</v>
      </c>
      <c r="AG1913">
        <v>-1.115713303563</v>
      </c>
      <c r="AH1913">
        <v>9.39931168967858</v>
      </c>
      <c r="AI1913">
        <v>96.507544743001404</v>
      </c>
      <c r="AJ1913">
        <v>106.059951622836</v>
      </c>
      <c r="AK1913">
        <v>9.84446716391456</v>
      </c>
    </row>
    <row r="1914" spans="1:37" x14ac:dyDescent="0.2">
      <c r="A1914" t="str">
        <f>"20200111150628486"</f>
        <v>20200111150628486</v>
      </c>
      <c r="B1914" t="str">
        <f>"1578726388478294"</f>
        <v>1578726388478294</v>
      </c>
      <c r="C1914" t="s">
        <v>37</v>
      </c>
      <c r="D1914">
        <v>5.3024940000000003</v>
      </c>
      <c r="E1914">
        <v>0.4484397</v>
      </c>
      <c r="F1914" t="s">
        <v>39</v>
      </c>
      <c r="G1914">
        <v>-396.47710000000001</v>
      </c>
      <c r="H1914" s="1">
        <v>-2.39238599999999E-6</v>
      </c>
      <c r="I1914">
        <v>22.42229</v>
      </c>
      <c r="J1914">
        <v>-406.06849999999997</v>
      </c>
      <c r="K1914">
        <v>1.115713</v>
      </c>
      <c r="L1914">
        <v>24.200990000000001</v>
      </c>
      <c r="M1914">
        <v>0.89529890000000001</v>
      </c>
      <c r="N1914">
        <v>0</v>
      </c>
      <c r="O1914">
        <v>-0.44526120000000002</v>
      </c>
      <c r="P1914">
        <v>0.94050499999999904</v>
      </c>
      <c r="Q1914">
        <v>0.15537690000000001</v>
      </c>
      <c r="R1914">
        <v>-0.30217329999999998</v>
      </c>
      <c r="S1914">
        <v>3.0602419999999899</v>
      </c>
      <c r="T1914">
        <v>-0.3443309</v>
      </c>
      <c r="U1914">
        <v>-0.59671019999999997</v>
      </c>
      <c r="V1914">
        <v>-0.1534054</v>
      </c>
      <c r="W1914">
        <v>0.1638829</v>
      </c>
      <c r="X1914">
        <v>0.97447890000000004</v>
      </c>
      <c r="Y1914">
        <v>-0.261650299999999</v>
      </c>
      <c r="Z1914">
        <v>6.2136660000000003E-2</v>
      </c>
      <c r="AA1914">
        <v>0.96316049999999997</v>
      </c>
      <c r="AB1914">
        <v>36</v>
      </c>
      <c r="AC1914">
        <v>9.5913999999999593</v>
      </c>
      <c r="AD1914">
        <v>-1.1157153923859999</v>
      </c>
      <c r="AE1914">
        <v>-1.7786999999999999</v>
      </c>
      <c r="AF1914">
        <v>-2.6438685108084599</v>
      </c>
      <c r="AG1914">
        <v>-1.1157153923859999</v>
      </c>
      <c r="AH1914">
        <v>9.2588908273894699</v>
      </c>
      <c r="AI1914">
        <v>96.609425911017496</v>
      </c>
      <c r="AJ1914">
        <v>105.936648622768</v>
      </c>
      <c r="AK1914">
        <v>9.6933957359002108</v>
      </c>
    </row>
    <row r="1915" spans="1:37" x14ac:dyDescent="0.2">
      <c r="A1915" t="str">
        <f>"20200111150628507"</f>
        <v>20200111150628507</v>
      </c>
      <c r="B1915" t="str">
        <f>"1578726388498790"</f>
        <v>1578726388498790</v>
      </c>
      <c r="C1915" t="s">
        <v>37</v>
      </c>
      <c r="D1915">
        <v>5.2337369999999996</v>
      </c>
      <c r="E1915">
        <v>0.44949729999999999</v>
      </c>
      <c r="F1915" t="s">
        <v>39</v>
      </c>
      <c r="G1915">
        <v>-396.12599999999998</v>
      </c>
      <c r="H1915" s="1">
        <v>-2.547715E-6</v>
      </c>
      <c r="I1915">
        <v>22.382390000000001</v>
      </c>
      <c r="J1915">
        <v>-405.75060000000002</v>
      </c>
      <c r="K1915">
        <v>1.115721</v>
      </c>
      <c r="L1915">
        <v>24.054469999999998</v>
      </c>
      <c r="M1915">
        <v>0.9010534</v>
      </c>
      <c r="N1915">
        <v>0</v>
      </c>
      <c r="O1915">
        <v>-0.43349789999999999</v>
      </c>
      <c r="P1915">
        <v>0.9441775</v>
      </c>
      <c r="Q1915">
        <v>0.15556979999999901</v>
      </c>
      <c r="R1915">
        <v>-0.29039149999999903</v>
      </c>
      <c r="S1915">
        <v>3.0664060000000002</v>
      </c>
      <c r="T1915">
        <v>-0.34410229999999897</v>
      </c>
      <c r="U1915">
        <v>-0.56088260000000001</v>
      </c>
      <c r="V1915">
        <v>-0.15281979999999901</v>
      </c>
      <c r="W1915">
        <v>0.1640856</v>
      </c>
      <c r="X1915">
        <v>0.97453679999999998</v>
      </c>
      <c r="Y1915">
        <v>-0.26032660000000002</v>
      </c>
      <c r="Z1915">
        <v>6.0829920000000003E-2</v>
      </c>
      <c r="AA1915">
        <v>0.96360249999999903</v>
      </c>
      <c r="AB1915">
        <v>36</v>
      </c>
      <c r="AC1915">
        <v>9.62460000000004</v>
      </c>
      <c r="AD1915">
        <v>-1.115723547715</v>
      </c>
      <c r="AE1915">
        <v>-1.67208</v>
      </c>
      <c r="AF1915">
        <v>-2.6315261288021898</v>
      </c>
      <c r="AG1915">
        <v>-1.115723547715</v>
      </c>
      <c r="AH1915">
        <v>9.2769634456890095</v>
      </c>
      <c r="AI1915">
        <v>96.599960075935499</v>
      </c>
      <c r="AJ1915">
        <v>105.836647841963</v>
      </c>
      <c r="AK1915">
        <v>9.7073075347464108</v>
      </c>
    </row>
    <row r="1916" spans="1:37" x14ac:dyDescent="0.2">
      <c r="A1916" t="str">
        <f>"20200111150628529"</f>
        <v>20200111150628529</v>
      </c>
      <c r="B1916" t="str">
        <f>"1578726388518309"</f>
        <v>1578726388518309</v>
      </c>
      <c r="C1916" t="s">
        <v>37</v>
      </c>
      <c r="D1916">
        <v>5.2678459999999996</v>
      </c>
      <c r="E1916">
        <v>0.45049299999999998</v>
      </c>
      <c r="F1916" t="s">
        <v>39</v>
      </c>
      <c r="G1916">
        <v>-395.81139999999999</v>
      </c>
      <c r="H1916" s="1">
        <v>-2.6851849999999999E-6</v>
      </c>
      <c r="I1916">
        <v>22.340170000000001</v>
      </c>
      <c r="J1916">
        <v>-405.43889999999999</v>
      </c>
      <c r="K1916">
        <v>1.1157410000000001</v>
      </c>
      <c r="L1916">
        <v>23.915679999999998</v>
      </c>
      <c r="M1916">
        <v>0.9065223</v>
      </c>
      <c r="N1916">
        <v>0</v>
      </c>
      <c r="O1916">
        <v>-0.42194219999999999</v>
      </c>
      <c r="P1916">
        <v>0.94738199999999995</v>
      </c>
      <c r="Q1916">
        <v>0.15617320000000001</v>
      </c>
      <c r="R1916">
        <v>-0.2794238</v>
      </c>
      <c r="S1916">
        <v>3.0712280000000001</v>
      </c>
      <c r="T1916">
        <v>-0.34476129999999999</v>
      </c>
      <c r="U1916">
        <v>-0.52972410000000003</v>
      </c>
      <c r="V1916">
        <v>-0.15163940000000001</v>
      </c>
      <c r="W1916">
        <v>0.16471820000000001</v>
      </c>
      <c r="X1916">
        <v>0.97461450000000005</v>
      </c>
      <c r="Y1916">
        <v>-0.25779750000000001</v>
      </c>
      <c r="Z1916">
        <v>5.9633239999999997E-2</v>
      </c>
      <c r="AA1916">
        <v>0.96435700000000002</v>
      </c>
      <c r="AB1916">
        <v>36</v>
      </c>
      <c r="AC1916">
        <v>9.6274999999999906</v>
      </c>
      <c r="AD1916">
        <v>-1.115743685185</v>
      </c>
      <c r="AE1916">
        <v>-1.57550999999999</v>
      </c>
      <c r="AF1916">
        <v>-2.6002409920776102</v>
      </c>
      <c r="AG1916">
        <v>-1.115743685185</v>
      </c>
      <c r="AH1916">
        <v>9.2718919147917092</v>
      </c>
      <c r="AI1916">
        <v>96.609163439598802</v>
      </c>
      <c r="AJ1916">
        <v>105.66580231289799</v>
      </c>
      <c r="AK1916">
        <v>9.6940248022939794</v>
      </c>
    </row>
    <row r="1917" spans="1:37" x14ac:dyDescent="0.2">
      <c r="A1917" t="str">
        <f>"20200111150628550"</f>
        <v>20200111150628550</v>
      </c>
      <c r="B1917" t="str">
        <f>"1578726388538806"</f>
        <v>1578726388538806</v>
      </c>
      <c r="C1917" t="s">
        <v>37</v>
      </c>
      <c r="D1917">
        <v>5.3362629999999998</v>
      </c>
      <c r="E1917">
        <v>0.45096389999999997</v>
      </c>
      <c r="F1917" t="s">
        <v>39</v>
      </c>
      <c r="G1917">
        <v>-395.46030000000002</v>
      </c>
      <c r="H1917" s="1">
        <v>-2.8370920000000001E-6</v>
      </c>
      <c r="I1917">
        <v>22.28725</v>
      </c>
      <c r="J1917">
        <v>-405.13060000000002</v>
      </c>
      <c r="K1917">
        <v>1.115761</v>
      </c>
      <c r="L1917">
        <v>23.78302</v>
      </c>
      <c r="M1917">
        <v>0.91176919999999995</v>
      </c>
      <c r="N1917">
        <v>0</v>
      </c>
      <c r="O1917">
        <v>-0.41048129999999999</v>
      </c>
      <c r="P1917">
        <v>0.95031559999999904</v>
      </c>
      <c r="Q1917">
        <v>0.1557135</v>
      </c>
      <c r="R1917">
        <v>-0.26954400000000001</v>
      </c>
      <c r="S1917">
        <v>3.0752869999999999</v>
      </c>
      <c r="T1917">
        <v>-0.34385749999999998</v>
      </c>
      <c r="U1917">
        <v>-0.50186160000000002</v>
      </c>
      <c r="V1917">
        <v>-0.14952009999999999</v>
      </c>
      <c r="W1917">
        <v>0.1643213</v>
      </c>
      <c r="X1917">
        <v>0.97500880000000001</v>
      </c>
      <c r="Y1917">
        <v>-0.25443899999999903</v>
      </c>
      <c r="Z1917">
        <v>5.812846E-2</v>
      </c>
      <c r="AA1917">
        <v>0.96534030000000004</v>
      </c>
      <c r="AB1917">
        <v>36</v>
      </c>
      <c r="AC1917">
        <v>9.6702999999999903</v>
      </c>
      <c r="AD1917">
        <v>-1.115763837092</v>
      </c>
      <c r="AE1917">
        <v>-1.49577</v>
      </c>
      <c r="AF1917">
        <v>-2.5724712604411901</v>
      </c>
      <c r="AG1917">
        <v>-1.115763837092</v>
      </c>
      <c r="AH1917">
        <v>9.3108696472300796</v>
      </c>
      <c r="AI1917">
        <v>96.588866212722095</v>
      </c>
      <c r="AJ1917">
        <v>105.444778235559</v>
      </c>
      <c r="AK1917">
        <v>9.7239308365325403</v>
      </c>
    </row>
    <row r="1918" spans="1:37" x14ac:dyDescent="0.2">
      <c r="A1918" t="str">
        <f>"20200111150628572"</f>
        <v>20200111150628572</v>
      </c>
      <c r="B1918" t="str">
        <f>"1578726388568086"</f>
        <v>1578726388568086</v>
      </c>
      <c r="C1918" t="s">
        <v>37</v>
      </c>
      <c r="D1918">
        <v>5.3187790000000001</v>
      </c>
      <c r="E1918">
        <v>0.45015500000000003</v>
      </c>
      <c r="F1918" t="s">
        <v>39</v>
      </c>
      <c r="G1918">
        <v>-395.17509999999999</v>
      </c>
      <c r="H1918" s="1">
        <v>-2.962661E-6</v>
      </c>
      <c r="I1918">
        <v>22.252469999999999</v>
      </c>
      <c r="J1918">
        <v>-404.80840000000001</v>
      </c>
      <c r="K1918">
        <v>1.115788</v>
      </c>
      <c r="L1918">
        <v>23.649290000000001</v>
      </c>
      <c r="M1918">
        <v>0.91707890000000003</v>
      </c>
      <c r="N1918">
        <v>0</v>
      </c>
      <c r="O1918">
        <v>-0.39847749999999998</v>
      </c>
      <c r="P1918">
        <v>0.95330059999999905</v>
      </c>
      <c r="Q1918">
        <v>0.1554132</v>
      </c>
      <c r="R1918">
        <v>-0.25896940000000002</v>
      </c>
      <c r="S1918">
        <v>3.0791629999999999</v>
      </c>
      <c r="T1918">
        <v>-0.34509820000000002</v>
      </c>
      <c r="U1918">
        <v>-0.4733887</v>
      </c>
      <c r="V1918">
        <v>-0.1475677</v>
      </c>
      <c r="W1918">
        <v>0.16407759999999999</v>
      </c>
      <c r="X1918">
        <v>0.97534730000000003</v>
      </c>
      <c r="Y1918">
        <v>-0.25071290000000002</v>
      </c>
      <c r="Z1918">
        <v>5.6901859999999999E-2</v>
      </c>
      <c r="AA1918">
        <v>0.96638769999999996</v>
      </c>
      <c r="AB1918">
        <v>36</v>
      </c>
      <c r="AC1918">
        <v>9.6333000000000197</v>
      </c>
      <c r="AD1918">
        <v>-1.1157909626610001</v>
      </c>
      <c r="AE1918">
        <v>-1.39681999999999</v>
      </c>
      <c r="AF1918">
        <v>-2.5247183288927602</v>
      </c>
      <c r="AG1918">
        <v>-1.1157909626610001</v>
      </c>
      <c r="AH1918">
        <v>9.2701468817200201</v>
      </c>
      <c r="AI1918">
        <v>96.624305752844705</v>
      </c>
      <c r="AJ1918">
        <v>105.234961617045</v>
      </c>
      <c r="AK1918">
        <v>9.6723738203848697</v>
      </c>
    </row>
    <row r="1919" spans="1:37" x14ac:dyDescent="0.2">
      <c r="A1919" t="str">
        <f>"20200111150628597"</f>
        <v>20200111150628597</v>
      </c>
      <c r="B1919" t="str">
        <f>"1578726388588583"</f>
        <v>1578726388588583</v>
      </c>
      <c r="C1919" t="s">
        <v>37</v>
      </c>
      <c r="D1919">
        <v>5.2297830000000003</v>
      </c>
      <c r="E1919">
        <v>0.44926969999999999</v>
      </c>
      <c r="F1919" t="s">
        <v>39</v>
      </c>
      <c r="G1919">
        <v>-394.7919</v>
      </c>
      <c r="H1919" s="1">
        <v>-3.14157199999999E-6</v>
      </c>
      <c r="I1919">
        <v>22.244150000000001</v>
      </c>
      <c r="J1919">
        <v>-404.44760000000002</v>
      </c>
      <c r="K1919">
        <v>1.11581</v>
      </c>
      <c r="L1919">
        <v>23.505890000000001</v>
      </c>
      <c r="M1919">
        <v>0.92281740000000001</v>
      </c>
      <c r="N1919">
        <v>0</v>
      </c>
      <c r="O1919">
        <v>-0.38500139999999999</v>
      </c>
      <c r="P1919">
        <v>0.95656059999999998</v>
      </c>
      <c r="Q1919">
        <v>0.15559609999999999</v>
      </c>
      <c r="R1919">
        <v>-0.24653919999999999</v>
      </c>
      <c r="S1919">
        <v>3.0854189999999999</v>
      </c>
      <c r="T1919">
        <v>-0.34370109999999998</v>
      </c>
      <c r="U1919">
        <v>-0.43283080000000002</v>
      </c>
      <c r="V1919">
        <v>-0.14597550000000001</v>
      </c>
      <c r="W1919">
        <v>0.16430429999999999</v>
      </c>
      <c r="X1919">
        <v>0.97554869999999905</v>
      </c>
      <c r="Y1919">
        <v>-0.2493871</v>
      </c>
      <c r="Z1919">
        <v>5.5197049999999998E-2</v>
      </c>
      <c r="AA1919">
        <v>0.96682950000000001</v>
      </c>
      <c r="AB1919">
        <v>36</v>
      </c>
      <c r="AC1919">
        <v>9.6557000000000208</v>
      </c>
      <c r="AD1919">
        <v>-1.1158131415719901</v>
      </c>
      <c r="AE1919">
        <v>-1.2617399999999901</v>
      </c>
      <c r="AF1919">
        <v>-2.5202440993142701</v>
      </c>
      <c r="AG1919">
        <v>-1.1158131415719901</v>
      </c>
      <c r="AH1919">
        <v>9.2752907871889292</v>
      </c>
      <c r="AI1919">
        <v>96.621847973418497</v>
      </c>
      <c r="AJ1919">
        <v>105.201169885228</v>
      </c>
      <c r="AK1919">
        <v>9.6761401640295102</v>
      </c>
    </row>
    <row r="1920" spans="1:37" x14ac:dyDescent="0.2">
      <c r="A1920" t="str">
        <f>"20200111150628620"</f>
        <v>20200111150628620</v>
      </c>
      <c r="B1920" t="str">
        <f>"1578726388609078"</f>
        <v>1578726388609078</v>
      </c>
      <c r="C1920" t="s">
        <v>37</v>
      </c>
      <c r="D1920">
        <v>5.2429999999999897</v>
      </c>
      <c r="E1920">
        <v>0.44853880000000002</v>
      </c>
      <c r="F1920" t="s">
        <v>39</v>
      </c>
      <c r="G1920">
        <v>-394.33730000000003</v>
      </c>
      <c r="H1920" s="1">
        <v>-3.3565589999999899E-6</v>
      </c>
      <c r="I1920">
        <v>22.244509999999998</v>
      </c>
      <c r="J1920">
        <v>-404.11099999999999</v>
      </c>
      <c r="K1920">
        <v>1.115826</v>
      </c>
      <c r="L1920">
        <v>23.377379999999999</v>
      </c>
      <c r="M1920">
        <v>0.92797609999999997</v>
      </c>
      <c r="N1920">
        <v>0</v>
      </c>
      <c r="O1920">
        <v>-0.37239539999999999</v>
      </c>
      <c r="P1920">
        <v>0.95971819999999897</v>
      </c>
      <c r="Q1920">
        <v>0.15565390000000001</v>
      </c>
      <c r="R1920">
        <v>-0.2339077</v>
      </c>
      <c r="S1920">
        <v>3.0923159999999998</v>
      </c>
      <c r="T1920">
        <v>-0.3412808</v>
      </c>
      <c r="U1920">
        <v>-0.38580320000000001</v>
      </c>
      <c r="V1920">
        <v>-0.1455524</v>
      </c>
      <c r="W1920">
        <v>0.1643693</v>
      </c>
      <c r="X1920">
        <v>0.97560100000000005</v>
      </c>
      <c r="Y1920">
        <v>-0.25106620000000002</v>
      </c>
      <c r="Z1920">
        <v>5.3585130000000002E-2</v>
      </c>
      <c r="AA1920">
        <v>0.96648559999999994</v>
      </c>
      <c r="AB1920">
        <v>36</v>
      </c>
      <c r="AC1920">
        <v>9.7736999999999608</v>
      </c>
      <c r="AD1920">
        <v>-1.1158293565590001</v>
      </c>
      <c r="AE1920">
        <v>-1.1328699999999901</v>
      </c>
      <c r="AF1920">
        <v>-2.55576996764067</v>
      </c>
      <c r="AG1920">
        <v>-1.1158293565590001</v>
      </c>
      <c r="AH1920">
        <v>9.3719648118814796</v>
      </c>
      <c r="AI1920">
        <v>96.552607464615704</v>
      </c>
      <c r="AJ1920">
        <v>105.253864354233</v>
      </c>
      <c r="AK1920">
        <v>9.7780754607232208</v>
      </c>
    </row>
    <row r="1921" spans="1:37" x14ac:dyDescent="0.2">
      <c r="A1921" t="str">
        <f>"20200111150628642"</f>
        <v>20200111150628642</v>
      </c>
      <c r="B1921" t="str">
        <f>"1578726388638359"</f>
        <v>1578726388638359</v>
      </c>
      <c r="C1921" t="s">
        <v>37</v>
      </c>
      <c r="D1921">
        <v>5.216062</v>
      </c>
      <c r="E1921">
        <v>0.43707579999999902</v>
      </c>
      <c r="F1921" t="s">
        <v>39</v>
      </c>
      <c r="G1921">
        <v>-393.84620000000001</v>
      </c>
      <c r="H1921" s="1">
        <v>-3.591382E-6</v>
      </c>
      <c r="I1921">
        <v>22.254460000000002</v>
      </c>
      <c r="J1921">
        <v>-403.78620000000001</v>
      </c>
      <c r="K1921">
        <v>1.1158360000000001</v>
      </c>
      <c r="L1921">
        <v>23.258299999999998</v>
      </c>
      <c r="M1921">
        <v>0.93277469999999996</v>
      </c>
      <c r="N1921">
        <v>0</v>
      </c>
      <c r="O1921">
        <v>-0.36020749999999901</v>
      </c>
      <c r="P1921">
        <v>0.96297269999999902</v>
      </c>
      <c r="Q1921">
        <v>0.15493950000000001</v>
      </c>
      <c r="R1921">
        <v>-0.22063099999999999</v>
      </c>
      <c r="S1921">
        <v>3.097931</v>
      </c>
      <c r="T1921">
        <v>-0.33675870000000002</v>
      </c>
      <c r="U1921">
        <v>-0.33889770000000002</v>
      </c>
      <c r="V1921">
        <v>-0.14627270000000001</v>
      </c>
      <c r="W1921">
        <v>0.16362650000000001</v>
      </c>
      <c r="X1921">
        <v>0.97561810000000004</v>
      </c>
      <c r="Y1921">
        <v>-0.25319550000000002</v>
      </c>
      <c r="Z1921">
        <v>5.1743959999999999E-2</v>
      </c>
      <c r="AA1921">
        <v>0.96603039999999996</v>
      </c>
      <c r="AB1921">
        <v>36</v>
      </c>
      <c r="AC1921">
        <v>9.9399999999999906</v>
      </c>
      <c r="AD1921">
        <v>-1.1158395913820001</v>
      </c>
      <c r="AE1921">
        <v>-1.0038399999999901</v>
      </c>
      <c r="AF1921">
        <v>-2.6117660032683299</v>
      </c>
      <c r="AG1921">
        <v>-1.1158395913820001</v>
      </c>
      <c r="AH1921">
        <v>9.51554570119721</v>
      </c>
      <c r="AI1921">
        <v>96.451751447576001</v>
      </c>
      <c r="AJ1921">
        <v>105.348207046409</v>
      </c>
      <c r="AK1921">
        <v>9.9303589885308998</v>
      </c>
    </row>
    <row r="1922" spans="1:37" x14ac:dyDescent="0.2">
      <c r="A1922" t="str">
        <f>"20200111150628662"</f>
        <v>20200111150628662</v>
      </c>
      <c r="B1922" t="str">
        <f>"1578726388658854"</f>
        <v>1578726388658854</v>
      </c>
      <c r="C1922" t="s">
        <v>37</v>
      </c>
      <c r="D1922">
        <v>5.3382250000000004</v>
      </c>
      <c r="E1922">
        <v>0.43759569999999998</v>
      </c>
      <c r="F1922" t="s">
        <v>88</v>
      </c>
      <c r="G1922">
        <v>-377.35210000000001</v>
      </c>
      <c r="H1922" s="1">
        <v>-1.751406E-6</v>
      </c>
      <c r="I1922">
        <v>21.56795</v>
      </c>
      <c r="J1922">
        <v>-403.4769</v>
      </c>
      <c r="K1922">
        <v>1.115842</v>
      </c>
      <c r="L1922">
        <v>23.149349999999998</v>
      </c>
      <c r="M1922">
        <v>0.93718099999999904</v>
      </c>
      <c r="N1922">
        <v>0</v>
      </c>
      <c r="O1922">
        <v>-0.34858220000000001</v>
      </c>
      <c r="P1922">
        <v>0.96585540000000003</v>
      </c>
      <c r="Q1922">
        <v>0.15419229999999901</v>
      </c>
      <c r="R1922">
        <v>-0.20820279999999899</v>
      </c>
      <c r="S1922">
        <v>3.0910639999999998</v>
      </c>
      <c r="T1922">
        <v>-0.1304806</v>
      </c>
      <c r="U1922">
        <v>-0.19766239999999999</v>
      </c>
      <c r="V1922">
        <v>-0.1467386</v>
      </c>
      <c r="W1922">
        <v>0.16286020000000001</v>
      </c>
      <c r="X1922">
        <v>0.9756764</v>
      </c>
      <c r="Y1922">
        <v>-0.28753970000000001</v>
      </c>
      <c r="Z1922">
        <v>2.047556E-2</v>
      </c>
      <c r="AA1922">
        <v>0.95754980000000001</v>
      </c>
      <c r="AB1922">
        <v>36</v>
      </c>
      <c r="AC1922">
        <v>26.1248</v>
      </c>
      <c r="AD1922">
        <v>-1.115843751406</v>
      </c>
      <c r="AE1922">
        <v>-1.5813999999999899</v>
      </c>
      <c r="AF1922">
        <v>-7.61144200199666</v>
      </c>
      <c r="AG1922">
        <v>-1.115843751406</v>
      </c>
      <c r="AH1922">
        <v>24.991768849338801</v>
      </c>
      <c r="AI1922">
        <v>92.445702518662102</v>
      </c>
      <c r="AJ1922">
        <v>106.938531247116</v>
      </c>
      <c r="AK1922">
        <v>26.1489515439164</v>
      </c>
    </row>
    <row r="1923" spans="1:37" x14ac:dyDescent="0.2">
      <c r="A1923" t="str">
        <f>"20200111150628685"</f>
        <v>20200111150628685</v>
      </c>
      <c r="B1923" t="str">
        <f>"1578726388678374"</f>
        <v>1578726388678374</v>
      </c>
      <c r="C1923" t="s">
        <v>37</v>
      </c>
      <c r="D1923">
        <v>5.2126089999999996</v>
      </c>
      <c r="E1923">
        <v>0.44016109999999897</v>
      </c>
      <c r="F1923" t="s">
        <v>89</v>
      </c>
      <c r="G1923">
        <v>-381.541</v>
      </c>
      <c r="H1923" s="1">
        <v>-4.5584019999999999E-6</v>
      </c>
      <c r="I1923">
        <v>21.999110000000002</v>
      </c>
      <c r="J1923">
        <v>-403.15089999999998</v>
      </c>
      <c r="K1923">
        <v>1.11585499999999</v>
      </c>
      <c r="L1923">
        <v>23.039179999999899</v>
      </c>
      <c r="M1923">
        <v>0.94165330000000003</v>
      </c>
      <c r="N1923">
        <v>0</v>
      </c>
      <c r="O1923">
        <v>-0.336314</v>
      </c>
      <c r="P1923">
        <v>0.96860249999999903</v>
      </c>
      <c r="Q1923">
        <v>0.15287319999999999</v>
      </c>
      <c r="R1923">
        <v>-0.1960595</v>
      </c>
      <c r="S1923">
        <v>3.0961910000000001</v>
      </c>
      <c r="T1923">
        <v>-0.157499</v>
      </c>
      <c r="U1923">
        <v>-0.16235350000000001</v>
      </c>
      <c r="V1923">
        <v>-0.14627960000000001</v>
      </c>
      <c r="W1923">
        <v>0.1615549</v>
      </c>
      <c r="X1923">
        <v>0.975962199999999</v>
      </c>
      <c r="Y1923">
        <v>-0.28578369999999997</v>
      </c>
      <c r="Z1923">
        <v>2.4051739999999999E-2</v>
      </c>
      <c r="AA1923">
        <v>0.95799230000000002</v>
      </c>
      <c r="AB1923">
        <v>36</v>
      </c>
      <c r="AC1923">
        <v>21.6098999999999</v>
      </c>
      <c r="AD1923">
        <v>-1.1158595584019999</v>
      </c>
      <c r="AE1923">
        <v>-1.0400699999999901</v>
      </c>
      <c r="AF1923">
        <v>-6.2722136099960597</v>
      </c>
      <c r="AG1923">
        <v>-1.1158595584019999</v>
      </c>
      <c r="AH1923">
        <v>20.645785929972899</v>
      </c>
      <c r="AI1923">
        <v>92.960356726887298</v>
      </c>
      <c r="AJ1923">
        <v>106.898842071743</v>
      </c>
      <c r="AK1923">
        <v>21.606348205788201</v>
      </c>
    </row>
    <row r="1924" spans="1:37" x14ac:dyDescent="0.2">
      <c r="A1924" t="str">
        <f>"20200111150628707"</f>
        <v>20200111150628707</v>
      </c>
      <c r="B1924" t="str">
        <f>"1578726388698870"</f>
        <v>1578726388698870</v>
      </c>
      <c r="C1924" t="s">
        <v>37</v>
      </c>
      <c r="D1924">
        <v>5.2114940000000001</v>
      </c>
      <c r="E1924">
        <v>0.44195699999999999</v>
      </c>
      <c r="F1924" t="s">
        <v>39</v>
      </c>
      <c r="G1924">
        <v>-391.54680000000002</v>
      </c>
      <c r="H1924" s="1">
        <v>-4.6264450000000001E-6</v>
      </c>
      <c r="I1924">
        <v>22.486699999999999</v>
      </c>
      <c r="J1924">
        <v>-402.79649999999998</v>
      </c>
      <c r="K1924">
        <v>1.115874</v>
      </c>
      <c r="L1924">
        <v>22.924620000000001</v>
      </c>
      <c r="M1924">
        <v>0.9463184</v>
      </c>
      <c r="N1924">
        <v>0</v>
      </c>
      <c r="O1924">
        <v>-0.32295449999999998</v>
      </c>
      <c r="P1924">
        <v>0.97104469999999998</v>
      </c>
      <c r="Q1924">
        <v>0.15308089999999999</v>
      </c>
      <c r="R1924">
        <v>-0.1834075</v>
      </c>
      <c r="S1924">
        <v>3.1145019999999999</v>
      </c>
      <c r="T1924">
        <v>-0.29949399999999998</v>
      </c>
      <c r="U1924">
        <v>-0.1482849</v>
      </c>
      <c r="V1924">
        <v>-0.1451973</v>
      </c>
      <c r="W1924">
        <v>0.16179449999999901</v>
      </c>
      <c r="X1924">
        <v>0.97608419999999896</v>
      </c>
      <c r="Y1924">
        <v>-0.27490989999999998</v>
      </c>
      <c r="Z1924">
        <v>4.3663189999999998E-2</v>
      </c>
      <c r="AA1924">
        <v>0.960478099999999</v>
      </c>
      <c r="AB1924">
        <v>36</v>
      </c>
      <c r="AC1924">
        <v>11.249699999999899</v>
      </c>
      <c r="AD1924">
        <v>-1.115878626445</v>
      </c>
      <c r="AE1924">
        <v>-0.43792000000000098</v>
      </c>
      <c r="AF1924">
        <v>-3.18770577095116</v>
      </c>
      <c r="AG1924">
        <v>-1.115878626445</v>
      </c>
      <c r="AH1924">
        <v>10.683253692132601</v>
      </c>
      <c r="AI1924">
        <v>95.715728400751303</v>
      </c>
      <c r="AJ1924">
        <v>106.61423103625999</v>
      </c>
      <c r="AK1924">
        <v>11.2043992539349</v>
      </c>
    </row>
    <row r="1925" spans="1:37" x14ac:dyDescent="0.2">
      <c r="A1925" t="str">
        <f>"20200111150628729"</f>
        <v>20200111150628729</v>
      </c>
      <c r="B1925" t="str">
        <f>"1578726388718390"</f>
        <v>1578726388718390</v>
      </c>
      <c r="C1925" t="s">
        <v>37</v>
      </c>
      <c r="D1925">
        <v>5.1522350000000001</v>
      </c>
      <c r="E1925">
        <v>0.44262219999999902</v>
      </c>
      <c r="F1925" t="s">
        <v>39</v>
      </c>
      <c r="G1925">
        <v>-390.9239</v>
      </c>
      <c r="H1925" s="1">
        <v>-4.8610999999999999E-6</v>
      </c>
      <c r="I1925">
        <v>22.460989999999999</v>
      </c>
      <c r="J1925">
        <v>-402.47269999999997</v>
      </c>
      <c r="K1925">
        <v>1.115885</v>
      </c>
      <c r="L1925">
        <v>22.8248</v>
      </c>
      <c r="M1925">
        <v>0.95040029999999998</v>
      </c>
      <c r="N1925">
        <v>0</v>
      </c>
      <c r="O1925">
        <v>-0.31073649999999903</v>
      </c>
      <c r="P1925">
        <v>0.97280009999999995</v>
      </c>
      <c r="Q1925">
        <v>0.1543611</v>
      </c>
      <c r="R1925">
        <v>-0.17272129999999999</v>
      </c>
      <c r="S1925">
        <v>3.11267099999999</v>
      </c>
      <c r="T1925">
        <v>-0.2925529</v>
      </c>
      <c r="U1925">
        <v>-0.12155150000000001</v>
      </c>
      <c r="V1925">
        <v>-0.14332890000000001</v>
      </c>
      <c r="W1925">
        <v>0.1631321</v>
      </c>
      <c r="X1925">
        <v>0.97613760000000005</v>
      </c>
      <c r="Y1925">
        <v>-0.2709223</v>
      </c>
      <c r="Z1925">
        <v>4.1417259999999997E-2</v>
      </c>
      <c r="AA1925">
        <v>0.96170979999999995</v>
      </c>
      <c r="AB1925">
        <v>36</v>
      </c>
      <c r="AC1925">
        <v>11.5487999999999</v>
      </c>
      <c r="AD1925">
        <v>-1.1158898611000001</v>
      </c>
      <c r="AE1925">
        <v>-0.36381000000000002</v>
      </c>
      <c r="AF1925">
        <v>-3.2131946531589599</v>
      </c>
      <c r="AG1925">
        <v>-1.1158898611000001</v>
      </c>
      <c r="AH1925">
        <v>10.9875617194668</v>
      </c>
      <c r="AI1925">
        <v>95.567416241248694</v>
      </c>
      <c r="AJ1925">
        <v>106.30099321493</v>
      </c>
      <c r="AK1925">
        <v>11.5020147191824</v>
      </c>
    </row>
    <row r="1926" spans="1:37" x14ac:dyDescent="0.2">
      <c r="A1926" t="str">
        <f>"20200111150628754"</f>
        <v>20200111150628754</v>
      </c>
      <c r="B1926" t="str">
        <f>"1578726388748646"</f>
        <v>1578726388748646</v>
      </c>
      <c r="C1926" t="s">
        <v>37</v>
      </c>
      <c r="D1926">
        <v>5.2628599999999999</v>
      </c>
      <c r="E1926">
        <v>0.4447528</v>
      </c>
      <c r="F1926" t="s">
        <v>39</v>
      </c>
      <c r="G1926">
        <v>-390.37569999999999</v>
      </c>
      <c r="H1926" s="1">
        <v>-5.0720750000000001E-6</v>
      </c>
      <c r="I1926">
        <v>22.463570000000001</v>
      </c>
      <c r="J1926">
        <v>-402.11349999999999</v>
      </c>
      <c r="K1926">
        <v>1.115901</v>
      </c>
      <c r="L1926">
        <v>22.719270000000002</v>
      </c>
      <c r="M1926">
        <v>0.95472780000000002</v>
      </c>
      <c r="N1926">
        <v>0</v>
      </c>
      <c r="O1926">
        <v>-0.29717459999999901</v>
      </c>
      <c r="P1926">
        <v>0.97448809999999997</v>
      </c>
      <c r="Q1926">
        <v>0.15491279999999999</v>
      </c>
      <c r="R1926">
        <v>-0.16240399999999999</v>
      </c>
      <c r="S1926">
        <v>3.112946</v>
      </c>
      <c r="T1926">
        <v>-0.28715400000000002</v>
      </c>
      <c r="U1926">
        <v>-9.2956540000000004E-2</v>
      </c>
      <c r="V1926">
        <v>-0.13976089999999999</v>
      </c>
      <c r="W1926">
        <v>0.16379869999999999</v>
      </c>
      <c r="X1926">
        <v>0.97654339999999995</v>
      </c>
      <c r="Y1926">
        <v>-0.26621450000000002</v>
      </c>
      <c r="Z1926">
        <v>3.92541E-2</v>
      </c>
      <c r="AA1926">
        <v>0.96311420000000003</v>
      </c>
      <c r="AB1926">
        <v>36</v>
      </c>
      <c r="AC1926">
        <v>11.737799999999901</v>
      </c>
      <c r="AD1926">
        <v>-1.115906072075</v>
      </c>
      <c r="AE1926">
        <v>-0.25569999999999998</v>
      </c>
      <c r="AF1926">
        <v>-3.2153007664607101</v>
      </c>
      <c r="AG1926">
        <v>-1.115906072075</v>
      </c>
      <c r="AH1926">
        <v>11.182398041501999</v>
      </c>
      <c r="AI1926">
        <v>95.478227388518604</v>
      </c>
      <c r="AJ1926">
        <v>106.04165330886801</v>
      </c>
      <c r="AK1926">
        <v>11.688859283056001</v>
      </c>
    </row>
    <row r="1927" spans="1:37" x14ac:dyDescent="0.2">
      <c r="A1927" t="str">
        <f>"20200111150628774"</f>
        <v>20200111150628774</v>
      </c>
      <c r="B1927" t="str">
        <f>"1578726388768167"</f>
        <v>1578726388768167</v>
      </c>
      <c r="C1927" t="s">
        <v>37</v>
      </c>
      <c r="D1927">
        <v>5.2382089999999897</v>
      </c>
      <c r="E1927">
        <v>0.44612259999999998</v>
      </c>
      <c r="F1927" t="s">
        <v>89</v>
      </c>
      <c r="G1927">
        <v>-389.84829999999999</v>
      </c>
      <c r="H1927" s="1">
        <v>-8.1717699999999999E-7</v>
      </c>
      <c r="I1927">
        <v>22.416399999999999</v>
      </c>
      <c r="J1927">
        <v>-401.80290000000002</v>
      </c>
      <c r="K1927">
        <v>1.1159049999999999</v>
      </c>
      <c r="L1927">
        <v>22.632660000000001</v>
      </c>
      <c r="M1927">
        <v>0.95830079999999995</v>
      </c>
      <c r="N1927">
        <v>0</v>
      </c>
      <c r="O1927">
        <v>-0.28544309999999901</v>
      </c>
      <c r="P1927">
        <v>0.97549569999999997</v>
      </c>
      <c r="Q1927">
        <v>0.15619839999999999</v>
      </c>
      <c r="R1927">
        <v>-0.15495210000000001</v>
      </c>
      <c r="S1927">
        <v>3.110687</v>
      </c>
      <c r="T1927">
        <v>-0.2830143</v>
      </c>
      <c r="U1927">
        <v>-7.6812740000000004E-2</v>
      </c>
      <c r="V1927">
        <v>-0.13522010000000001</v>
      </c>
      <c r="W1927">
        <v>0.1652313</v>
      </c>
      <c r="X1927">
        <v>0.97694119999999995</v>
      </c>
      <c r="Y1927">
        <v>-0.25950319999999999</v>
      </c>
      <c r="Z1927">
        <v>3.7395129999999999E-2</v>
      </c>
      <c r="AA1927">
        <v>0.96501800000000004</v>
      </c>
      <c r="AB1927">
        <v>36</v>
      </c>
      <c r="AC1927">
        <v>11.954599999999999</v>
      </c>
      <c r="AD1927">
        <v>-1.115905817177</v>
      </c>
      <c r="AE1927">
        <v>-0.21626000000000101</v>
      </c>
      <c r="AF1927">
        <v>-3.1777277735098099</v>
      </c>
      <c r="AG1927">
        <v>-1.115905817177</v>
      </c>
      <c r="AH1927">
        <v>11.4194111247582</v>
      </c>
      <c r="AI1927">
        <v>95.3781446502487</v>
      </c>
      <c r="AJ1927">
        <v>105.550514352237</v>
      </c>
      <c r="AK1927">
        <v>11.905719215217401</v>
      </c>
    </row>
    <row r="1928" spans="1:37" x14ac:dyDescent="0.2">
      <c r="A1928" t="str">
        <f>"20200111150628796"</f>
        <v>20200111150628796</v>
      </c>
      <c r="B1928" t="str">
        <f>"1578726388788662"</f>
        <v>1578726388788662</v>
      </c>
      <c r="C1928" t="s">
        <v>37</v>
      </c>
      <c r="D1928">
        <v>5.2966889999999998</v>
      </c>
      <c r="E1928">
        <v>0.44670070000000001</v>
      </c>
      <c r="F1928" t="s">
        <v>89</v>
      </c>
      <c r="G1928">
        <v>-389.46550000000002</v>
      </c>
      <c r="H1928" s="1">
        <v>-9.8678630000000009E-7</v>
      </c>
      <c r="I1928">
        <v>22.373699999999999</v>
      </c>
      <c r="J1928">
        <v>-401.4615</v>
      </c>
      <c r="K1928">
        <v>1.11591</v>
      </c>
      <c r="L1928">
        <v>22.542359999999999</v>
      </c>
      <c r="M1928">
        <v>0.96204599999999996</v>
      </c>
      <c r="N1928">
        <v>0</v>
      </c>
      <c r="O1928">
        <v>-0.27255409999999902</v>
      </c>
      <c r="P1928">
        <v>0.97671169999999996</v>
      </c>
      <c r="Q1928">
        <v>0.15861810000000001</v>
      </c>
      <c r="R1928">
        <v>-0.14448150000000001</v>
      </c>
      <c r="S1928">
        <v>3.1100159999999999</v>
      </c>
      <c r="T1928">
        <v>-0.2812984</v>
      </c>
      <c r="U1928">
        <v>-6.5277099999999894E-2</v>
      </c>
      <c r="V1928">
        <v>-0.13254749999999901</v>
      </c>
      <c r="W1928">
        <v>0.1677341</v>
      </c>
      <c r="X1928">
        <v>0.976881</v>
      </c>
      <c r="Y1928">
        <v>-0.2502201</v>
      </c>
      <c r="Z1928">
        <v>3.5638059999999999E-2</v>
      </c>
      <c r="AA1928">
        <v>0.96753289999999903</v>
      </c>
      <c r="AB1928">
        <v>36</v>
      </c>
      <c r="AC1928">
        <v>11.995999999999899</v>
      </c>
      <c r="AD1928">
        <v>-1.1159109867863</v>
      </c>
      <c r="AE1928">
        <v>-0.168660000000002</v>
      </c>
      <c r="AF1928">
        <v>-3.08092753640637</v>
      </c>
      <c r="AG1928">
        <v>-1.1159109867863</v>
      </c>
      <c r="AH1928">
        <v>11.488332555241399</v>
      </c>
      <c r="AI1928">
        <v>95.359751245110999</v>
      </c>
      <c r="AJ1928">
        <v>105.012274970828</v>
      </c>
      <c r="AK1928">
        <v>11.9465123243078</v>
      </c>
    </row>
    <row r="1929" spans="1:37" x14ac:dyDescent="0.2">
      <c r="A1929" t="str">
        <f>"20200111150628818"</f>
        <v>20200111150628818</v>
      </c>
      <c r="B1929" t="str">
        <f>"1578726388808182"</f>
        <v>1578726388808182</v>
      </c>
      <c r="C1929" t="s">
        <v>37</v>
      </c>
      <c r="D1929">
        <v>5.2778409999999996</v>
      </c>
      <c r="E1929">
        <v>0.44714159999999997</v>
      </c>
      <c r="F1929" t="s">
        <v>89</v>
      </c>
      <c r="G1929">
        <v>-388.74099999999999</v>
      </c>
      <c r="H1929" s="1">
        <v>-1.333008E-6</v>
      </c>
      <c r="I1929">
        <v>22.387840000000001</v>
      </c>
      <c r="J1929">
        <v>-401.1105</v>
      </c>
      <c r="K1929">
        <v>1.1159049999999999</v>
      </c>
      <c r="L1929">
        <v>22.454499999999999</v>
      </c>
      <c r="M1929">
        <v>0.96569839999999996</v>
      </c>
      <c r="N1929">
        <v>0</v>
      </c>
      <c r="O1929">
        <v>-0.25931569999999998</v>
      </c>
      <c r="P1929">
        <v>0.9781069</v>
      </c>
      <c r="Q1929">
        <v>0.16025780000000001</v>
      </c>
      <c r="R1929">
        <v>-0.1327564</v>
      </c>
      <c r="S1929">
        <v>3.1102910000000001</v>
      </c>
      <c r="T1929">
        <v>-0.27285120000000002</v>
      </c>
      <c r="U1929">
        <v>-3.7780759999999997E-2</v>
      </c>
      <c r="V1929">
        <v>-0.13082260000000001</v>
      </c>
      <c r="W1929">
        <v>0.1694271</v>
      </c>
      <c r="X1929">
        <v>0.9768213</v>
      </c>
      <c r="Y1929">
        <v>-0.24566939999999901</v>
      </c>
      <c r="Z1929">
        <v>3.3253980000000002E-2</v>
      </c>
      <c r="AA1929">
        <v>0.96878310000000001</v>
      </c>
      <c r="AB1929">
        <v>36</v>
      </c>
      <c r="AC1929">
        <v>12.3695</v>
      </c>
      <c r="AD1929">
        <v>-1.1159063330079999</v>
      </c>
      <c r="AE1929">
        <v>-6.6659999999998804E-2</v>
      </c>
      <c r="AF1929">
        <v>-3.1181414624030599</v>
      </c>
      <c r="AG1929">
        <v>-1.1159063330079999</v>
      </c>
      <c r="AH1929">
        <v>11.8670025733341</v>
      </c>
      <c r="AI1929">
        <v>95.196595823903493</v>
      </c>
      <c r="AJ1929">
        <v>104.722094467415</v>
      </c>
      <c r="AK1929">
        <v>12.3204627834803</v>
      </c>
    </row>
    <row r="1930" spans="1:37" x14ac:dyDescent="0.2">
      <c r="A1930" t="str">
        <f>"20200111150628841"</f>
        <v>20200111150628841</v>
      </c>
      <c r="B1930" t="str">
        <f>"1578726388838438"</f>
        <v>1578726388838438</v>
      </c>
      <c r="C1930" t="s">
        <v>37</v>
      </c>
      <c r="D1930">
        <v>5.283728</v>
      </c>
      <c r="E1930">
        <v>0.45862579999999997</v>
      </c>
      <c r="F1930" t="s">
        <v>89</v>
      </c>
      <c r="G1930">
        <v>-388.0831</v>
      </c>
      <c r="H1930" s="1">
        <v>-1.658664E-6</v>
      </c>
      <c r="I1930">
        <v>22.442869999999999</v>
      </c>
      <c r="J1930">
        <v>-400.76679999999999</v>
      </c>
      <c r="K1930">
        <v>1.1158779999999999</v>
      </c>
      <c r="L1930">
        <v>22.37332</v>
      </c>
      <c r="M1930">
        <v>0.96907790000000005</v>
      </c>
      <c r="N1930">
        <v>0</v>
      </c>
      <c r="O1930">
        <v>-0.2463873</v>
      </c>
      <c r="P1930">
        <v>0.9798386</v>
      </c>
      <c r="Q1930">
        <v>0.15914819999999999</v>
      </c>
      <c r="R1930">
        <v>-0.1207838</v>
      </c>
      <c r="S1930">
        <v>3.1104430000000001</v>
      </c>
      <c r="T1930">
        <v>-0.26643539999999999</v>
      </c>
      <c r="U1930">
        <v>-2.7770999999999998E-3</v>
      </c>
      <c r="V1930">
        <v>-0.12971530000000001</v>
      </c>
      <c r="W1930">
        <v>0.1683579</v>
      </c>
      <c r="X1930">
        <v>0.97715379999999996</v>
      </c>
      <c r="Y1930">
        <v>-0.24376349999999999</v>
      </c>
      <c r="Z1930">
        <v>3.1323749999999997E-2</v>
      </c>
      <c r="AA1930">
        <v>0.96932879999999999</v>
      </c>
      <c r="AB1930">
        <v>36</v>
      </c>
      <c r="AC1930">
        <v>12.6836999999999</v>
      </c>
      <c r="AD1930">
        <v>-1.1158796586640001</v>
      </c>
      <c r="AE1930">
        <v>6.9550000000003095E-2</v>
      </c>
      <c r="AF1930">
        <v>-3.1682696662448402</v>
      </c>
      <c r="AG1930">
        <v>-1.1158796586640001</v>
      </c>
      <c r="AH1930">
        <v>12.1811901054341</v>
      </c>
      <c r="AI1930">
        <v>95.066428393822903</v>
      </c>
      <c r="AJ1930">
        <v>104.57932785460901</v>
      </c>
      <c r="AK1930">
        <v>12.6358423730036</v>
      </c>
    </row>
    <row r="1931" spans="1:37" x14ac:dyDescent="0.2">
      <c r="A1931" t="str">
        <f>"20200111150628864"</f>
        <v>20200111150628864</v>
      </c>
      <c r="B1931" t="str">
        <f>"1578726388858934"</f>
        <v>1578726388858934</v>
      </c>
      <c r="C1931" t="s">
        <v>37</v>
      </c>
      <c r="D1931">
        <v>5.5565499999999997</v>
      </c>
      <c r="E1931">
        <v>0.45930399999999999</v>
      </c>
      <c r="F1931" t="s">
        <v>89</v>
      </c>
      <c r="G1931">
        <v>-388.34890000000001</v>
      </c>
      <c r="H1931" s="1">
        <v>-1.4566679999999999E-6</v>
      </c>
      <c r="I1931">
        <v>22.155989999999999</v>
      </c>
      <c r="J1931">
        <v>-400.41590000000002</v>
      </c>
      <c r="K1931">
        <v>1.1158239999999999</v>
      </c>
      <c r="L1931">
        <v>22.29532</v>
      </c>
      <c r="M1931">
        <v>0.97232199999999902</v>
      </c>
      <c r="N1931">
        <v>0</v>
      </c>
      <c r="O1931">
        <v>-0.2332563</v>
      </c>
      <c r="P1931">
        <v>0.98171629999999999</v>
      </c>
      <c r="Q1931">
        <v>0.15644859999999999</v>
      </c>
      <c r="R1931">
        <v>-0.10843019999999901</v>
      </c>
      <c r="S1931">
        <v>3.1002809999999998</v>
      </c>
      <c r="T1931">
        <v>-0.27859329999999999</v>
      </c>
      <c r="U1931">
        <v>-5.4260250000000003E-2</v>
      </c>
      <c r="V1931">
        <v>-0.12880539999999999</v>
      </c>
      <c r="W1931">
        <v>0.16569690000000001</v>
      </c>
      <c r="X1931">
        <v>0.97772879999999995</v>
      </c>
      <c r="Y1931">
        <v>-0.21443699999999999</v>
      </c>
      <c r="Z1931">
        <v>3.037612E-2</v>
      </c>
      <c r="AA1931">
        <v>0.97626539999999995</v>
      </c>
      <c r="AB1931">
        <v>36</v>
      </c>
      <c r="AC1931">
        <v>12.067</v>
      </c>
      <c r="AD1931">
        <v>-1.1158254566679999</v>
      </c>
      <c r="AE1931">
        <v>-0.13933000000000101</v>
      </c>
      <c r="AF1931">
        <v>-2.6567595038399898</v>
      </c>
      <c r="AG1931">
        <v>-1.1158254566679999</v>
      </c>
      <c r="AH1931">
        <v>11.666832109023</v>
      </c>
      <c r="AI1931">
        <v>95.327624754298697</v>
      </c>
      <c r="AJ1931">
        <v>102.828578151548</v>
      </c>
      <c r="AK1931">
        <v>12.017421061572399</v>
      </c>
    </row>
    <row r="1932" spans="1:37" x14ac:dyDescent="0.2">
      <c r="A1932" t="str">
        <f>"20200111150628886"</f>
        <v>20200111150628886</v>
      </c>
      <c r="B1932" t="str">
        <f>"1578726388878453"</f>
        <v>1578726388878453</v>
      </c>
      <c r="C1932" t="s">
        <v>37</v>
      </c>
      <c r="D1932">
        <v>5.0950959999999998</v>
      </c>
      <c r="E1932">
        <v>0.4598719</v>
      </c>
      <c r="F1932" t="s">
        <v>89</v>
      </c>
      <c r="G1932">
        <v>-388.38780000000003</v>
      </c>
      <c r="H1932" s="1">
        <v>-1.4541960000000001E-6</v>
      </c>
      <c r="I1932">
        <v>22.21585</v>
      </c>
      <c r="J1932">
        <v>-400.07749999999999</v>
      </c>
      <c r="K1932">
        <v>1.11575</v>
      </c>
      <c r="L1932">
        <v>22.224640000000001</v>
      </c>
      <c r="M1932">
        <v>0.97524929999999999</v>
      </c>
      <c r="N1932">
        <v>0</v>
      </c>
      <c r="O1932">
        <v>-0.220698799999999</v>
      </c>
      <c r="P1932">
        <v>0.98328069999999901</v>
      </c>
      <c r="Q1932">
        <v>0.15518370000000001</v>
      </c>
      <c r="R1932">
        <v>-9.5275009999999993E-2</v>
      </c>
      <c r="S1932">
        <v>3.0994259999999998</v>
      </c>
      <c r="T1932">
        <v>-0.28752909999999998</v>
      </c>
      <c r="U1932">
        <v>-2.0477289999999999E-2</v>
      </c>
      <c r="V1932">
        <v>-0.12926779999999999</v>
      </c>
      <c r="W1932">
        <v>0.16442519999999999</v>
      </c>
      <c r="X1932">
        <v>0.97788249999999999</v>
      </c>
      <c r="Y1932">
        <v>-0.2124231</v>
      </c>
      <c r="Z1932">
        <v>3.0131999999999999E-2</v>
      </c>
      <c r="AA1932">
        <v>0.976713099999999</v>
      </c>
      <c r="AB1932">
        <v>36</v>
      </c>
      <c r="AC1932">
        <v>11.689699999999901</v>
      </c>
      <c r="AD1932">
        <v>-1.1157514541960001</v>
      </c>
      <c r="AE1932">
        <v>-8.7900000000011805E-3</v>
      </c>
      <c r="AF1932">
        <v>-2.5483469036720701</v>
      </c>
      <c r="AG1932">
        <v>-1.1157514541960001</v>
      </c>
      <c r="AH1932">
        <v>11.3003939785009</v>
      </c>
      <c r="AI1932">
        <v>95.501582048044398</v>
      </c>
      <c r="AJ1932">
        <v>102.70816942902501</v>
      </c>
      <c r="AK1932">
        <v>11.637778023245501</v>
      </c>
    </row>
    <row r="1933" spans="1:37" x14ac:dyDescent="0.2">
      <c r="A1933" t="str">
        <f>"20200111150628909"</f>
        <v>20200111150628909</v>
      </c>
      <c r="B1933" t="str">
        <f>"1578726388898950"</f>
        <v>1578726388898950</v>
      </c>
      <c r="C1933" t="s">
        <v>37</v>
      </c>
      <c r="D1933">
        <v>5.1992699999999896</v>
      </c>
      <c r="E1933">
        <v>0.46192349999999999</v>
      </c>
      <c r="F1933" t="s">
        <v>89</v>
      </c>
      <c r="G1933">
        <v>-388.29559999999998</v>
      </c>
      <c r="H1933" s="1">
        <v>-1.5156799999999901E-6</v>
      </c>
      <c r="I1933">
        <v>22.283000000000001</v>
      </c>
      <c r="J1933">
        <v>-399.71300000000002</v>
      </c>
      <c r="K1933">
        <v>1.1156330000000001</v>
      </c>
      <c r="L1933">
        <v>22.153320000000001</v>
      </c>
      <c r="M1933">
        <v>0.97817719999999897</v>
      </c>
      <c r="N1933">
        <v>0</v>
      </c>
      <c r="O1933">
        <v>-0.207338299999999</v>
      </c>
      <c r="P1933">
        <v>0.98453519999999894</v>
      </c>
      <c r="Q1933">
        <v>0.155915</v>
      </c>
      <c r="R1933">
        <v>-7.9882590000000003E-2</v>
      </c>
      <c r="S1933">
        <v>3.0988159999999998</v>
      </c>
      <c r="T1933">
        <v>-0.29345769999999999</v>
      </c>
      <c r="U1933">
        <v>1.5350340000000001E-2</v>
      </c>
      <c r="V1933">
        <v>-0.1311437</v>
      </c>
      <c r="W1933">
        <v>0.1651058</v>
      </c>
      <c r="X1933">
        <v>0.977518</v>
      </c>
      <c r="Y1933">
        <v>-0.21034139999999901</v>
      </c>
      <c r="Z1933">
        <v>2.9424769999999999E-2</v>
      </c>
      <c r="AA1933">
        <v>0.97718510000000003</v>
      </c>
      <c r="AB1933">
        <v>36</v>
      </c>
      <c r="AC1933">
        <v>11.417400000000001</v>
      </c>
      <c r="AD1933">
        <v>-1.1156345156799901</v>
      </c>
      <c r="AE1933">
        <v>0.12967999999999999</v>
      </c>
      <c r="AF1933">
        <v>-2.4707515372560702</v>
      </c>
      <c r="AG1933">
        <v>-1.1156345156799901</v>
      </c>
      <c r="AH1933">
        <v>11.0369898072427</v>
      </c>
      <c r="AI1933">
        <v>95.633432883595404</v>
      </c>
      <c r="AJ1933">
        <v>102.61825286763001</v>
      </c>
      <c r="AK1933">
        <v>11.3650515853034</v>
      </c>
    </row>
    <row r="1934" spans="1:37" x14ac:dyDescent="0.2">
      <c r="A1934" t="str">
        <f>"20200111150628932"</f>
        <v>20200111150628932</v>
      </c>
      <c r="B1934" t="str">
        <f>"1578726388928231"</f>
        <v>1578726388928231</v>
      </c>
      <c r="C1934" t="s">
        <v>37</v>
      </c>
      <c r="D1934">
        <v>5.1870370000000001</v>
      </c>
      <c r="E1934">
        <v>0.46411429999999998</v>
      </c>
      <c r="F1934" t="s">
        <v>89</v>
      </c>
      <c r="G1934">
        <v>-387.73829999999998</v>
      </c>
      <c r="H1934" s="1">
        <v>-1.7907399999999999E-6</v>
      </c>
      <c r="I1934">
        <v>22.326689999999999</v>
      </c>
      <c r="J1934">
        <v>-399.37310000000002</v>
      </c>
      <c r="K1934">
        <v>1.115489</v>
      </c>
      <c r="L1934">
        <v>22.091339999999999</v>
      </c>
      <c r="M1934">
        <v>0.98069019999999996</v>
      </c>
      <c r="N1934">
        <v>0</v>
      </c>
      <c r="O1934">
        <v>-0.19510810000000001</v>
      </c>
      <c r="P1934">
        <v>0.98540629999999996</v>
      </c>
      <c r="Q1934">
        <v>0.15686140000000001</v>
      </c>
      <c r="R1934">
        <v>-6.6098130000000005E-2</v>
      </c>
      <c r="S1934">
        <v>3.0964049999999999</v>
      </c>
      <c r="T1934">
        <v>-0.28847979999999901</v>
      </c>
      <c r="U1934">
        <v>4.483032E-2</v>
      </c>
      <c r="V1934">
        <v>-0.13255710000000001</v>
      </c>
      <c r="W1934">
        <v>0.166022799999999</v>
      </c>
      <c r="X1934">
        <v>0.97717199999999904</v>
      </c>
      <c r="Y1934">
        <v>-0.2075671</v>
      </c>
      <c r="Z1934">
        <v>2.770477E-2</v>
      </c>
      <c r="AA1934">
        <v>0.97782839999999904</v>
      </c>
      <c r="AB1934">
        <v>36</v>
      </c>
      <c r="AC1934">
        <v>11.6348</v>
      </c>
      <c r="AD1934">
        <v>-1.11549079074</v>
      </c>
      <c r="AE1934">
        <v>0.23535</v>
      </c>
      <c r="AF1934">
        <v>-2.4783022652037698</v>
      </c>
      <c r="AG1934">
        <v>-1.11549079074</v>
      </c>
      <c r="AH1934">
        <v>11.261759336458899</v>
      </c>
      <c r="AI1934">
        <v>95.525401538956501</v>
      </c>
      <c r="AJ1934">
        <v>102.410889233875</v>
      </c>
      <c r="AK1934">
        <v>11.585056114419899</v>
      </c>
    </row>
    <row r="1935" spans="1:37" x14ac:dyDescent="0.2">
      <c r="A1935" t="str">
        <f>"20200111150628953"</f>
        <v>20200111150628953</v>
      </c>
      <c r="B1935" t="str">
        <f>"1578726388948726"</f>
        <v>1578726388948726</v>
      </c>
      <c r="C1935" t="s">
        <v>37</v>
      </c>
      <c r="D1935">
        <v>5.1134329999999997</v>
      </c>
      <c r="E1935">
        <v>0.46499550000000001</v>
      </c>
      <c r="F1935" t="s">
        <v>89</v>
      </c>
      <c r="G1935">
        <v>-386.79300000000001</v>
      </c>
      <c r="H1935" s="1">
        <v>-2.2495799999999999E-6</v>
      </c>
      <c r="I1935">
        <v>22.37189</v>
      </c>
      <c r="J1935">
        <v>-399.04450000000003</v>
      </c>
      <c r="K1935">
        <v>1.115299</v>
      </c>
      <c r="L1935">
        <v>22.035429999999899</v>
      </c>
      <c r="M1935">
        <v>0.98292060000000003</v>
      </c>
      <c r="N1935">
        <v>0</v>
      </c>
      <c r="O1935">
        <v>-0.1835446</v>
      </c>
      <c r="P1935">
        <v>0.98614559999999996</v>
      </c>
      <c r="Q1935">
        <v>0.1567501</v>
      </c>
      <c r="R1935">
        <v>-5.4279830000000001E-2</v>
      </c>
      <c r="S1935">
        <v>3.0927119999999899</v>
      </c>
      <c r="T1935">
        <v>-0.27423409999999998</v>
      </c>
      <c r="U1935">
        <v>6.8969730000000007E-2</v>
      </c>
      <c r="V1935">
        <v>-0.132685</v>
      </c>
      <c r="W1935">
        <v>0.1659311</v>
      </c>
      <c r="X1935">
        <v>0.97717019999999899</v>
      </c>
      <c r="Y1935">
        <v>-0.20391679999999901</v>
      </c>
      <c r="Z1935">
        <v>2.520319E-2</v>
      </c>
      <c r="AA1935">
        <v>0.97866369999999903</v>
      </c>
      <c r="AB1935">
        <v>36</v>
      </c>
      <c r="AC1935">
        <v>12.2515</v>
      </c>
      <c r="AD1935">
        <v>-1.1153012495800001</v>
      </c>
      <c r="AE1935">
        <v>0.33646000000000198</v>
      </c>
      <c r="AF1935">
        <v>-2.5584539965759898</v>
      </c>
      <c r="AG1935">
        <v>-1.1153012495800001</v>
      </c>
      <c r="AH1935">
        <v>11.883162083279</v>
      </c>
      <c r="AI1935">
        <v>95.242387198692199</v>
      </c>
      <c r="AJ1935">
        <v>102.150350841056</v>
      </c>
      <c r="AK1935">
        <v>12.2065197672142</v>
      </c>
    </row>
    <row r="1936" spans="1:37" x14ac:dyDescent="0.2">
      <c r="A1936" t="str">
        <f>"20200111150628977"</f>
        <v>20200111150628977</v>
      </c>
      <c r="B1936" t="str">
        <f>"1578726388968246"</f>
        <v>1578726388968246</v>
      </c>
      <c r="C1936" t="s">
        <v>37</v>
      </c>
      <c r="D1936">
        <v>5.137149</v>
      </c>
      <c r="E1936">
        <v>0.48137439999999998</v>
      </c>
      <c r="F1936" t="s">
        <v>89</v>
      </c>
      <c r="G1936">
        <v>-386.47289999999998</v>
      </c>
      <c r="H1936" s="1">
        <v>-2.4186099999999999E-6</v>
      </c>
      <c r="I1936">
        <v>22.43843</v>
      </c>
      <c r="J1936">
        <v>-398.67189999999999</v>
      </c>
      <c r="K1936">
        <v>1.1150279999999999</v>
      </c>
      <c r="L1936">
        <v>21.97681</v>
      </c>
      <c r="M1936">
        <v>0.98520969999999997</v>
      </c>
      <c r="N1936">
        <v>0</v>
      </c>
      <c r="O1936">
        <v>-0.1708355</v>
      </c>
      <c r="P1936">
        <v>0.98660519999999996</v>
      </c>
      <c r="Q1936">
        <v>0.1580077</v>
      </c>
      <c r="R1936">
        <v>-4.054497E-2</v>
      </c>
      <c r="S1936">
        <v>3.0911249999999999</v>
      </c>
      <c r="T1936">
        <v>-0.27423320000000001</v>
      </c>
      <c r="U1936">
        <v>9.9090579999999998E-2</v>
      </c>
      <c r="V1936">
        <v>-0.13356370000000001</v>
      </c>
      <c r="W1936">
        <v>0.16719300000000001</v>
      </c>
      <c r="X1936">
        <v>0.97683529999999996</v>
      </c>
      <c r="Y1936">
        <v>-0.20087629999999901</v>
      </c>
      <c r="Z1936">
        <v>2.3968670000000001E-2</v>
      </c>
      <c r="AA1936">
        <v>0.97932330000000001</v>
      </c>
      <c r="AB1936">
        <v>36</v>
      </c>
      <c r="AC1936">
        <v>12.199</v>
      </c>
      <c r="AD1936">
        <v>-1.11503041861</v>
      </c>
      <c r="AE1936">
        <v>0.46161999999999898</v>
      </c>
      <c r="AF1936">
        <v>-2.5180325408921398</v>
      </c>
      <c r="AG1936">
        <v>-1.11503041861</v>
      </c>
      <c r="AH1936">
        <v>11.8419759735102</v>
      </c>
      <c r="AI1936">
        <v>95.262099635517998</v>
      </c>
      <c r="AJ1936">
        <v>102.004364558536</v>
      </c>
      <c r="AK1936">
        <v>12.1579675796825</v>
      </c>
    </row>
    <row r="1937" spans="1:37" x14ac:dyDescent="0.2">
      <c r="A1937" t="str">
        <f>"20200111150628998"</f>
        <v>20200111150628998</v>
      </c>
      <c r="B1937" t="str">
        <f>"1578726388988742"</f>
        <v>1578726388988742</v>
      </c>
      <c r="C1937" t="s">
        <v>37</v>
      </c>
      <c r="D1937">
        <v>5.1469680000000002</v>
      </c>
      <c r="E1937">
        <v>0.48261799999999999</v>
      </c>
      <c r="F1937" t="s">
        <v>89</v>
      </c>
      <c r="G1937">
        <v>-386.30560000000003</v>
      </c>
      <c r="H1937" s="1">
        <v>-2.3868359999999999E-6</v>
      </c>
      <c r="I1937">
        <v>22.02169</v>
      </c>
      <c r="J1937">
        <v>-398.32679999999999</v>
      </c>
      <c r="K1937">
        <v>1.114778</v>
      </c>
      <c r="L1937">
        <v>21.92651</v>
      </c>
      <c r="M1937">
        <v>0.98712800000000001</v>
      </c>
      <c r="N1937">
        <v>0</v>
      </c>
      <c r="O1937">
        <v>-0.15938150000000001</v>
      </c>
      <c r="P1937">
        <v>0.98668099999999903</v>
      </c>
      <c r="Q1937">
        <v>0.160358</v>
      </c>
      <c r="R1937">
        <v>-2.731751E-2</v>
      </c>
      <c r="S1937">
        <v>3.0857239999999999</v>
      </c>
      <c r="T1937">
        <v>-0.278229</v>
      </c>
      <c r="U1937">
        <v>1.119995E-2</v>
      </c>
      <c r="V1937">
        <v>-0.13521329999999901</v>
      </c>
      <c r="W1937">
        <v>0.16952300000000001</v>
      </c>
      <c r="X1937">
        <v>0.97620659999999904</v>
      </c>
      <c r="Y1937">
        <v>-0.16167909999999999</v>
      </c>
      <c r="Z1937">
        <v>2.1572040000000001E-2</v>
      </c>
      <c r="AA1937">
        <v>0.98660759999999903</v>
      </c>
      <c r="AB1937">
        <v>36</v>
      </c>
      <c r="AC1937">
        <v>12.021199999999901</v>
      </c>
      <c r="AD1937">
        <v>-1.114780386836</v>
      </c>
      <c r="AE1937">
        <v>9.5179999999999099E-2</v>
      </c>
      <c r="AF1937">
        <v>-1.99295078237849</v>
      </c>
      <c r="AG1937">
        <v>-1.114780386836</v>
      </c>
      <c r="AH1937">
        <v>11.7512842269196</v>
      </c>
      <c r="AI1937">
        <v>95.343275100046</v>
      </c>
      <c r="AJ1937">
        <v>99.6254516230658</v>
      </c>
      <c r="AK1937">
        <v>11.9711014160647</v>
      </c>
    </row>
    <row r="1938" spans="1:37" x14ac:dyDescent="0.2">
      <c r="A1938" t="str">
        <f>"20200111150629020"</f>
        <v>20200111150629020</v>
      </c>
      <c r="B1938" t="str">
        <f>"1578726389018998"</f>
        <v>1578726389018998</v>
      </c>
      <c r="C1938" t="s">
        <v>37</v>
      </c>
      <c r="D1938">
        <v>5.1794880000000001</v>
      </c>
      <c r="E1938">
        <v>0.4859329</v>
      </c>
      <c r="F1938" t="s">
        <v>89</v>
      </c>
      <c r="G1938">
        <v>-384.1311</v>
      </c>
      <c r="H1938" s="1">
        <v>-3.4412109999999999E-6</v>
      </c>
      <c r="I1938">
        <v>22.121259999999999</v>
      </c>
      <c r="J1938">
        <v>-397.9837</v>
      </c>
      <c r="K1938">
        <v>1.1145160000000001</v>
      </c>
      <c r="L1938">
        <v>21.880189999999999</v>
      </c>
      <c r="M1938">
        <v>0.98884729999999998</v>
      </c>
      <c r="N1938">
        <v>0</v>
      </c>
      <c r="O1938">
        <v>-0.14834600000000001</v>
      </c>
      <c r="P1938">
        <v>0.986927</v>
      </c>
      <c r="Q1938">
        <v>0.1603494</v>
      </c>
      <c r="R1938">
        <v>-1.6235690000000001E-2</v>
      </c>
      <c r="S1938">
        <v>3.080994</v>
      </c>
      <c r="T1938">
        <v>-0.2419481</v>
      </c>
      <c r="U1938">
        <v>4.2266850000000002E-2</v>
      </c>
      <c r="V1938">
        <v>-0.13515759999999999</v>
      </c>
      <c r="W1938">
        <v>0.1695554</v>
      </c>
      <c r="X1938">
        <v>0.97620869999999904</v>
      </c>
      <c r="Y1938">
        <v>-0.1609604</v>
      </c>
      <c r="Z1938">
        <v>1.7912649999999999E-2</v>
      </c>
      <c r="AA1938">
        <v>0.98679830000000002</v>
      </c>
      <c r="AB1938">
        <v>36</v>
      </c>
      <c r="AC1938">
        <v>13.852599999999899</v>
      </c>
      <c r="AD1938">
        <v>-1.114519441211</v>
      </c>
      <c r="AE1938">
        <v>0.24107000000000001</v>
      </c>
      <c r="AF1938">
        <v>-2.2788127883943701</v>
      </c>
      <c r="AG1938">
        <v>-1.114519441211</v>
      </c>
      <c r="AH1938">
        <v>13.575686159023</v>
      </c>
      <c r="AI1938">
        <v>94.628798657252005</v>
      </c>
      <c r="AJ1938">
        <v>99.528826593608898</v>
      </c>
      <c r="AK1938">
        <v>13.8106624025669</v>
      </c>
    </row>
    <row r="1939" spans="1:37" x14ac:dyDescent="0.2">
      <c r="A1939" t="str">
        <f>"20200111150629043"</f>
        <v>20200111150629043</v>
      </c>
      <c r="B1939" t="str">
        <f>"1578726389038519"</f>
        <v>1578726389038519</v>
      </c>
      <c r="C1939" t="s">
        <v>37</v>
      </c>
      <c r="D1939">
        <v>5.319115</v>
      </c>
      <c r="E1939">
        <v>0.4859329</v>
      </c>
      <c r="F1939" t="s">
        <v>89</v>
      </c>
      <c r="G1939">
        <v>-383.62950000000001</v>
      </c>
      <c r="H1939" s="1">
        <v>-3.6771449999999899E-6</v>
      </c>
      <c r="I1939">
        <v>22.116889999999898</v>
      </c>
      <c r="J1939">
        <v>-397.6275</v>
      </c>
      <c r="K1939">
        <v>1.114209</v>
      </c>
      <c r="L1939">
        <v>21.835850000000001</v>
      </c>
      <c r="M1939">
        <v>0.99043930000000002</v>
      </c>
      <c r="N1939">
        <v>0</v>
      </c>
      <c r="O1939">
        <v>-0.137321</v>
      </c>
      <c r="P1939">
        <v>0.9871974</v>
      </c>
      <c r="Q1939">
        <v>0.15939519999999999</v>
      </c>
      <c r="R1939">
        <v>-5.9236319999999999E-3</v>
      </c>
      <c r="S1939">
        <v>3.0794679999999999</v>
      </c>
      <c r="T1939">
        <v>-0.2391025</v>
      </c>
      <c r="U1939">
        <v>5.078125E-2</v>
      </c>
      <c r="V1939">
        <v>-0.1343444</v>
      </c>
      <c r="W1939">
        <v>0.1686752</v>
      </c>
      <c r="X1939">
        <v>0.97647340000000005</v>
      </c>
      <c r="Y1939">
        <v>-0.15277460000000001</v>
      </c>
      <c r="Z1939">
        <v>1.6545689999999998E-2</v>
      </c>
      <c r="AA1939">
        <v>0.98812250000000001</v>
      </c>
      <c r="AB1939">
        <v>36</v>
      </c>
      <c r="AC1939">
        <v>13.9979999999999</v>
      </c>
      <c r="AD1939">
        <v>-1.1142126771450001</v>
      </c>
      <c r="AE1939">
        <v>0.28103999999999701</v>
      </c>
      <c r="AF1939">
        <v>-2.1869123783117002</v>
      </c>
      <c r="AG1939">
        <v>-1.1142126771450001</v>
      </c>
      <c r="AH1939">
        <v>13.7397544406225</v>
      </c>
      <c r="AI1939">
        <v>94.578815534811696</v>
      </c>
      <c r="AJ1939">
        <v>99.043722145698496</v>
      </c>
      <c r="AK1939">
        <v>13.9572528718559</v>
      </c>
    </row>
    <row r="1940" spans="1:37" x14ac:dyDescent="0.2">
      <c r="A1940" t="str">
        <f>"20200111150629065"</f>
        <v>20200111150629065</v>
      </c>
      <c r="B1940" t="str">
        <f>"1578726389059015"</f>
        <v>1578726389059015</v>
      </c>
      <c r="C1940" t="s">
        <v>37</v>
      </c>
      <c r="D1940">
        <v>5.3074779999999997</v>
      </c>
      <c r="E1940">
        <v>0.45181650000000001</v>
      </c>
      <c r="F1940" t="s">
        <v>89</v>
      </c>
      <c r="G1940">
        <v>-383.45549999999997</v>
      </c>
      <c r="H1940" s="1">
        <v>-3.786659E-6</v>
      </c>
      <c r="I1940">
        <v>22.219379999999902</v>
      </c>
      <c r="J1940">
        <v>-397.28120000000001</v>
      </c>
      <c r="K1940">
        <v>1.11388</v>
      </c>
      <c r="L1940">
        <v>21.796299999999999</v>
      </c>
      <c r="M1940">
        <v>0.99180709999999905</v>
      </c>
      <c r="N1940">
        <v>0</v>
      </c>
      <c r="O1940">
        <v>-0.12706969999999901</v>
      </c>
      <c r="P1940">
        <v>0.98698819999999998</v>
      </c>
      <c r="Q1940">
        <v>0.160722799999999</v>
      </c>
      <c r="R1940">
        <v>4.7568209999999996E-3</v>
      </c>
      <c r="S1940">
        <v>3.0784609999999999</v>
      </c>
      <c r="T1940">
        <v>-0.24203150000000001</v>
      </c>
      <c r="U1940">
        <v>8.3312990000000003E-2</v>
      </c>
      <c r="V1940">
        <v>-0.1346754</v>
      </c>
      <c r="W1940">
        <v>0.17004639999999999</v>
      </c>
      <c r="X1940">
        <v>0.97618989999999894</v>
      </c>
      <c r="Y1940">
        <v>-0.15300520000000001</v>
      </c>
      <c r="Z1940">
        <v>1.5962290000000001E-2</v>
      </c>
      <c r="AA1940">
        <v>0.98809650000000004</v>
      </c>
      <c r="AB1940">
        <v>36</v>
      </c>
      <c r="AC1940">
        <v>13.825699999999999</v>
      </c>
      <c r="AD1940">
        <v>-1.1138837866589999</v>
      </c>
      <c r="AE1940">
        <v>0.42307999999999801</v>
      </c>
      <c r="AF1940">
        <v>-2.1626043271616902</v>
      </c>
      <c r="AG1940">
        <v>-1.1138837866589999</v>
      </c>
      <c r="AH1940">
        <v>13.571830253218399</v>
      </c>
      <c r="AI1940">
        <v>94.633733805450305</v>
      </c>
      <c r="AJ1940">
        <v>99.053685468563799</v>
      </c>
      <c r="AK1940">
        <v>13.788117021124201</v>
      </c>
    </row>
    <row r="1941" spans="1:37" x14ac:dyDescent="0.2">
      <c r="A1941" t="str">
        <f>"20200111150629088"</f>
        <v>20200111150629088</v>
      </c>
      <c r="B1941" t="str">
        <f>"1578726389078534"</f>
        <v>1578726389078534</v>
      </c>
      <c r="C1941" t="s">
        <v>37</v>
      </c>
      <c r="D1941">
        <v>5.2400149999999996</v>
      </c>
      <c r="E1941">
        <v>0.45288240000000002</v>
      </c>
      <c r="F1941" t="s">
        <v>88</v>
      </c>
      <c r="G1941">
        <v>-379.81180000000001</v>
      </c>
      <c r="H1941" s="1">
        <v>-1.23891E-6</v>
      </c>
      <c r="I1941">
        <v>24.011579999999999</v>
      </c>
      <c r="J1941">
        <v>-396.92410000000001</v>
      </c>
      <c r="K1941">
        <v>1.1135079999999999</v>
      </c>
      <c r="L1941">
        <v>21.758879999999898</v>
      </c>
      <c r="M1941">
        <v>0.99304499999999996</v>
      </c>
      <c r="N1941">
        <v>0</v>
      </c>
      <c r="O1941">
        <v>-0.11700960000000001</v>
      </c>
      <c r="P1941">
        <v>0.98656480000000002</v>
      </c>
      <c r="Q1941">
        <v>0.16250599999999901</v>
      </c>
      <c r="R1941">
        <v>1.6788939999999999E-2</v>
      </c>
      <c r="S1941">
        <v>3.06957999999999</v>
      </c>
      <c r="T1941">
        <v>-0.19572249999999999</v>
      </c>
      <c r="U1941">
        <v>0.38925169999999998</v>
      </c>
      <c r="V1941">
        <v>-0.13653189999999901</v>
      </c>
      <c r="W1941">
        <v>0.17184630000000001</v>
      </c>
      <c r="X1941">
        <v>0.97561659999999994</v>
      </c>
      <c r="Y1941">
        <v>-0.24031149999999901</v>
      </c>
      <c r="Z1941">
        <v>1.5048300000000001E-2</v>
      </c>
      <c r="AA1941">
        <v>0.97057909999999903</v>
      </c>
      <c r="AB1941">
        <v>36</v>
      </c>
      <c r="AC1941">
        <v>17.112300000000001</v>
      </c>
      <c r="AD1941">
        <v>-1.1135092389100001</v>
      </c>
      <c r="AE1941">
        <v>2.2526999999999999</v>
      </c>
      <c r="AF1941">
        <v>-4.2221242794414797</v>
      </c>
      <c r="AG1941">
        <v>-1.1135092389100001</v>
      </c>
      <c r="AH1941">
        <v>16.661774386563099</v>
      </c>
      <c r="AI1941">
        <v>93.706590313807894</v>
      </c>
      <c r="AJ1941">
        <v>104.219541816153</v>
      </c>
      <c r="AK1941">
        <v>17.224429220293999</v>
      </c>
    </row>
    <row r="1942" spans="1:37" x14ac:dyDescent="0.2">
      <c r="A1942" t="str">
        <f>"20200111150629111"</f>
        <v>20200111150629111</v>
      </c>
      <c r="B1942" t="str">
        <f>"1578726389108790"</f>
        <v>1578726389108790</v>
      </c>
      <c r="C1942" t="s">
        <v>37</v>
      </c>
      <c r="D1942">
        <v>5.2962899999999999</v>
      </c>
      <c r="E1942">
        <v>0.4546057</v>
      </c>
      <c r="F1942" t="s">
        <v>88</v>
      </c>
      <c r="G1942">
        <v>-378.60390000000001</v>
      </c>
      <c r="H1942" s="1">
        <v>-1.87523E-6</v>
      </c>
      <c r="I1942">
        <v>24.257110000000001</v>
      </c>
      <c r="J1942">
        <v>-396.56119999999999</v>
      </c>
      <c r="K1942">
        <v>1.1130869999999999</v>
      </c>
      <c r="L1942">
        <v>21.724119999999999</v>
      </c>
      <c r="M1942">
        <v>0.99413929999999995</v>
      </c>
      <c r="N1942">
        <v>0</v>
      </c>
      <c r="O1942">
        <v>-0.1073229</v>
      </c>
      <c r="P1942">
        <v>0.98629899999999904</v>
      </c>
      <c r="Q1942">
        <v>0.1628019</v>
      </c>
      <c r="R1942">
        <v>2.6646550000000001E-2</v>
      </c>
      <c r="S1942">
        <v>3.0644230000000001</v>
      </c>
      <c r="T1942">
        <v>-0.18625639999999999</v>
      </c>
      <c r="U1942">
        <v>0.4178772</v>
      </c>
      <c r="V1942">
        <v>-0.13658979999999901</v>
      </c>
      <c r="W1942">
        <v>0.1722244</v>
      </c>
      <c r="X1942">
        <v>0.97554189999999996</v>
      </c>
      <c r="Y1942">
        <v>-0.2400497</v>
      </c>
      <c r="Z1942">
        <v>1.374509E-2</v>
      </c>
      <c r="AA1942">
        <v>0.97066319999999995</v>
      </c>
      <c r="AB1942">
        <v>36</v>
      </c>
      <c r="AC1942">
        <v>17.957299999999901</v>
      </c>
      <c r="AD1942">
        <v>-1.1130888752300001</v>
      </c>
      <c r="AE1942">
        <v>2.5329899999999901</v>
      </c>
      <c r="AF1942">
        <v>-4.4290644857209402</v>
      </c>
      <c r="AG1942">
        <v>-1.1130888752300001</v>
      </c>
      <c r="AH1942">
        <v>17.5157086100747</v>
      </c>
      <c r="AI1942">
        <v>93.525475814073701</v>
      </c>
      <c r="AJ1942">
        <v>104.190496517696</v>
      </c>
      <c r="AK1942">
        <v>18.1012603753408</v>
      </c>
    </row>
    <row r="1943" spans="1:37" x14ac:dyDescent="0.2">
      <c r="A1943" t="str">
        <f>"20200111150629135"</f>
        <v>20200111150629135</v>
      </c>
      <c r="B1943" t="str">
        <f>"1578726389128310"</f>
        <v>1578726389128310</v>
      </c>
      <c r="C1943" t="s">
        <v>37</v>
      </c>
      <c r="D1943">
        <v>5.289752</v>
      </c>
      <c r="E1943">
        <v>0.4560439</v>
      </c>
      <c r="F1943" t="s">
        <v>88</v>
      </c>
      <c r="G1943">
        <v>-379.49180000000001</v>
      </c>
      <c r="H1943" s="1">
        <v>-1.4269159999999899E-6</v>
      </c>
      <c r="I1943">
        <v>24.14959</v>
      </c>
      <c r="J1943">
        <v>-396.20089999999999</v>
      </c>
      <c r="K1943">
        <v>1.1126389999999999</v>
      </c>
      <c r="L1943">
        <v>21.692900000000002</v>
      </c>
      <c r="M1943">
        <v>0.99507309999999904</v>
      </c>
      <c r="N1943">
        <v>0</v>
      </c>
      <c r="O1943">
        <v>-9.8294240000000005E-2</v>
      </c>
      <c r="P1943">
        <v>0.98607</v>
      </c>
      <c r="Q1943">
        <v>0.1624921</v>
      </c>
      <c r="R1943">
        <v>3.5527250000000003E-2</v>
      </c>
      <c r="S1943">
        <v>3.0628359999999999</v>
      </c>
      <c r="T1943">
        <v>-0.19972619999999999</v>
      </c>
      <c r="U1943">
        <v>0.43521120000000002</v>
      </c>
      <c r="V1943">
        <v>-0.13632459999999999</v>
      </c>
      <c r="W1943">
        <v>0.17201449999999999</v>
      </c>
      <c r="X1943">
        <v>0.97561600000000004</v>
      </c>
      <c r="Y1943">
        <v>-0.23662529999999901</v>
      </c>
      <c r="Z1943">
        <v>1.4043460000000001E-2</v>
      </c>
      <c r="AA1943">
        <v>0.97149949999999996</v>
      </c>
      <c r="AB1943">
        <v>36</v>
      </c>
      <c r="AC1943">
        <v>16.7090999999999</v>
      </c>
      <c r="AD1943">
        <v>-1.112640426916</v>
      </c>
      <c r="AE1943">
        <v>2.4566899999999898</v>
      </c>
      <c r="AF1943">
        <v>-4.0696738651933702</v>
      </c>
      <c r="AG1943">
        <v>-1.112640426916</v>
      </c>
      <c r="AH1943">
        <v>16.315857080965198</v>
      </c>
      <c r="AI1943">
        <v>93.785547069784997</v>
      </c>
      <c r="AJ1943">
        <v>104.005533695455</v>
      </c>
      <c r="AK1943">
        <v>16.852519288673999</v>
      </c>
    </row>
    <row r="1944" spans="1:37" x14ac:dyDescent="0.2">
      <c r="A1944" t="str">
        <f>"20200111150629156"</f>
        <v>20200111150629156</v>
      </c>
      <c r="B1944" t="str">
        <f>"1578726389148807"</f>
        <v>1578726389148807</v>
      </c>
      <c r="C1944" t="s">
        <v>37</v>
      </c>
      <c r="D1944">
        <v>5.5890750000000002</v>
      </c>
      <c r="E1944">
        <v>0.456568999999999</v>
      </c>
      <c r="F1944" t="s">
        <v>88</v>
      </c>
      <c r="G1944">
        <v>-379.66449999999998</v>
      </c>
      <c r="H1944" s="1">
        <v>-1.340986E-6</v>
      </c>
      <c r="I1944">
        <v>24.133510000000001</v>
      </c>
      <c r="J1944">
        <v>-395.85109999999997</v>
      </c>
      <c r="K1944">
        <v>1.112198</v>
      </c>
      <c r="L1944">
        <v>21.66544</v>
      </c>
      <c r="M1944">
        <v>0.99585309999999905</v>
      </c>
      <c r="N1944">
        <v>0</v>
      </c>
      <c r="O1944">
        <v>-9.0058750000000007E-2</v>
      </c>
      <c r="P1944">
        <v>0.98560329999999996</v>
      </c>
      <c r="Q1944">
        <v>0.1629545</v>
      </c>
      <c r="R1944">
        <v>4.5082999999999998E-2</v>
      </c>
      <c r="S1944">
        <v>3.060028</v>
      </c>
      <c r="T1944">
        <v>-0.205891399999999</v>
      </c>
      <c r="U1944">
        <v>0.45162959999999902</v>
      </c>
      <c r="V1944">
        <v>-0.13752819999999999</v>
      </c>
      <c r="W1944">
        <v>0.1725401</v>
      </c>
      <c r="X1944">
        <v>0.97535430000000001</v>
      </c>
      <c r="Y1944">
        <v>-0.23379739999999999</v>
      </c>
      <c r="Z1944">
        <v>1.383889E-2</v>
      </c>
      <c r="AA1944">
        <v>0.97218689999999996</v>
      </c>
      <c r="AB1944">
        <v>36</v>
      </c>
      <c r="AC1944">
        <v>16.186599999999999</v>
      </c>
      <c r="AD1944">
        <v>-1.112199340986</v>
      </c>
      <c r="AE1944">
        <v>2.46807</v>
      </c>
      <c r="AF1944">
        <v>-3.8979204038907298</v>
      </c>
      <c r="AG1944">
        <v>-1.112199340986</v>
      </c>
      <c r="AH1944">
        <v>15.8255062578438</v>
      </c>
      <c r="AI1944">
        <v>93.903780750463099</v>
      </c>
      <c r="AJ1944">
        <v>103.83688153399601</v>
      </c>
      <c r="AK1944">
        <v>16.3363832951548</v>
      </c>
    </row>
    <row r="1945" spans="1:37" x14ac:dyDescent="0.2">
      <c r="A1945" t="str">
        <f>"20200111150629178"</f>
        <v>20200111150629178</v>
      </c>
      <c r="B1945" t="str">
        <f>"1578726389168327"</f>
        <v>1578726389168327</v>
      </c>
      <c r="C1945" t="s">
        <v>37</v>
      </c>
      <c r="D1945">
        <v>5.3411790000000003</v>
      </c>
      <c r="E1945">
        <v>0.45732119999999998</v>
      </c>
      <c r="F1945" t="s">
        <v>88</v>
      </c>
      <c r="G1945">
        <v>-379.03070000000002</v>
      </c>
      <c r="H1945" s="1">
        <v>-1.6822489999999901E-6</v>
      </c>
      <c r="I1945">
        <v>24.290140000000001</v>
      </c>
      <c r="J1945">
        <v>-395.5034</v>
      </c>
      <c r="K1945">
        <v>1.111802</v>
      </c>
      <c r="L1945">
        <v>21.640689999999999</v>
      </c>
      <c r="M1945">
        <v>0.99652529999999995</v>
      </c>
      <c r="N1945">
        <v>0</v>
      </c>
      <c r="O1945">
        <v>-8.2294800000000001E-2</v>
      </c>
      <c r="P1945">
        <v>0.98521550000000002</v>
      </c>
      <c r="Q1945">
        <v>0.16269320000000001</v>
      </c>
      <c r="R1945">
        <v>5.3679190000000002E-2</v>
      </c>
      <c r="S1945">
        <v>3.0554199999999998</v>
      </c>
      <c r="T1945">
        <v>-0.20203089999999899</v>
      </c>
      <c r="U1945">
        <v>0.47677609999999898</v>
      </c>
      <c r="V1945">
        <v>-0.13826069999999999</v>
      </c>
      <c r="W1945">
        <v>0.1723499</v>
      </c>
      <c r="X1945">
        <v>0.97528429999999999</v>
      </c>
      <c r="Y1945">
        <v>-0.23429469999999999</v>
      </c>
      <c r="Z1945">
        <v>1.309868E-2</v>
      </c>
      <c r="AA1945">
        <v>0.97207739999999998</v>
      </c>
      <c r="AB1945">
        <v>36</v>
      </c>
      <c r="AC1945">
        <v>16.4726999999999</v>
      </c>
      <c r="AD1945">
        <v>-1.1118036822490001</v>
      </c>
      <c r="AE1945">
        <v>2.6494499999999999</v>
      </c>
      <c r="AF1945">
        <v>-3.9785242414732598</v>
      </c>
      <c r="AG1945">
        <v>-1.1118036822490001</v>
      </c>
      <c r="AH1945">
        <v>16.1271488661402</v>
      </c>
      <c r="AI1945">
        <v>93.829278024692002</v>
      </c>
      <c r="AJ1945">
        <v>103.858006518011</v>
      </c>
      <c r="AK1945">
        <v>16.647813463590399</v>
      </c>
    </row>
    <row r="1946" spans="1:37" x14ac:dyDescent="0.2">
      <c r="A1946" t="str">
        <f>"20200111150629212"</f>
        <v>20200111150629212</v>
      </c>
      <c r="B1946" t="str">
        <f>"1578726389208342"</f>
        <v>1578726389208342</v>
      </c>
      <c r="C1946" t="s">
        <v>37</v>
      </c>
      <c r="D1946">
        <v>5.1888059999999996</v>
      </c>
      <c r="E1946">
        <v>0.46101320000000001</v>
      </c>
      <c r="F1946" t="s">
        <v>88</v>
      </c>
      <c r="G1946">
        <v>-378.71850000000001</v>
      </c>
      <c r="H1946" s="1">
        <v>-1.8547899999999999E-6</v>
      </c>
      <c r="I1946">
        <v>24.383970000000001</v>
      </c>
      <c r="J1946">
        <v>-394.97050000000002</v>
      </c>
      <c r="K1946">
        <v>1.1112569999999999</v>
      </c>
      <c r="L1946">
        <v>21.60727</v>
      </c>
      <c r="M1946">
        <v>0.99738539999999998</v>
      </c>
      <c r="N1946">
        <v>0</v>
      </c>
      <c r="O1946">
        <v>-7.1127019999999999E-2</v>
      </c>
      <c r="P1946">
        <v>0.98510089999999995</v>
      </c>
      <c r="Q1946">
        <v>0.16057360000000001</v>
      </c>
      <c r="R1946">
        <v>6.1582110000000002E-2</v>
      </c>
      <c r="S1946">
        <v>3.0512389999999998</v>
      </c>
      <c r="T1946">
        <v>-0.20210910000000001</v>
      </c>
      <c r="U1946">
        <v>0.49868770000000001</v>
      </c>
      <c r="V1946">
        <v>-0.1348934</v>
      </c>
      <c r="W1946">
        <v>0.17043269999999999</v>
      </c>
      <c r="X1946">
        <v>0.97609249999999903</v>
      </c>
      <c r="Y1946">
        <v>-0.23044510000000001</v>
      </c>
      <c r="Z1946">
        <v>1.2253160000000001E-2</v>
      </c>
      <c r="AA1946">
        <v>0.97300819999999999</v>
      </c>
      <c r="AB1946">
        <v>36</v>
      </c>
      <c r="AC1946">
        <v>16.251999999999999</v>
      </c>
      <c r="AD1946">
        <v>-1.11125885479</v>
      </c>
      <c r="AE1946">
        <v>2.7766999999999999</v>
      </c>
      <c r="AF1946">
        <v>-3.9079639470545899</v>
      </c>
      <c r="AG1946">
        <v>-1.11125885479</v>
      </c>
      <c r="AH1946">
        <v>15.9409008650928</v>
      </c>
      <c r="AI1946">
        <v>93.873372416745795</v>
      </c>
      <c r="AJ1946">
        <v>103.77458475119801</v>
      </c>
      <c r="AK1946">
        <v>16.4505136346725</v>
      </c>
    </row>
    <row r="1947" spans="1:37" x14ac:dyDescent="0.2">
      <c r="A1947" t="str">
        <f>"20200111150629233"</f>
        <v>20200111150629233</v>
      </c>
      <c r="B1947" t="str">
        <f>"1578726389228838"</f>
        <v>1578726389228838</v>
      </c>
      <c r="C1947" t="s">
        <v>37</v>
      </c>
      <c r="D1947">
        <v>5.2753389999999998</v>
      </c>
      <c r="E1947">
        <v>0.4617887</v>
      </c>
      <c r="F1947" t="s">
        <v>88</v>
      </c>
      <c r="G1947">
        <v>-379.41489999999999</v>
      </c>
      <c r="H1947" s="1">
        <v>-1.4591759999999999E-6</v>
      </c>
      <c r="I1947">
        <v>24.13438</v>
      </c>
      <c r="J1947">
        <v>-394.63409999999999</v>
      </c>
      <c r="K1947">
        <v>1.1109420000000001</v>
      </c>
      <c r="L1947">
        <v>21.589079999999999</v>
      </c>
      <c r="M1947">
        <v>0.99783440000000001</v>
      </c>
      <c r="N1947">
        <v>0</v>
      </c>
      <c r="O1947">
        <v>-6.4528500000000003E-2</v>
      </c>
      <c r="P1947">
        <v>0.98478840000000001</v>
      </c>
      <c r="Q1947">
        <v>0.16092210000000001</v>
      </c>
      <c r="R1947">
        <v>6.5544749999999999E-2</v>
      </c>
      <c r="S1947">
        <v>3.0499269999999998</v>
      </c>
      <c r="T1947">
        <v>-0.21788150000000001</v>
      </c>
      <c r="U1947">
        <v>0.49548339999999902</v>
      </c>
      <c r="V1947">
        <v>-0.13222149999999999</v>
      </c>
      <c r="W1947">
        <v>0.17090629999999901</v>
      </c>
      <c r="X1947">
        <v>0.9763752</v>
      </c>
      <c r="Y1947">
        <v>-0.22300389999999901</v>
      </c>
      <c r="Z1947">
        <v>1.248177E-2</v>
      </c>
      <c r="AA1947">
        <v>0.97473759999999998</v>
      </c>
      <c r="AB1947">
        <v>36</v>
      </c>
      <c r="AC1947">
        <v>15.219200000000001</v>
      </c>
      <c r="AD1947">
        <v>-1.1109434591759999</v>
      </c>
      <c r="AE1947">
        <v>2.5453000000000001</v>
      </c>
      <c r="AF1947">
        <v>-3.5039836176365902</v>
      </c>
      <c r="AG1947">
        <v>-1.1109434591759999</v>
      </c>
      <c r="AH1947">
        <v>14.9457475295723</v>
      </c>
      <c r="AI1947">
        <v>94.139247415092299</v>
      </c>
      <c r="AJ1947">
        <v>103.194513674474</v>
      </c>
      <c r="AK1947">
        <v>15.3911489428135</v>
      </c>
    </row>
    <row r="1948" spans="1:37" x14ac:dyDescent="0.2">
      <c r="A1948" t="str">
        <f>"20200111150629256"</f>
        <v>20200111150629256</v>
      </c>
      <c r="B1948" t="str">
        <f>"1578726389248358"</f>
        <v>1578726389248358</v>
      </c>
      <c r="C1948" t="s">
        <v>37</v>
      </c>
      <c r="D1948">
        <v>5.2707309999999996</v>
      </c>
      <c r="E1948">
        <v>0.46279049999999999</v>
      </c>
      <c r="F1948" t="s">
        <v>88</v>
      </c>
      <c r="G1948">
        <v>-379.036</v>
      </c>
      <c r="H1948" s="1">
        <v>-1.64425E-6</v>
      </c>
      <c r="I1948">
        <v>24.156679999999898</v>
      </c>
      <c r="J1948">
        <v>-394.27350000000001</v>
      </c>
      <c r="K1948">
        <v>1.1106129999999901</v>
      </c>
      <c r="L1948">
        <v>21.57199</v>
      </c>
      <c r="M1948">
        <v>0.99824769999999896</v>
      </c>
      <c r="N1948">
        <v>0</v>
      </c>
      <c r="O1948">
        <v>-5.779289E-2</v>
      </c>
      <c r="P1948">
        <v>0.98426190000000002</v>
      </c>
      <c r="Q1948">
        <v>0.1625682</v>
      </c>
      <c r="R1948">
        <v>6.928281E-2</v>
      </c>
      <c r="S1948">
        <v>3.0484309999999999</v>
      </c>
      <c r="T1948">
        <v>-0.21711829999999999</v>
      </c>
      <c r="U1948">
        <v>0.50180049999999998</v>
      </c>
      <c r="V1948">
        <v>-0.12920200000000001</v>
      </c>
      <c r="W1948">
        <v>0.1726782</v>
      </c>
      <c r="X1948">
        <v>0.97646769999999905</v>
      </c>
      <c r="Y1948">
        <v>-0.2184992</v>
      </c>
      <c r="Z1948">
        <v>1.1806530000000001E-2</v>
      </c>
      <c r="AA1948">
        <v>0.97576569999999996</v>
      </c>
      <c r="AB1948">
        <v>36</v>
      </c>
      <c r="AC1948">
        <v>15.237500000000001</v>
      </c>
      <c r="AD1948">
        <v>-1.11061464424999</v>
      </c>
      <c r="AE1948">
        <v>2.5846899999999899</v>
      </c>
      <c r="AF1948">
        <v>-3.4432786978354399</v>
      </c>
      <c r="AG1948">
        <v>-1.11061464424999</v>
      </c>
      <c r="AH1948">
        <v>14.985256371041</v>
      </c>
      <c r="AI1948">
        <v>94.131385961313995</v>
      </c>
      <c r="AJ1948">
        <v>102.940670469872</v>
      </c>
      <c r="AK1948">
        <v>15.415821145330399</v>
      </c>
    </row>
    <row r="1949" spans="1:37" x14ac:dyDescent="0.2">
      <c r="A1949" t="str">
        <f>"20200111150629278"</f>
        <v>20200111150629278</v>
      </c>
      <c r="B1949" t="str">
        <f>"1578726389268854"</f>
        <v>1578726389268854</v>
      </c>
      <c r="C1949" t="s">
        <v>37</v>
      </c>
      <c r="D1949">
        <v>5.8748009999999997</v>
      </c>
      <c r="E1949">
        <v>0.46354919999999999</v>
      </c>
      <c r="F1949" t="s">
        <v>88</v>
      </c>
      <c r="G1949">
        <v>-378.0591</v>
      </c>
      <c r="H1949" s="1">
        <v>-2.1337169999999998E-6</v>
      </c>
      <c r="I1949">
        <v>24.260750000000002</v>
      </c>
      <c r="J1949">
        <v>-393.90440000000001</v>
      </c>
      <c r="K1949">
        <v>1.110312</v>
      </c>
      <c r="L1949">
        <v>21.556850000000001</v>
      </c>
      <c r="M1949">
        <v>0.99861060000000001</v>
      </c>
      <c r="N1949">
        <v>0</v>
      </c>
      <c r="O1949">
        <v>-5.1153120000000003E-2</v>
      </c>
      <c r="P1949">
        <v>0.98391340000000005</v>
      </c>
      <c r="Q1949">
        <v>0.16364210000000001</v>
      </c>
      <c r="R1949">
        <v>7.1663920000000006E-2</v>
      </c>
      <c r="S1949">
        <v>3.046875</v>
      </c>
      <c r="T1949">
        <v>-0.2086973</v>
      </c>
      <c r="U1949">
        <v>0.50524899999999995</v>
      </c>
      <c r="V1949">
        <v>-0.1249343</v>
      </c>
      <c r="W1949">
        <v>0.17389309999999999</v>
      </c>
      <c r="X1949">
        <v>0.97680739999999999</v>
      </c>
      <c r="Y1949">
        <v>-0.21324099999999899</v>
      </c>
      <c r="Z1949">
        <v>1.0723999999999999E-2</v>
      </c>
      <c r="AA1949">
        <v>0.97694080000000005</v>
      </c>
      <c r="AB1949">
        <v>36</v>
      </c>
      <c r="AC1949">
        <v>15.8453</v>
      </c>
      <c r="AD1949">
        <v>-1.1103141337169999</v>
      </c>
      <c r="AE1949">
        <v>2.7039</v>
      </c>
      <c r="AF1949">
        <v>-3.49428916626497</v>
      </c>
      <c r="AG1949">
        <v>-1.1103141337169999</v>
      </c>
      <c r="AH1949">
        <v>15.611742044068</v>
      </c>
      <c r="AI1949">
        <v>93.970146151590598</v>
      </c>
      <c r="AJ1949">
        <v>102.61625738314901</v>
      </c>
      <c r="AK1949">
        <v>16.036500363343901</v>
      </c>
    </row>
    <row r="1950" spans="1:37" x14ac:dyDescent="0.2">
      <c r="A1950" t="str">
        <f>"20200111150629301"</f>
        <v>20200111150629301</v>
      </c>
      <c r="B1950" t="str">
        <f>"1578726389288374"</f>
        <v>1578726389288374</v>
      </c>
      <c r="C1950" t="s">
        <v>37</v>
      </c>
      <c r="D1950">
        <v>5.2386989999999898</v>
      </c>
      <c r="E1950">
        <v>0.48599419999999999</v>
      </c>
      <c r="F1950" t="s">
        <v>88</v>
      </c>
      <c r="G1950">
        <v>-377.61509999999998</v>
      </c>
      <c r="H1950" s="1">
        <v>-2.3457619999999999E-6</v>
      </c>
      <c r="I1950">
        <v>24.26886</v>
      </c>
      <c r="J1950">
        <v>-393.55720000000002</v>
      </c>
      <c r="K1950">
        <v>1.1100589999999999</v>
      </c>
      <c r="L1950">
        <v>21.54468</v>
      </c>
      <c r="M1950">
        <v>0.99890319999999899</v>
      </c>
      <c r="N1950">
        <v>0</v>
      </c>
      <c r="O1950">
        <v>-4.5086380000000002E-2</v>
      </c>
      <c r="P1950">
        <v>0.98372789999999999</v>
      </c>
      <c r="Q1950">
        <v>0.16398189999999899</v>
      </c>
      <c r="R1950">
        <v>7.3414129999999994E-2</v>
      </c>
      <c r="S1950">
        <v>3.0466310000000001</v>
      </c>
      <c r="T1950">
        <v>-0.2076643</v>
      </c>
      <c r="U1950">
        <v>0.50723269999999998</v>
      </c>
      <c r="V1950">
        <v>-0.120616899999999</v>
      </c>
      <c r="W1950">
        <v>0.17435980000000001</v>
      </c>
      <c r="X1950">
        <v>0.97726669999999904</v>
      </c>
      <c r="Y1950">
        <v>-0.2079675</v>
      </c>
      <c r="Z1950">
        <v>1.0082310000000001E-2</v>
      </c>
      <c r="AA1950">
        <v>0.97808379999999995</v>
      </c>
      <c r="AB1950">
        <v>36</v>
      </c>
      <c r="AC1950">
        <v>15.9421</v>
      </c>
      <c r="AD1950">
        <v>-1.1100613457619899</v>
      </c>
      <c r="AE1950">
        <v>2.72418</v>
      </c>
      <c r="AF1950">
        <v>-3.4241076634151502</v>
      </c>
      <c r="AG1950">
        <v>-1.1100613457619899</v>
      </c>
      <c r="AH1950">
        <v>15.7289551293286</v>
      </c>
      <c r="AI1950">
        <v>93.944830437672806</v>
      </c>
      <c r="AJ1950">
        <v>102.281362816688</v>
      </c>
      <c r="AK1950">
        <v>16.1355749492371</v>
      </c>
    </row>
    <row r="1951" spans="1:37" x14ac:dyDescent="0.2">
      <c r="A1951" t="str">
        <f>"20200111150629322"</f>
        <v>20200111150629322</v>
      </c>
      <c r="B1951" t="str">
        <f>"1578726389318631"</f>
        <v>1578726389318631</v>
      </c>
      <c r="C1951" t="s">
        <v>37</v>
      </c>
      <c r="D1951">
        <v>5.303026</v>
      </c>
      <c r="E1951">
        <v>0.49341269999999998</v>
      </c>
      <c r="F1951" t="s">
        <v>58</v>
      </c>
      <c r="G1951">
        <v>-240.32060000000001</v>
      </c>
      <c r="H1951">
        <v>15.89451</v>
      </c>
      <c r="I1951">
        <v>38.650019999999998</v>
      </c>
      <c r="J1951">
        <v>-393.21089999999998</v>
      </c>
      <c r="K1951">
        <v>1.109836</v>
      </c>
      <c r="L1951">
        <v>21.534520000000001</v>
      </c>
      <c r="M1951">
        <v>0.99915259999999995</v>
      </c>
      <c r="N1951">
        <v>0</v>
      </c>
      <c r="O1951">
        <v>-3.9180659999999999E-2</v>
      </c>
      <c r="P1951">
        <v>0.98368630000000001</v>
      </c>
      <c r="Q1951">
        <v>0.16414239999999999</v>
      </c>
      <c r="R1951">
        <v>7.3610399999999895E-2</v>
      </c>
      <c r="S1951">
        <v>2.9769290000000002</v>
      </c>
      <c r="T1951">
        <v>0.28721799999999997</v>
      </c>
      <c r="U1951">
        <v>0.33230589999999999</v>
      </c>
      <c r="V1951">
        <v>-0.114923</v>
      </c>
      <c r="W1951">
        <v>0.17466029999999999</v>
      </c>
      <c r="X1951">
        <v>0.97789899999999996</v>
      </c>
      <c r="Y1951">
        <v>-0.14893110000000001</v>
      </c>
      <c r="Z1951">
        <v>-1.090733E-2</v>
      </c>
      <c r="AA1951">
        <v>0.98878739999999998</v>
      </c>
      <c r="AB1951">
        <v>36</v>
      </c>
      <c r="AC1951">
        <v>152.890299999999</v>
      </c>
      <c r="AD1951">
        <v>14.784674000000001</v>
      </c>
      <c r="AE1951">
        <v>17.115499999999901</v>
      </c>
      <c r="AF1951">
        <v>-22.881852020057298</v>
      </c>
      <c r="AG1951">
        <v>14.784674000000001</v>
      </c>
      <c r="AH1951">
        <v>150.71036567090701</v>
      </c>
      <c r="AI1951">
        <v>84.460299313719702</v>
      </c>
      <c r="AJ1951">
        <v>98.633095171665701</v>
      </c>
      <c r="AK1951">
        <v>153.152799706087</v>
      </c>
    </row>
    <row r="1952" spans="1:37" x14ac:dyDescent="0.2">
      <c r="A1952" t="str">
        <f>"20200111150629345"</f>
        <v>20200111150629345</v>
      </c>
      <c r="B1952" t="str">
        <f>"1578726389338150"</f>
        <v>1578726389338150</v>
      </c>
      <c r="C1952" t="s">
        <v>37</v>
      </c>
      <c r="D1952">
        <v>5.3125730000000004</v>
      </c>
      <c r="E1952">
        <v>0.49618519999999999</v>
      </c>
      <c r="F1952" t="s">
        <v>88</v>
      </c>
      <c r="G1952">
        <v>-378.69589999999999</v>
      </c>
      <c r="H1952" s="1">
        <v>-1.45367E-6</v>
      </c>
      <c r="I1952">
        <v>22.83614</v>
      </c>
      <c r="J1952">
        <v>-392.84649999999999</v>
      </c>
      <c r="K1952">
        <v>1.1096349999999999</v>
      </c>
      <c r="L1952">
        <v>21.525939999999999</v>
      </c>
      <c r="M1952">
        <v>0.99937339999999997</v>
      </c>
      <c r="N1952">
        <v>0</v>
      </c>
      <c r="O1952">
        <v>-3.3087489999999997E-2</v>
      </c>
      <c r="P1952">
        <v>0.98350539999999997</v>
      </c>
      <c r="Q1952">
        <v>0.1650925</v>
      </c>
      <c r="R1952">
        <v>7.3904209999999998E-2</v>
      </c>
      <c r="S1952">
        <v>3.068298</v>
      </c>
      <c r="T1952">
        <v>-0.23460549999999999</v>
      </c>
      <c r="U1952">
        <v>0.27514650000000002</v>
      </c>
      <c r="V1952">
        <v>-0.1091573</v>
      </c>
      <c r="W1952">
        <v>0.17573639999999999</v>
      </c>
      <c r="X1952">
        <v>0.97836669999999903</v>
      </c>
      <c r="Y1952">
        <v>-0.1217758</v>
      </c>
      <c r="Z1952">
        <v>7.1614729999999998E-3</v>
      </c>
      <c r="AA1952">
        <v>0.99253179999999996</v>
      </c>
      <c r="AB1952">
        <v>36</v>
      </c>
      <c r="AC1952">
        <v>14.150599999999899</v>
      </c>
      <c r="AD1952">
        <v>-1.1096364536700001</v>
      </c>
      <c r="AE1952">
        <v>1.3102</v>
      </c>
      <c r="AF1952">
        <v>-1.7669545030642799</v>
      </c>
      <c r="AG1952">
        <v>-1.1096364536700001</v>
      </c>
      <c r="AH1952">
        <v>14.014054707583099</v>
      </c>
      <c r="AI1952">
        <v>94.491833154812198</v>
      </c>
      <c r="AJ1952">
        <v>97.186187150297002</v>
      </c>
      <c r="AK1952">
        <v>14.1685267625941</v>
      </c>
    </row>
    <row r="1953" spans="1:37" x14ac:dyDescent="0.2">
      <c r="A1953" t="str">
        <f>"20200111150629369"</f>
        <v>20200111150629369</v>
      </c>
      <c r="B1953" t="str">
        <f>"1578726389358647"</f>
        <v>1578726389358647</v>
      </c>
      <c r="C1953" t="s">
        <v>37</v>
      </c>
      <c r="D1953">
        <v>5.2419890000000002</v>
      </c>
      <c r="E1953">
        <v>0.49791839999999998</v>
      </c>
      <c r="F1953" t="s">
        <v>88</v>
      </c>
      <c r="G1953">
        <v>-379.26</v>
      </c>
      <c r="H1953" s="1">
        <v>-1.1374840000000001E-6</v>
      </c>
      <c r="I1953">
        <v>22.65015</v>
      </c>
      <c r="J1953">
        <v>-392.4778</v>
      </c>
      <c r="K1953">
        <v>1.1094599999999999</v>
      </c>
      <c r="L1953">
        <v>21.519410000000001</v>
      </c>
      <c r="M1953">
        <v>0.99955590000000005</v>
      </c>
      <c r="N1953">
        <v>0</v>
      </c>
      <c r="O1953">
        <v>-2.7027140000000002E-2</v>
      </c>
      <c r="P1953">
        <v>0.98327019999999998</v>
      </c>
      <c r="Q1953">
        <v>0.1662013</v>
      </c>
      <c r="R1953">
        <v>7.4545230000000004E-2</v>
      </c>
      <c r="S1953">
        <v>3.073334</v>
      </c>
      <c r="T1953">
        <v>-0.25100610000000001</v>
      </c>
      <c r="U1953">
        <v>0.254303</v>
      </c>
      <c r="V1953">
        <v>-0.1037809</v>
      </c>
      <c r="W1953">
        <v>0.17694969999999999</v>
      </c>
      <c r="X1953">
        <v>0.97873299999999996</v>
      </c>
      <c r="Y1953">
        <v>-0.1089204</v>
      </c>
      <c r="Z1953">
        <v>6.6335019999999899E-3</v>
      </c>
      <c r="AA1953">
        <v>0.99402829999999998</v>
      </c>
      <c r="AB1953">
        <v>36</v>
      </c>
      <c r="AC1953">
        <v>13.2178</v>
      </c>
      <c r="AD1953">
        <v>-1.109461137484</v>
      </c>
      <c r="AE1953">
        <v>1.1307399999999901</v>
      </c>
      <c r="AF1953">
        <v>-1.47726205710911</v>
      </c>
      <c r="AG1953">
        <v>-1.109461137484</v>
      </c>
      <c r="AH1953">
        <v>13.0908474680519</v>
      </c>
      <c r="AI1953">
        <v>94.813883639923105</v>
      </c>
      <c r="AJ1953">
        <v>96.438415637882599</v>
      </c>
      <c r="AK1953">
        <v>13.220570889063801</v>
      </c>
    </row>
    <row r="1954" spans="1:37" x14ac:dyDescent="0.2">
      <c r="A1954" t="str">
        <f>"20200111150629392"</f>
        <v>20200111150629392</v>
      </c>
      <c r="B1954" t="str">
        <f>"1578726389388903"</f>
        <v>1578726389388903</v>
      </c>
      <c r="C1954" t="s">
        <v>37</v>
      </c>
      <c r="D1954">
        <v>5.231395</v>
      </c>
      <c r="E1954">
        <v>0.50109250000000005</v>
      </c>
      <c r="F1954" t="s">
        <v>88</v>
      </c>
      <c r="G1954">
        <v>-377.9907</v>
      </c>
      <c r="H1954" s="1">
        <v>-1.7417779999999901E-6</v>
      </c>
      <c r="I1954">
        <v>22.66611</v>
      </c>
      <c r="J1954">
        <v>-392.10300000000001</v>
      </c>
      <c r="K1954">
        <v>1.1092979999999999</v>
      </c>
      <c r="L1954">
        <v>21.514890000000001</v>
      </c>
      <c r="M1954">
        <v>0.99970179999999997</v>
      </c>
      <c r="N1954">
        <v>0</v>
      </c>
      <c r="O1954">
        <v>-2.096518E-2</v>
      </c>
      <c r="P1954">
        <v>0.98317299999999996</v>
      </c>
      <c r="Q1954">
        <v>0.16674149999999999</v>
      </c>
      <c r="R1954">
        <v>7.4620259999999994E-2</v>
      </c>
      <c r="S1954">
        <v>3.0724490000000002</v>
      </c>
      <c r="T1954">
        <v>-0.23529610000000001</v>
      </c>
      <c r="U1954">
        <v>0.24319459999999901</v>
      </c>
      <c r="V1954">
        <v>-9.7837629999999995E-2</v>
      </c>
      <c r="W1954">
        <v>0.177594</v>
      </c>
      <c r="X1954">
        <v>0.9792284</v>
      </c>
      <c r="Y1954">
        <v>-9.9440139999999996E-2</v>
      </c>
      <c r="Z1954">
        <v>5.3973129999999999E-3</v>
      </c>
      <c r="AA1954">
        <v>0.99502889999999999</v>
      </c>
      <c r="AB1954">
        <v>36</v>
      </c>
      <c r="AC1954">
        <v>14.112299999999999</v>
      </c>
      <c r="AD1954">
        <v>-1.1092997417779999</v>
      </c>
      <c r="AE1954">
        <v>1.1512199999999899</v>
      </c>
      <c r="AF1954">
        <v>-1.4380305070635</v>
      </c>
      <c r="AG1954">
        <v>-1.1092997417779999</v>
      </c>
      <c r="AH1954">
        <v>13.9991346226362</v>
      </c>
      <c r="AI1954">
        <v>94.507066250198903</v>
      </c>
      <c r="AJ1954">
        <v>95.865012294053301</v>
      </c>
      <c r="AK1954">
        <v>14.116453089889299</v>
      </c>
    </row>
    <row r="1955" spans="1:37" x14ac:dyDescent="0.2">
      <c r="A1955" t="str">
        <f>"20200111150629415"</f>
        <v>20200111150629415</v>
      </c>
      <c r="B1955" t="str">
        <f>"1578726389408422"</f>
        <v>1578726389408422</v>
      </c>
      <c r="C1955" t="s">
        <v>37</v>
      </c>
      <c r="D1955">
        <v>5.1778000000000004</v>
      </c>
      <c r="E1955">
        <v>0.50279169999999995</v>
      </c>
      <c r="F1955" t="s">
        <v>88</v>
      </c>
      <c r="G1955">
        <v>-378.00299999999999</v>
      </c>
      <c r="H1955" s="1">
        <v>-1.6975329999999999E-6</v>
      </c>
      <c r="I1955">
        <v>22.52178</v>
      </c>
      <c r="J1955">
        <v>-391.74489999999997</v>
      </c>
      <c r="K1955">
        <v>1.109138</v>
      </c>
      <c r="L1955">
        <v>21.512820000000001</v>
      </c>
      <c r="M1955">
        <v>0.9998051</v>
      </c>
      <c r="N1955">
        <v>0</v>
      </c>
      <c r="O1955">
        <v>-1.529139E-2</v>
      </c>
      <c r="P1955">
        <v>0.98316719999999902</v>
      </c>
      <c r="Q1955">
        <v>0.16711139999999999</v>
      </c>
      <c r="R1955">
        <v>7.3865990000000006E-2</v>
      </c>
      <c r="S1955">
        <v>3.0756839999999999</v>
      </c>
      <c r="T1955">
        <v>-0.24197579999999999</v>
      </c>
      <c r="U1955">
        <v>0.219635</v>
      </c>
      <c r="V1955">
        <v>-9.1447920000000002E-2</v>
      </c>
      <c r="W1955">
        <v>0.17806929999999899</v>
      </c>
      <c r="X1955">
        <v>0.97975949999999901</v>
      </c>
      <c r="Y1955">
        <v>-8.6162180000000005E-2</v>
      </c>
      <c r="Z1955">
        <v>4.5797199999999998E-3</v>
      </c>
      <c r="AA1955">
        <v>0.99627060000000001</v>
      </c>
      <c r="AB1955">
        <v>36</v>
      </c>
      <c r="AC1955">
        <v>13.7418999999999</v>
      </c>
      <c r="AD1955">
        <v>-1.1091396975329999</v>
      </c>
      <c r="AE1955">
        <v>1.0089599999999901</v>
      </c>
      <c r="AF1955">
        <v>-1.21114350164839</v>
      </c>
      <c r="AG1955">
        <v>-1.1091396975329999</v>
      </c>
      <c r="AH1955">
        <v>13.636505191652599</v>
      </c>
      <c r="AI1955">
        <v>94.631824324325706</v>
      </c>
      <c r="AJ1955">
        <v>95.075479589616606</v>
      </c>
      <c r="AK1955">
        <v>13.7350403454885</v>
      </c>
    </row>
    <row r="1956" spans="1:37" x14ac:dyDescent="0.2">
      <c r="A1956" t="str">
        <f>"20200111150629436"</f>
        <v>20200111150629436</v>
      </c>
      <c r="B1956" t="str">
        <f>"1578726389428918"</f>
        <v>1578726389428918</v>
      </c>
      <c r="C1956" t="s">
        <v>37</v>
      </c>
      <c r="D1956">
        <v>5.2405290000000004</v>
      </c>
      <c r="E1956">
        <v>0.50389499999999998</v>
      </c>
      <c r="F1956" t="s">
        <v>88</v>
      </c>
      <c r="G1956">
        <v>-377.85879999999997</v>
      </c>
      <c r="H1956" s="1">
        <v>-1.7428999999999899E-6</v>
      </c>
      <c r="I1956">
        <v>22.436039999999998</v>
      </c>
      <c r="J1956">
        <v>-391.39319999999998</v>
      </c>
      <c r="K1956">
        <v>1.108959</v>
      </c>
      <c r="L1956">
        <v>21.512599999999999</v>
      </c>
      <c r="M1956">
        <v>0.99987399999999904</v>
      </c>
      <c r="N1956">
        <v>0</v>
      </c>
      <c r="O1956">
        <v>-9.8509879999999998E-3</v>
      </c>
      <c r="P1956">
        <v>0.98314069999999998</v>
      </c>
      <c r="Q1956">
        <v>0.1670748</v>
      </c>
      <c r="R1956">
        <v>7.4300580000000005E-2</v>
      </c>
      <c r="S1956">
        <v>3.0776979999999998</v>
      </c>
      <c r="T1956">
        <v>-0.245827299999999</v>
      </c>
      <c r="U1956">
        <v>0.20462040000000001</v>
      </c>
      <c r="V1956">
        <v>-8.6463970000000001E-2</v>
      </c>
      <c r="W1956">
        <v>0.17811479999999999</v>
      </c>
      <c r="X1956">
        <v>0.98020359999999995</v>
      </c>
      <c r="Y1956">
        <v>-7.589332E-2</v>
      </c>
      <c r="Z1956">
        <v>3.8076400000000002E-3</v>
      </c>
      <c r="AA1956">
        <v>0.99710869999999996</v>
      </c>
      <c r="AB1956">
        <v>36</v>
      </c>
      <c r="AC1956">
        <v>13.5344</v>
      </c>
      <c r="AD1956">
        <v>-1.1089607428999999</v>
      </c>
      <c r="AE1956">
        <v>0.92343999999999904</v>
      </c>
      <c r="AF1956">
        <v>-1.04971801443004</v>
      </c>
      <c r="AG1956">
        <v>-1.1089607428999999</v>
      </c>
      <c r="AH1956">
        <v>13.434867523572001</v>
      </c>
      <c r="AI1956">
        <v>94.704422192751395</v>
      </c>
      <c r="AJ1956">
        <v>94.467663436496593</v>
      </c>
      <c r="AK1956">
        <v>13.5213670616193</v>
      </c>
    </row>
    <row r="1957" spans="1:37" x14ac:dyDescent="0.2">
      <c r="A1957" t="str">
        <f>"20200111150629457"</f>
        <v>20200111150629457</v>
      </c>
      <c r="B1957" t="str">
        <f>"1578726389448438"</f>
        <v>1578726389448438</v>
      </c>
      <c r="C1957" t="s">
        <v>37</v>
      </c>
      <c r="D1957">
        <v>5.3042639999999999</v>
      </c>
      <c r="E1957">
        <v>0.50408649999999999</v>
      </c>
      <c r="F1957" t="s">
        <v>88</v>
      </c>
      <c r="G1957">
        <v>-378.05810000000002</v>
      </c>
      <c r="H1957" s="1">
        <v>-1.6311890000000001E-6</v>
      </c>
      <c r="I1957">
        <v>22.370370000000001</v>
      </c>
      <c r="J1957">
        <v>-391.06540000000001</v>
      </c>
      <c r="K1957">
        <v>1.108806</v>
      </c>
      <c r="L1957">
        <v>21.51398</v>
      </c>
      <c r="M1957">
        <v>0.99991090000000005</v>
      </c>
      <c r="N1957">
        <v>0</v>
      </c>
      <c r="O1957">
        <v>-4.8954089999999999E-3</v>
      </c>
      <c r="P1957">
        <v>0.98308799999999996</v>
      </c>
      <c r="Q1957">
        <v>0.1666164</v>
      </c>
      <c r="R1957">
        <v>7.6007660000000005E-2</v>
      </c>
      <c r="S1957">
        <v>3.0800169999999998</v>
      </c>
      <c r="T1957">
        <v>-0.25613829999999999</v>
      </c>
      <c r="U1957">
        <v>0.19812009999999999</v>
      </c>
      <c r="V1957">
        <v>-8.3225469999999996E-2</v>
      </c>
      <c r="W1957">
        <v>0.17771039999999999</v>
      </c>
      <c r="X1957">
        <v>0.98055729999999997</v>
      </c>
      <c r="Y1957">
        <v>-6.8823179999999998E-2</v>
      </c>
      <c r="Z1957">
        <v>3.2598850000000001E-3</v>
      </c>
      <c r="AA1957">
        <v>0.99762359999999894</v>
      </c>
      <c r="AB1957">
        <v>36</v>
      </c>
      <c r="AC1957">
        <v>13.007299999999899</v>
      </c>
      <c r="AD1957">
        <v>-1.1088076311890001</v>
      </c>
      <c r="AE1957">
        <v>0.85639000000000098</v>
      </c>
      <c r="AF1957">
        <v>-0.91345155858400695</v>
      </c>
      <c r="AG1957">
        <v>-1.1088076311890001</v>
      </c>
      <c r="AH1957">
        <v>12.9095463168147</v>
      </c>
      <c r="AI1957">
        <v>94.896932471571205</v>
      </c>
      <c r="AJ1957">
        <v>94.047379720313103</v>
      </c>
      <c r="AK1957">
        <v>12.9892353207896</v>
      </c>
    </row>
    <row r="1958" spans="1:37" x14ac:dyDescent="0.2">
      <c r="A1958" t="str">
        <f>"20200111150629479"</f>
        <v>20200111150629479</v>
      </c>
      <c r="B1958" t="str">
        <f>"1578726389468933"</f>
        <v>1578726389468933</v>
      </c>
      <c r="C1958" t="s">
        <v>37</v>
      </c>
      <c r="D1958">
        <v>5.2789250000000001</v>
      </c>
      <c r="E1958">
        <v>0.5046349</v>
      </c>
      <c r="F1958" t="s">
        <v>88</v>
      </c>
      <c r="G1958">
        <v>-377.15449999999998</v>
      </c>
      <c r="H1958" s="1">
        <v>-2.070794E-6</v>
      </c>
      <c r="I1958">
        <v>22.417179999999998</v>
      </c>
      <c r="J1958">
        <v>-390.70839999999998</v>
      </c>
      <c r="K1958">
        <v>1.108619</v>
      </c>
      <c r="L1958">
        <v>21.517150000000001</v>
      </c>
      <c r="M1958">
        <v>0.99992320000000001</v>
      </c>
      <c r="N1958">
        <v>0</v>
      </c>
      <c r="O1958">
        <v>3.2814169999999899E-4</v>
      </c>
      <c r="P1958">
        <v>0.983375</v>
      </c>
      <c r="Q1958">
        <v>0.16357249999999901</v>
      </c>
      <c r="R1958">
        <v>7.8854010000000002E-2</v>
      </c>
      <c r="S1958">
        <v>3.0776979999999998</v>
      </c>
      <c r="T1958">
        <v>-0.2453176</v>
      </c>
      <c r="U1958">
        <v>0.19982910000000001</v>
      </c>
      <c r="V1958">
        <v>-8.0816390000000002E-2</v>
      </c>
      <c r="W1958">
        <v>0.17471429999999999</v>
      </c>
      <c r="X1958">
        <v>0.98129690000000003</v>
      </c>
      <c r="Y1958">
        <v>-6.4262269999999996E-2</v>
      </c>
      <c r="Z1958">
        <v>2.528293E-3</v>
      </c>
      <c r="AA1958">
        <v>0.99792990000000004</v>
      </c>
      <c r="AB1958">
        <v>36</v>
      </c>
      <c r="AC1958">
        <v>13.553900000000001</v>
      </c>
      <c r="AD1958">
        <v>-1.1086210707940001</v>
      </c>
      <c r="AE1958">
        <v>0.900029999999997</v>
      </c>
      <c r="AF1958">
        <v>-0.88965618146467995</v>
      </c>
      <c r="AG1958">
        <v>-1.1086210707940001</v>
      </c>
      <c r="AH1958">
        <v>13.4645101148684</v>
      </c>
      <c r="AI1958">
        <v>94.696723079750498</v>
      </c>
      <c r="AJ1958">
        <v>93.7802755305635</v>
      </c>
      <c r="AK1958">
        <v>13.539333862240801</v>
      </c>
    </row>
    <row r="1959" spans="1:37" x14ac:dyDescent="0.2">
      <c r="A1959" t="str">
        <f>"20200111150629503"</f>
        <v>20200111150629503</v>
      </c>
      <c r="B1959" t="str">
        <f>"1578726389498213"</f>
        <v>1578726389498213</v>
      </c>
      <c r="C1959" t="s">
        <v>37</v>
      </c>
      <c r="D1959">
        <v>5.3860229999999998</v>
      </c>
      <c r="E1959">
        <v>0.50393160000000004</v>
      </c>
      <c r="F1959" t="s">
        <v>88</v>
      </c>
      <c r="G1959">
        <v>-377.24990000000003</v>
      </c>
      <c r="H1959" s="1">
        <v>-2.021974E-6</v>
      </c>
      <c r="I1959">
        <v>22.403169999999999</v>
      </c>
      <c r="J1959">
        <v>-390.3485</v>
      </c>
      <c r="K1959">
        <v>1.1084039999999999</v>
      </c>
      <c r="L1959">
        <v>21.522029999999901</v>
      </c>
      <c r="M1959">
        <v>0.99990919999999905</v>
      </c>
      <c r="N1959">
        <v>0</v>
      </c>
      <c r="O1959">
        <v>5.3541049999999996E-3</v>
      </c>
      <c r="P1959">
        <v>0.98377700000000001</v>
      </c>
      <c r="Q1959">
        <v>0.15998299999999999</v>
      </c>
      <c r="R1959">
        <v>8.1168939999999995E-2</v>
      </c>
      <c r="S1959">
        <v>3.07662999999999</v>
      </c>
      <c r="T1959">
        <v>-0.2534322</v>
      </c>
      <c r="U1959">
        <v>0.20254520000000001</v>
      </c>
      <c r="V1959">
        <v>-7.8049270000000004E-2</v>
      </c>
      <c r="W1959">
        <v>0.17118159999999999</v>
      </c>
      <c r="X1959">
        <v>0.98214319999999899</v>
      </c>
      <c r="Y1959">
        <v>-6.0162550000000002E-2</v>
      </c>
      <c r="Z1959">
        <v>2.0312149999999998E-3</v>
      </c>
      <c r="AA1959">
        <v>0.99818649999999998</v>
      </c>
      <c r="AB1959">
        <v>36</v>
      </c>
      <c r="AC1959">
        <v>13.0985999999999</v>
      </c>
      <c r="AD1959">
        <v>-1.108406021974</v>
      </c>
      <c r="AE1959">
        <v>0.88114000000000503</v>
      </c>
      <c r="AF1959">
        <v>-0.80525064189545803</v>
      </c>
      <c r="AG1959">
        <v>-1.108406021974</v>
      </c>
      <c r="AH1959">
        <v>13.010388100675</v>
      </c>
      <c r="AI1959">
        <v>94.860238536176496</v>
      </c>
      <c r="AJ1959">
        <v>93.541684115045896</v>
      </c>
      <c r="AK1959">
        <v>13.0823236099711</v>
      </c>
    </row>
    <row r="1960" spans="1:37" x14ac:dyDescent="0.2">
      <c r="A1960" t="str">
        <f>"20200111150629524"</f>
        <v>20200111150629524</v>
      </c>
      <c r="B1960" t="str">
        <f>"1578726389518710"</f>
        <v>1578726389518710</v>
      </c>
      <c r="C1960" t="s">
        <v>37</v>
      </c>
      <c r="D1960">
        <v>5.2945769999999897</v>
      </c>
      <c r="E1960">
        <v>0.50342229999999999</v>
      </c>
      <c r="F1960" t="s">
        <v>88</v>
      </c>
      <c r="G1960">
        <v>-377.7534</v>
      </c>
      <c r="H1960" s="1">
        <v>-1.7852319999999999E-6</v>
      </c>
      <c r="I1960">
        <v>22.40784</v>
      </c>
      <c r="J1960">
        <v>-389.99169999999998</v>
      </c>
      <c r="K1960">
        <v>1.108152</v>
      </c>
      <c r="L1960">
        <v>21.528289999999998</v>
      </c>
      <c r="M1960">
        <v>0.99987349999999997</v>
      </c>
      <c r="N1960">
        <v>0</v>
      </c>
      <c r="O1960">
        <v>1.0040149999999999E-2</v>
      </c>
      <c r="P1960">
        <v>0.98372119999999996</v>
      </c>
      <c r="Q1960">
        <v>0.1592488</v>
      </c>
      <c r="R1960">
        <v>8.3263379999999998E-2</v>
      </c>
      <c r="S1960">
        <v>3.075653</v>
      </c>
      <c r="T1960">
        <v>-0.27066609999999902</v>
      </c>
      <c r="U1960">
        <v>0.21630859999999999</v>
      </c>
      <c r="V1960">
        <v>-7.5417639999999994E-2</v>
      </c>
      <c r="W1960">
        <v>0.17049990000000001</v>
      </c>
      <c r="X1960">
        <v>0.98246730000000004</v>
      </c>
      <c r="Y1960">
        <v>-5.9944450000000003E-2</v>
      </c>
      <c r="Z1960">
        <v>1.7485700000000001E-3</v>
      </c>
      <c r="AA1960">
        <v>0.99820019999999998</v>
      </c>
      <c r="AB1960">
        <v>36</v>
      </c>
      <c r="AC1960">
        <v>12.238299999999899</v>
      </c>
      <c r="AD1960">
        <v>-1.108153785232</v>
      </c>
      <c r="AE1960">
        <v>0.87955000000000105</v>
      </c>
      <c r="AF1960">
        <v>-0.75050025269609899</v>
      </c>
      <c r="AG1960">
        <v>-1.108153785232</v>
      </c>
      <c r="AH1960">
        <v>12.1474302278379</v>
      </c>
      <c r="AI1960">
        <v>95.202535929117403</v>
      </c>
      <c r="AJ1960">
        <v>93.535390518697199</v>
      </c>
      <c r="AK1960">
        <v>12.2209376310172</v>
      </c>
    </row>
    <row r="1961" spans="1:37" x14ac:dyDescent="0.2">
      <c r="A1961" t="str">
        <f>"20200111150629547"</f>
        <v>20200111150629547</v>
      </c>
      <c r="B1961" t="str">
        <f>"1578726389538230"</f>
        <v>1578726389538230</v>
      </c>
      <c r="C1961" t="s">
        <v>37</v>
      </c>
      <c r="D1961">
        <v>5.267722</v>
      </c>
      <c r="E1961">
        <v>0.50390389999999996</v>
      </c>
      <c r="F1961" t="s">
        <v>88</v>
      </c>
      <c r="G1961">
        <v>-377.15839999999997</v>
      </c>
      <c r="H1961" s="1">
        <v>-2.0845140000000001E-6</v>
      </c>
      <c r="I1961">
        <v>22.4756</v>
      </c>
      <c r="J1961">
        <v>-389.62270000000001</v>
      </c>
      <c r="K1961">
        <v>1.107861</v>
      </c>
      <c r="L1961">
        <v>21.536189999999898</v>
      </c>
      <c r="M1961">
        <v>0.99981889999999995</v>
      </c>
      <c r="N1961">
        <v>0</v>
      </c>
      <c r="O1961">
        <v>1.4518369999999999E-2</v>
      </c>
      <c r="P1961">
        <v>0.98337319999999995</v>
      </c>
      <c r="Q1961">
        <v>0.16053699999999901</v>
      </c>
      <c r="R1961">
        <v>8.4882029999999997E-2</v>
      </c>
      <c r="S1961">
        <v>3.0734249999999999</v>
      </c>
      <c r="T1961">
        <v>-0.26538879999999998</v>
      </c>
      <c r="U1961">
        <v>0.22686770000000001</v>
      </c>
      <c r="V1961">
        <v>-7.2518529999999998E-2</v>
      </c>
      <c r="W1961">
        <v>0.17184349999999901</v>
      </c>
      <c r="X1961">
        <v>0.98245139999999997</v>
      </c>
      <c r="Y1961">
        <v>-5.8963349999999998E-2</v>
      </c>
      <c r="Z1961">
        <v>1.288038E-3</v>
      </c>
      <c r="AA1961">
        <v>0.99825929999999996</v>
      </c>
      <c r="AB1961">
        <v>36</v>
      </c>
      <c r="AC1961">
        <v>12.4643</v>
      </c>
      <c r="AD1961">
        <v>-1.1078630845140001</v>
      </c>
      <c r="AE1961">
        <v>0.93941000000000197</v>
      </c>
      <c r="AF1961">
        <v>-0.75242524393848098</v>
      </c>
      <c r="AG1961">
        <v>-1.1078630845140001</v>
      </c>
      <c r="AH1961">
        <v>12.3793790400316</v>
      </c>
      <c r="AI1961">
        <v>95.104555980100201</v>
      </c>
      <c r="AJ1961">
        <v>93.478189045041304</v>
      </c>
      <c r="AK1961">
        <v>12.4516075178476</v>
      </c>
    </row>
    <row r="1962" spans="1:37" x14ac:dyDescent="0.2">
      <c r="A1962" t="str">
        <f>"20200111150629569"</f>
        <v>20200111150629569</v>
      </c>
      <c r="B1962" t="str">
        <f>"1578726389558726"</f>
        <v>1578726389558726</v>
      </c>
      <c r="C1962" t="s">
        <v>37</v>
      </c>
      <c r="D1962">
        <v>5.3044589999999996</v>
      </c>
      <c r="E1962">
        <v>0.50434789999999996</v>
      </c>
      <c r="F1962" t="s">
        <v>88</v>
      </c>
      <c r="G1962">
        <v>-376.52120000000002</v>
      </c>
      <c r="H1962" s="1">
        <v>-2.392886E-6</v>
      </c>
      <c r="I1962">
        <v>22.502589999999898</v>
      </c>
      <c r="J1962">
        <v>-389.27929999999998</v>
      </c>
      <c r="K1962">
        <v>1.1075440000000001</v>
      </c>
      <c r="L1962">
        <v>21.544709999999998</v>
      </c>
      <c r="M1962">
        <v>0.99975729999999996</v>
      </c>
      <c r="N1962">
        <v>0</v>
      </c>
      <c r="O1962">
        <v>1.829221E-2</v>
      </c>
      <c r="P1962">
        <v>0.98310339999999996</v>
      </c>
      <c r="Q1962">
        <v>0.16275329999999999</v>
      </c>
      <c r="R1962">
        <v>8.3780740000000006E-2</v>
      </c>
      <c r="S1962">
        <v>3.0735779999999999</v>
      </c>
      <c r="T1962">
        <v>-0.25990249999999998</v>
      </c>
      <c r="U1962">
        <v>0.226715099999999</v>
      </c>
      <c r="V1962">
        <v>-6.759308E-2</v>
      </c>
      <c r="W1962">
        <v>0.17413770000000001</v>
      </c>
      <c r="X1962">
        <v>0.98239869999999996</v>
      </c>
      <c r="Y1962">
        <v>-5.517553E-2</v>
      </c>
      <c r="Z1962">
        <v>7.8378319999999999E-4</v>
      </c>
      <c r="AA1962">
        <v>0.99847640000000004</v>
      </c>
      <c r="AB1962">
        <v>36</v>
      </c>
      <c r="AC1962">
        <v>12.758099999999899</v>
      </c>
      <c r="AD1962">
        <v>-1.1075463928860001</v>
      </c>
      <c r="AE1962">
        <v>0.95787999999999496</v>
      </c>
      <c r="AF1962">
        <v>-0.71894056917225602</v>
      </c>
      <c r="AG1962">
        <v>-1.1075463928860001</v>
      </c>
      <c r="AH1962">
        <v>12.6784762765209</v>
      </c>
      <c r="AI1962">
        <v>94.984513852405996</v>
      </c>
      <c r="AJ1962">
        <v>93.245515694974301</v>
      </c>
      <c r="AK1962">
        <v>12.7470504528969</v>
      </c>
    </row>
    <row r="1963" spans="1:37" x14ac:dyDescent="0.2">
      <c r="A1963" t="str">
        <f>"20200111150629591"</f>
        <v>20200111150629591</v>
      </c>
      <c r="B1963" t="str">
        <f>"1578726389588982"</f>
        <v>1578726389588982</v>
      </c>
      <c r="C1963" t="s">
        <v>37</v>
      </c>
      <c r="D1963">
        <v>5.6023449999999997</v>
      </c>
      <c r="E1963">
        <v>0.50433649999999997</v>
      </c>
      <c r="F1963" t="s">
        <v>88</v>
      </c>
      <c r="G1963">
        <v>-376.02319999999997</v>
      </c>
      <c r="H1963" s="1">
        <v>-2.62493E-6</v>
      </c>
      <c r="I1963">
        <v>22.489840000000001</v>
      </c>
      <c r="J1963">
        <v>-388.92230000000001</v>
      </c>
      <c r="K1963">
        <v>1.1071789999999999</v>
      </c>
      <c r="L1963">
        <v>21.554469999999998</v>
      </c>
      <c r="M1963">
        <v>0.99968799999999902</v>
      </c>
      <c r="N1963">
        <v>0</v>
      </c>
      <c r="O1963">
        <v>2.177014E-2</v>
      </c>
      <c r="P1963">
        <v>0.98305560000000003</v>
      </c>
      <c r="Q1963">
        <v>0.16463239999999901</v>
      </c>
      <c r="R1963">
        <v>8.0612439999999994E-2</v>
      </c>
      <c r="S1963">
        <v>3.0754090000000001</v>
      </c>
      <c r="T1963">
        <v>-0.25694879999999998</v>
      </c>
      <c r="U1963">
        <v>0.21926880000000001</v>
      </c>
      <c r="V1963">
        <v>-6.0858420000000003E-2</v>
      </c>
      <c r="W1963">
        <v>0.1761142</v>
      </c>
      <c r="X1963">
        <v>0.98248670000000005</v>
      </c>
      <c r="Y1963">
        <v>-4.928805E-2</v>
      </c>
      <c r="Z1963">
        <v>2.39714E-4</v>
      </c>
      <c r="AA1963">
        <v>0.99878459999999902</v>
      </c>
      <c r="AB1963">
        <v>36</v>
      </c>
      <c r="AC1963">
        <v>12.899100000000001</v>
      </c>
      <c r="AD1963">
        <v>-1.1071816249299999</v>
      </c>
      <c r="AE1963">
        <v>0.93536999999999804</v>
      </c>
      <c r="AF1963">
        <v>-0.64955149035078297</v>
      </c>
      <c r="AG1963">
        <v>-1.1071816249299999</v>
      </c>
      <c r="AH1963">
        <v>12.822432296313901</v>
      </c>
      <c r="AI1963">
        <v>94.928802718143203</v>
      </c>
      <c r="AJ1963">
        <v>92.899978124373803</v>
      </c>
      <c r="AK1963">
        <v>12.8865254542392</v>
      </c>
    </row>
    <row r="1964" spans="1:37" x14ac:dyDescent="0.2">
      <c r="A1964" t="str">
        <f>"20200111150629613"</f>
        <v>20200111150629613</v>
      </c>
      <c r="B1964" t="str">
        <f>"1578726389608503"</f>
        <v>1578726389608503</v>
      </c>
      <c r="C1964" t="s">
        <v>37</v>
      </c>
      <c r="D1964">
        <v>5.4023260000000004</v>
      </c>
      <c r="E1964">
        <v>0.52937670000000003</v>
      </c>
      <c r="F1964" t="s">
        <v>88</v>
      </c>
      <c r="G1964">
        <v>-375.53960000000001</v>
      </c>
      <c r="H1964" s="1">
        <v>-2.8477459999999999E-6</v>
      </c>
      <c r="I1964">
        <v>22.468150000000001</v>
      </c>
      <c r="J1964">
        <v>-388.58229999999998</v>
      </c>
      <c r="K1964">
        <v>1.1067910000000001</v>
      </c>
      <c r="L1964">
        <v>21.564540000000001</v>
      </c>
      <c r="M1964">
        <v>0.99962289999999998</v>
      </c>
      <c r="N1964">
        <v>0</v>
      </c>
      <c r="O1964">
        <v>2.4593710000000001E-2</v>
      </c>
      <c r="P1964">
        <v>0.9831529</v>
      </c>
      <c r="Q1964">
        <v>0.165815299999999</v>
      </c>
      <c r="R1964">
        <v>7.6913910000000002E-2</v>
      </c>
      <c r="S1964">
        <v>3.077118</v>
      </c>
      <c r="T1964">
        <v>-0.25457729999999901</v>
      </c>
      <c r="U1964">
        <v>0.21008299999999999</v>
      </c>
      <c r="V1964">
        <v>-5.4216769999999997E-2</v>
      </c>
      <c r="W1964">
        <v>0.1773912</v>
      </c>
      <c r="X1964">
        <v>0.98264589999999996</v>
      </c>
      <c r="Y1964">
        <v>-4.3490830000000001E-2</v>
      </c>
      <c r="Z1964">
        <v>-2.3454570000000001E-4</v>
      </c>
      <c r="AA1964">
        <v>0.99905379999999999</v>
      </c>
      <c r="AB1964">
        <v>36</v>
      </c>
      <c r="AC1964">
        <v>13.0426999999999</v>
      </c>
      <c r="AD1964">
        <v>-1.106793847746</v>
      </c>
      <c r="AE1964">
        <v>0.90361000000000002</v>
      </c>
      <c r="AF1964">
        <v>-0.57839911888318996</v>
      </c>
      <c r="AG1964">
        <v>-1.106793847746</v>
      </c>
      <c r="AH1964">
        <v>12.9680411608065</v>
      </c>
      <c r="AI1964">
        <v>94.873425504371596</v>
      </c>
      <c r="AJ1964">
        <v>92.553807381845303</v>
      </c>
      <c r="AK1964">
        <v>13.0280324573784</v>
      </c>
    </row>
    <row r="1965" spans="1:37" x14ac:dyDescent="0.2">
      <c r="A1965" t="str">
        <f>"20200111150629635"</f>
        <v>20200111150629635</v>
      </c>
      <c r="B1965" t="str">
        <f>"1578726389628998"</f>
        <v>1578726389628998</v>
      </c>
      <c r="C1965" t="s">
        <v>37</v>
      </c>
      <c r="D1965">
        <v>5.2386850000000003</v>
      </c>
      <c r="E1965">
        <v>0.56005569999999905</v>
      </c>
      <c r="F1965" t="s">
        <v>53</v>
      </c>
      <c r="G1965">
        <v>0</v>
      </c>
      <c r="H1965">
        <v>0</v>
      </c>
      <c r="I1965">
        <v>0</v>
      </c>
      <c r="J1965">
        <v>-388.22949999999997</v>
      </c>
      <c r="K1965">
        <v>1.1063689999999999</v>
      </c>
      <c r="L1965">
        <v>21.575559999999999</v>
      </c>
      <c r="M1965">
        <v>0.99956100000000003</v>
      </c>
      <c r="N1965">
        <v>0</v>
      </c>
      <c r="O1965">
        <v>2.699791E-2</v>
      </c>
      <c r="P1965">
        <v>0.98330399999999996</v>
      </c>
      <c r="Q1965">
        <v>0.16603660000000001</v>
      </c>
      <c r="R1965">
        <v>7.4467939999999996E-2</v>
      </c>
      <c r="S1965">
        <v>2.904083</v>
      </c>
      <c r="T1965">
        <v>0.87514599999999898</v>
      </c>
      <c r="U1965">
        <v>-3.692627E-3</v>
      </c>
      <c r="V1965">
        <v>-4.9212850000000002E-2</v>
      </c>
      <c r="W1965">
        <v>0.17769670000000001</v>
      </c>
      <c r="X1965">
        <v>0.98285400000000001</v>
      </c>
      <c r="Y1965">
        <v>2.5920479999999999E-2</v>
      </c>
      <c r="Z1965">
        <v>1.1779649999999999E-2</v>
      </c>
      <c r="AA1965">
        <v>0.9995946</v>
      </c>
      <c r="AB1965">
        <v>36</v>
      </c>
      <c r="AC1965">
        <v>2.904083</v>
      </c>
      <c r="AD1965">
        <v>0.87514599999999898</v>
      </c>
      <c r="AE1965">
        <v>-3.692627E-3</v>
      </c>
      <c r="AF1965">
        <v>7.5266229309094698E-2</v>
      </c>
      <c r="AG1965">
        <v>0.87514599999999898</v>
      </c>
      <c r="AH1965">
        <v>2.6612515380629902</v>
      </c>
      <c r="AI1965">
        <v>71.803473741816305</v>
      </c>
      <c r="AJ1965">
        <v>88.379977259290996</v>
      </c>
      <c r="AK1965">
        <v>2.8024641434696398</v>
      </c>
    </row>
    <row r="1966" spans="1:37" x14ac:dyDescent="0.2">
      <c r="A1966" t="str">
        <f>"20200111150629659"</f>
        <v>20200111150629659</v>
      </c>
      <c r="B1966" t="str">
        <f>"1578726389648518"</f>
        <v>1578726389648518</v>
      </c>
      <c r="C1966" t="s">
        <v>37</v>
      </c>
      <c r="D1966">
        <v>5.2917459999999998</v>
      </c>
      <c r="E1966">
        <v>0.561334</v>
      </c>
      <c r="F1966" t="s">
        <v>38</v>
      </c>
      <c r="G1966">
        <v>-387.23930000000001</v>
      </c>
      <c r="H1966">
        <v>1.0125879999999901</v>
      </c>
      <c r="I1966">
        <v>21.495059999999999</v>
      </c>
      <c r="J1966">
        <v>-387.84789999999998</v>
      </c>
      <c r="K1966">
        <v>1.1059369999999999</v>
      </c>
      <c r="L1966">
        <v>21.587949999999999</v>
      </c>
      <c r="M1966">
        <v>0.99950149999999904</v>
      </c>
      <c r="N1966">
        <v>0</v>
      </c>
      <c r="O1966">
        <v>2.9111229999999998E-2</v>
      </c>
      <c r="P1966">
        <v>0.98332160000000002</v>
      </c>
      <c r="Q1966">
        <v>0.16605880000000001</v>
      </c>
      <c r="R1966">
        <v>7.4181339999999998E-2</v>
      </c>
      <c r="S1966">
        <v>3.1200559999999999</v>
      </c>
      <c r="T1966">
        <v>-0.29555870000000001</v>
      </c>
      <c r="U1966">
        <v>-0.2536621</v>
      </c>
      <c r="V1966">
        <v>-4.6652109999999997E-2</v>
      </c>
      <c r="W1966">
        <v>0.17778350000000001</v>
      </c>
      <c r="X1966">
        <v>0.98296309999999998</v>
      </c>
      <c r="Y1966">
        <v>0.1094001</v>
      </c>
      <c r="Z1966">
        <v>-7.9093589999999995E-3</v>
      </c>
      <c r="AA1966">
        <v>0.99396629999999997</v>
      </c>
      <c r="AB1966">
        <v>36</v>
      </c>
      <c r="AC1966">
        <v>0.60859999999996695</v>
      </c>
      <c r="AD1966">
        <v>-9.3349000000000307E-2</v>
      </c>
      <c r="AE1966">
        <v>-9.2889999999997003E-2</v>
      </c>
      <c r="AF1966">
        <v>0.108084101138035</v>
      </c>
      <c r="AG1966">
        <v>-9.3349000000000307E-2</v>
      </c>
      <c r="AH1966">
        <v>0.59202650867454099</v>
      </c>
      <c r="AI1966">
        <v>98.817069454783606</v>
      </c>
      <c r="AJ1966">
        <v>79.6536655161173</v>
      </c>
      <c r="AK1966">
        <v>0.60900869919335499</v>
      </c>
    </row>
    <row r="1967" spans="1:37" x14ac:dyDescent="0.2">
      <c r="A1967" t="str">
        <f>"20200111150629681"</f>
        <v>20200111150629681</v>
      </c>
      <c r="B1967" t="str">
        <f>"1578726389678215"</f>
        <v>1578726389678215</v>
      </c>
      <c r="C1967" t="s">
        <v>37</v>
      </c>
      <c r="D1967">
        <v>5.3073509999999997</v>
      </c>
      <c r="E1967">
        <v>0.56287069999999995</v>
      </c>
      <c r="F1967" t="s">
        <v>38</v>
      </c>
      <c r="G1967">
        <v>-386.91590000000002</v>
      </c>
      <c r="H1967">
        <v>1.0191250000000001</v>
      </c>
      <c r="I1967">
        <v>21.508220000000001</v>
      </c>
      <c r="J1967">
        <v>-387.49419999999998</v>
      </c>
      <c r="K1967">
        <v>1.105559</v>
      </c>
      <c r="L1967">
        <v>21.599789999999999</v>
      </c>
      <c r="M1967">
        <v>0.99945649999999997</v>
      </c>
      <c r="N1967">
        <v>0</v>
      </c>
      <c r="O1967">
        <v>3.0620620000000001E-2</v>
      </c>
      <c r="P1967">
        <v>0.98330280000000003</v>
      </c>
      <c r="Q1967">
        <v>0.16637859999999999</v>
      </c>
      <c r="R1967">
        <v>7.371308E-2</v>
      </c>
      <c r="S1967">
        <v>3.1200559999999999</v>
      </c>
      <c r="T1967">
        <v>-0.29065209999999903</v>
      </c>
      <c r="U1967">
        <v>-0.26614379999999999</v>
      </c>
      <c r="V1967">
        <v>-4.452942E-2</v>
      </c>
      <c r="W1967">
        <v>0.1781575</v>
      </c>
      <c r="X1967">
        <v>0.98299389999999998</v>
      </c>
      <c r="Y1967">
        <v>0.11483889999999999</v>
      </c>
      <c r="Z1967">
        <v>-8.1698129999999997E-3</v>
      </c>
      <c r="AA1967">
        <v>0.99335049999999903</v>
      </c>
      <c r="AB1967">
        <v>36</v>
      </c>
      <c r="AC1967">
        <v>0.57829999999995596</v>
      </c>
      <c r="AD1967">
        <v>-8.64339999999999E-2</v>
      </c>
      <c r="AE1967">
        <v>-9.1569999999997195E-2</v>
      </c>
      <c r="AF1967">
        <v>0.106906512837428</v>
      </c>
      <c r="AG1967">
        <v>-8.64339999999999E-2</v>
      </c>
      <c r="AH1967">
        <v>0.56295638398272696</v>
      </c>
      <c r="AI1967">
        <v>98.577835224898607</v>
      </c>
      <c r="AJ1967">
        <v>79.247455342610493</v>
      </c>
      <c r="AK1967">
        <v>0.57949955056925295</v>
      </c>
    </row>
    <row r="1968" spans="1:37" x14ac:dyDescent="0.2">
      <c r="A1968" t="str">
        <f>"20200111150629703"</f>
        <v>20200111150629703</v>
      </c>
      <c r="B1968" t="str">
        <f>"1578726389698712"</f>
        <v>1578726389698712</v>
      </c>
      <c r="C1968" t="s">
        <v>37</v>
      </c>
      <c r="D1968">
        <v>5.4344549999999998</v>
      </c>
      <c r="E1968">
        <v>0.56314219999999904</v>
      </c>
      <c r="F1968" t="s">
        <v>38</v>
      </c>
      <c r="G1968">
        <v>-386.59219999999999</v>
      </c>
      <c r="H1968">
        <v>1.0257449999999999</v>
      </c>
      <c r="I1968">
        <v>21.518629999999899</v>
      </c>
      <c r="J1968">
        <v>-387.13900000000001</v>
      </c>
      <c r="K1968">
        <v>1.1051690000000001</v>
      </c>
      <c r="L1968">
        <v>21.61185</v>
      </c>
      <c r="M1968">
        <v>0.99942389999999903</v>
      </c>
      <c r="N1968">
        <v>0</v>
      </c>
      <c r="O1968">
        <v>3.1667389999999997E-2</v>
      </c>
      <c r="P1968">
        <v>0.98333329999999997</v>
      </c>
      <c r="Q1968">
        <v>0.16609589999999999</v>
      </c>
      <c r="R1968">
        <v>7.3945479999999994E-2</v>
      </c>
      <c r="S1968">
        <v>3.118652</v>
      </c>
      <c r="T1968">
        <v>-0.27592359999999999</v>
      </c>
      <c r="U1968">
        <v>-0.2801208</v>
      </c>
      <c r="V1968">
        <v>-4.3554900000000001E-2</v>
      </c>
      <c r="W1968">
        <v>0.17792379999999999</v>
      </c>
      <c r="X1968">
        <v>0.98307990000000001</v>
      </c>
      <c r="Y1968">
        <v>0.1203693</v>
      </c>
      <c r="Z1968">
        <v>-8.0954389999999994E-3</v>
      </c>
      <c r="AA1968">
        <v>0.99269619999999903</v>
      </c>
      <c r="AB1968">
        <v>36</v>
      </c>
      <c r="AC1968">
        <v>0.54680000000001805</v>
      </c>
      <c r="AD1968">
        <v>-7.9423999999999897E-2</v>
      </c>
      <c r="AE1968">
        <v>-9.3220000000002301E-2</v>
      </c>
      <c r="AF1968">
        <v>0.108270458694018</v>
      </c>
      <c r="AG1968">
        <v>-7.9423999999999897E-2</v>
      </c>
      <c r="AH1968">
        <v>0.53265282195929597</v>
      </c>
      <c r="AI1968">
        <v>98.313346477325197</v>
      </c>
      <c r="AJ1968">
        <v>78.510224427403898</v>
      </c>
      <c r="AK1968">
        <v>0.54931747900737204</v>
      </c>
    </row>
    <row r="1969" spans="1:37" x14ac:dyDescent="0.2">
      <c r="A1969" t="str">
        <f>"20200111150629725"</f>
        <v>20200111150629725</v>
      </c>
      <c r="B1969" t="str">
        <f>"1578726389718232"</f>
        <v>1578726389718232</v>
      </c>
      <c r="C1969" t="s">
        <v>37</v>
      </c>
      <c r="D1969">
        <v>5.3103579999999999</v>
      </c>
      <c r="E1969">
        <v>0.56251110000000004</v>
      </c>
      <c r="F1969" t="s">
        <v>38</v>
      </c>
      <c r="G1969">
        <v>-386.27030000000002</v>
      </c>
      <c r="H1969">
        <v>1.028721</v>
      </c>
      <c r="I1969">
        <v>21.532729999999901</v>
      </c>
      <c r="J1969">
        <v>-386.79480000000001</v>
      </c>
      <c r="K1969">
        <v>1.1047709999999999</v>
      </c>
      <c r="L1969">
        <v>21.623470000000001</v>
      </c>
      <c r="M1969">
        <v>0.99940599999999902</v>
      </c>
      <c r="N1969">
        <v>0</v>
      </c>
      <c r="O1969">
        <v>3.222444E-2</v>
      </c>
      <c r="P1969">
        <v>0.98357950000000005</v>
      </c>
      <c r="Q1969">
        <v>0.1653124</v>
      </c>
      <c r="R1969">
        <v>7.2410899999999903E-2</v>
      </c>
      <c r="S1969">
        <v>3.1183779999999999</v>
      </c>
      <c r="T1969">
        <v>-0.27437610000000001</v>
      </c>
      <c r="U1969">
        <v>-0.28164670000000003</v>
      </c>
      <c r="V1969">
        <v>-4.128391E-2</v>
      </c>
      <c r="W1969">
        <v>0.1772021</v>
      </c>
      <c r="X1969">
        <v>0.98330819999999997</v>
      </c>
      <c r="Y1969">
        <v>0.12141250000000001</v>
      </c>
      <c r="Z1969">
        <v>-8.1452989999999999E-3</v>
      </c>
      <c r="AA1969">
        <v>0.99256869999999997</v>
      </c>
      <c r="AB1969">
        <v>36</v>
      </c>
      <c r="AC1969">
        <v>0.52449999999998898</v>
      </c>
      <c r="AD1969">
        <v>-7.6049999999999895E-2</v>
      </c>
      <c r="AE1969">
        <v>-9.0740000000003804E-2</v>
      </c>
      <c r="AF1969">
        <v>0.10544346559076199</v>
      </c>
      <c r="AG1969">
        <v>-7.6049999999999895E-2</v>
      </c>
      <c r="AH1969">
        <v>0.51087497973435902</v>
      </c>
      <c r="AI1969">
        <v>98.294675776771101</v>
      </c>
      <c r="AJ1969">
        <v>78.338037548833796</v>
      </c>
      <c r="AK1969">
        <v>0.52715763473023103</v>
      </c>
    </row>
    <row r="1970" spans="1:37" x14ac:dyDescent="0.2">
      <c r="A1970" t="str">
        <f>"20200111150629747"</f>
        <v>20200111150629747</v>
      </c>
      <c r="B1970" t="str">
        <f>"1578726389738728"</f>
        <v>1578726389738728</v>
      </c>
      <c r="C1970" t="s">
        <v>37</v>
      </c>
      <c r="D1970">
        <v>5.3074719999999997</v>
      </c>
      <c r="E1970">
        <v>0.56308199999999997</v>
      </c>
      <c r="F1970" t="s">
        <v>38</v>
      </c>
      <c r="G1970">
        <v>-385.94900000000001</v>
      </c>
      <c r="H1970">
        <v>1.0303359999999999</v>
      </c>
      <c r="I1970">
        <v>21.546679999999999</v>
      </c>
      <c r="J1970">
        <v>-386.42349999999999</v>
      </c>
      <c r="K1970">
        <v>1.1043049999999901</v>
      </c>
      <c r="L1970">
        <v>21.635829999999999</v>
      </c>
      <c r="M1970">
        <v>0.99940300000000004</v>
      </c>
      <c r="N1970">
        <v>0</v>
      </c>
      <c r="O1970">
        <v>3.2312470000000003E-2</v>
      </c>
      <c r="P1970">
        <v>0.98352189999999995</v>
      </c>
      <c r="Q1970">
        <v>0.166299</v>
      </c>
      <c r="R1970">
        <v>7.0920590000000006E-2</v>
      </c>
      <c r="S1970">
        <v>3.1170040000000001</v>
      </c>
      <c r="T1970">
        <v>-0.27429749999999897</v>
      </c>
      <c r="U1970">
        <v>-0.28292849999999897</v>
      </c>
      <c r="V1970">
        <v>-3.950381E-2</v>
      </c>
      <c r="W1970">
        <v>0.17826029999999901</v>
      </c>
      <c r="X1970">
        <v>0.98319009999999996</v>
      </c>
      <c r="Y1970">
        <v>0.12194140000000001</v>
      </c>
      <c r="Z1970">
        <v>-8.1772870000000001E-3</v>
      </c>
      <c r="AA1970">
        <v>0.99250360000000004</v>
      </c>
      <c r="AB1970">
        <v>36</v>
      </c>
      <c r="AC1970">
        <v>0.474499999999977</v>
      </c>
      <c r="AD1970">
        <v>-7.3968999999999702E-2</v>
      </c>
      <c r="AE1970">
        <v>-8.9149999999999993E-2</v>
      </c>
      <c r="AF1970">
        <v>0.10204167166735301</v>
      </c>
      <c r="AG1970">
        <v>-7.3968999999999702E-2</v>
      </c>
      <c r="AH1970">
        <v>0.46056076084708503</v>
      </c>
      <c r="AI1970">
        <v>98.911633394101699</v>
      </c>
      <c r="AJ1970">
        <v>77.507374583611593</v>
      </c>
      <c r="AK1970">
        <v>0.477493591736804</v>
      </c>
    </row>
    <row r="1971" spans="1:37" x14ac:dyDescent="0.2">
      <c r="A1971" t="str">
        <f>"20200111150629770"</f>
        <v>20200111150629770</v>
      </c>
      <c r="B1971" t="str">
        <f>"1578726389758247"</f>
        <v>1578726389758247</v>
      </c>
      <c r="C1971" t="s">
        <v>37</v>
      </c>
      <c r="D1971">
        <v>5.3716559999999998</v>
      </c>
      <c r="E1971">
        <v>0.56276110000000001</v>
      </c>
      <c r="F1971" t="s">
        <v>38</v>
      </c>
      <c r="G1971">
        <v>-385.6259</v>
      </c>
      <c r="H1971">
        <v>1.035417</v>
      </c>
      <c r="I1971">
        <v>21.560210000000001</v>
      </c>
      <c r="J1971">
        <v>-386.06580000000002</v>
      </c>
      <c r="K1971">
        <v>1.1038219999999901</v>
      </c>
      <c r="L1971">
        <v>21.64725</v>
      </c>
      <c r="M1971">
        <v>0.99941669999999905</v>
      </c>
      <c r="N1971">
        <v>0</v>
      </c>
      <c r="O1971">
        <v>3.1867569999999998E-2</v>
      </c>
      <c r="P1971">
        <v>0.98346919999999904</v>
      </c>
      <c r="Q1971">
        <v>0.16706799999999999</v>
      </c>
      <c r="R1971">
        <v>6.9831740000000003E-2</v>
      </c>
      <c r="S1971">
        <v>3.1169739999999999</v>
      </c>
      <c r="T1971">
        <v>-0.26914389999999999</v>
      </c>
      <c r="U1971">
        <v>-0.29421999999999998</v>
      </c>
      <c r="V1971">
        <v>-3.8637940000000003E-2</v>
      </c>
      <c r="W1971">
        <v>0.1791066</v>
      </c>
      <c r="X1971">
        <v>0.98307069999999996</v>
      </c>
      <c r="Y1971">
        <v>0.1250771</v>
      </c>
      <c r="Z1971">
        <v>-8.1195650000000005E-3</v>
      </c>
      <c r="AA1971">
        <v>0.99211380000000005</v>
      </c>
      <c r="AB1971">
        <v>36</v>
      </c>
      <c r="AC1971">
        <v>0.439900000000022</v>
      </c>
      <c r="AD1971">
        <v>-6.8404999999999799E-2</v>
      </c>
      <c r="AE1971">
        <v>-8.7039999999998202E-2</v>
      </c>
      <c r="AF1971">
        <v>9.8718248533615396E-2</v>
      </c>
      <c r="AG1971">
        <v>-6.8404999999999799E-2</v>
      </c>
      <c r="AH1971">
        <v>0.42696720701332902</v>
      </c>
      <c r="AI1971">
        <v>98.871907246163403</v>
      </c>
      <c r="AJ1971">
        <v>76.981515131931801</v>
      </c>
      <c r="AK1971">
        <v>0.443537520941924</v>
      </c>
    </row>
    <row r="1972" spans="1:37" x14ac:dyDescent="0.2">
      <c r="A1972" t="str">
        <f>"20200111150629793"</f>
        <v>20200111150629793</v>
      </c>
      <c r="B1972" t="str">
        <f>"1578726389788503"</f>
        <v>1578726389788503</v>
      </c>
      <c r="C1972" t="s">
        <v>37</v>
      </c>
      <c r="D1972">
        <v>5.3253219999999999</v>
      </c>
      <c r="E1972">
        <v>0.56313550000000001</v>
      </c>
      <c r="F1972" t="s">
        <v>38</v>
      </c>
      <c r="G1972">
        <v>-385.30309999999997</v>
      </c>
      <c r="H1972">
        <v>1.0397809999999901</v>
      </c>
      <c r="I1972">
        <v>21.574560000000002</v>
      </c>
      <c r="J1972">
        <v>-385.70359999999999</v>
      </c>
      <c r="K1972">
        <v>1.1032979999999999</v>
      </c>
      <c r="L1972">
        <v>21.658110000000001</v>
      </c>
      <c r="M1972">
        <v>0.999448</v>
      </c>
      <c r="N1972">
        <v>0</v>
      </c>
      <c r="O1972">
        <v>3.0859439999999998E-2</v>
      </c>
      <c r="P1972">
        <v>0.98353519999999905</v>
      </c>
      <c r="Q1972">
        <v>0.16744970000000001</v>
      </c>
      <c r="R1972">
        <v>6.796394E-2</v>
      </c>
      <c r="S1972">
        <v>3.115936</v>
      </c>
      <c r="T1972">
        <v>-0.261631</v>
      </c>
      <c r="U1972">
        <v>-0.2967224</v>
      </c>
      <c r="V1972">
        <v>-3.7527900000000003E-2</v>
      </c>
      <c r="W1972">
        <v>0.17957619999999999</v>
      </c>
      <c r="X1972">
        <v>0.98302800000000001</v>
      </c>
      <c r="Y1972">
        <v>0.1249325</v>
      </c>
      <c r="Z1972">
        <v>-7.8056419999999998E-3</v>
      </c>
      <c r="AA1972">
        <v>0.99213449999999903</v>
      </c>
      <c r="AB1972">
        <v>36</v>
      </c>
      <c r="AC1972">
        <v>0.40050000000002201</v>
      </c>
      <c r="AD1972">
        <v>-6.3517000000000004E-2</v>
      </c>
      <c r="AE1972">
        <v>-8.3549999999998903E-2</v>
      </c>
      <c r="AF1972">
        <v>9.3613950273015695E-2</v>
      </c>
      <c r="AG1972">
        <v>-6.3517000000000004E-2</v>
      </c>
      <c r="AH1972">
        <v>0.38836978198835898</v>
      </c>
      <c r="AI1972">
        <v>99.034068635598899</v>
      </c>
      <c r="AJ1972">
        <v>76.447756756103701</v>
      </c>
      <c r="AK1972">
        <v>0.40451090039256599</v>
      </c>
    </row>
    <row r="1973" spans="1:37" x14ac:dyDescent="0.2">
      <c r="A1973" t="str">
        <f>"20200111150629813"</f>
        <v>20200111150629813</v>
      </c>
      <c r="B1973" t="str">
        <f>"1578726389809000"</f>
        <v>1578726389809000</v>
      </c>
      <c r="C1973" t="s">
        <v>37</v>
      </c>
      <c r="D1973">
        <v>5.3063549999999999</v>
      </c>
      <c r="E1973">
        <v>0.56342869999999901</v>
      </c>
      <c r="F1973" t="s">
        <v>38</v>
      </c>
      <c r="G1973">
        <v>-384.6694</v>
      </c>
      <c r="H1973">
        <v>1.019636</v>
      </c>
      <c r="I1973">
        <v>21.556100000000001</v>
      </c>
      <c r="J1973">
        <v>-385.3691</v>
      </c>
      <c r="K1973">
        <v>1.1028039999999999</v>
      </c>
      <c r="L1973">
        <v>21.66724</v>
      </c>
      <c r="M1973">
        <v>0.99949179999999904</v>
      </c>
      <c r="N1973">
        <v>0</v>
      </c>
      <c r="O1973">
        <v>2.9391529999999999E-2</v>
      </c>
      <c r="P1973">
        <v>0.98365539999999996</v>
      </c>
      <c r="Q1973">
        <v>0.1678219</v>
      </c>
      <c r="R1973">
        <v>6.5257300000000004E-2</v>
      </c>
      <c r="S1973">
        <v>3.1143190000000001</v>
      </c>
      <c r="T1973">
        <v>-0.2518899</v>
      </c>
      <c r="U1973">
        <v>-0.30688480000000001</v>
      </c>
      <c r="V1973">
        <v>-3.6043560000000002E-2</v>
      </c>
      <c r="W1973">
        <v>0.18003359999999999</v>
      </c>
      <c r="X1973">
        <v>0.98299989999999904</v>
      </c>
      <c r="Y1973">
        <v>0.1267693</v>
      </c>
      <c r="Z1973">
        <v>-7.4743839999999997E-3</v>
      </c>
      <c r="AA1973">
        <v>0.99190409999999996</v>
      </c>
      <c r="AB1973">
        <v>36</v>
      </c>
      <c r="AC1973">
        <v>0.69970000000000698</v>
      </c>
      <c r="AD1973">
        <v>-8.3168000000000103E-2</v>
      </c>
      <c r="AE1973">
        <v>-0.111139999999998</v>
      </c>
      <c r="AF1973">
        <v>0.129869125306151</v>
      </c>
      <c r="AG1973">
        <v>-8.3168000000000103E-2</v>
      </c>
      <c r="AH1973">
        <v>0.68666815828414796</v>
      </c>
      <c r="AI1973">
        <v>96.786760186449001</v>
      </c>
      <c r="AJ1973">
        <v>79.290185229066196</v>
      </c>
      <c r="AK1973">
        <v>0.70377273713403299</v>
      </c>
    </row>
    <row r="1974" spans="1:37" x14ac:dyDescent="0.2">
      <c r="A1974" t="str">
        <f>"20200111150629837"</f>
        <v>20200111150629837</v>
      </c>
      <c r="B1974" t="str">
        <f>"1578726389828519"</f>
        <v>1578726389828519</v>
      </c>
      <c r="C1974" t="s">
        <v>37</v>
      </c>
      <c r="D1974">
        <v>5.3607420000000001</v>
      </c>
      <c r="E1974">
        <v>0.56399529999999998</v>
      </c>
      <c r="F1974" t="s">
        <v>38</v>
      </c>
      <c r="G1974">
        <v>-384.34750000000003</v>
      </c>
      <c r="H1974">
        <v>1.021253</v>
      </c>
      <c r="I1974">
        <v>21.562439999999999</v>
      </c>
      <c r="J1974">
        <v>-384.99250000000001</v>
      </c>
      <c r="K1974">
        <v>1.102293</v>
      </c>
      <c r="L1974">
        <v>21.676389999999898</v>
      </c>
      <c r="M1974">
        <v>0.999552199999999</v>
      </c>
      <c r="N1974">
        <v>0</v>
      </c>
      <c r="O1974">
        <v>2.723507E-2</v>
      </c>
      <c r="P1974">
        <v>0.98375869999999999</v>
      </c>
      <c r="Q1974">
        <v>0.1686598</v>
      </c>
      <c r="R1974">
        <v>6.1423650000000003E-2</v>
      </c>
      <c r="S1974">
        <v>3.1133419999999998</v>
      </c>
      <c r="T1974">
        <v>-0.24831599999999901</v>
      </c>
      <c r="U1974">
        <v>-0.3182373</v>
      </c>
      <c r="V1974">
        <v>-3.410316E-2</v>
      </c>
      <c r="W1974">
        <v>0.18095749999999999</v>
      </c>
      <c r="X1974">
        <v>0.98289950000000004</v>
      </c>
      <c r="Y1974">
        <v>0.1282566</v>
      </c>
      <c r="Z1974">
        <v>-7.25737E-3</v>
      </c>
      <c r="AA1974">
        <v>0.99171450000000005</v>
      </c>
      <c r="AB1974">
        <v>36</v>
      </c>
      <c r="AC1974">
        <v>0.64499999999998103</v>
      </c>
      <c r="AD1974">
        <v>-8.1040000000000001E-2</v>
      </c>
      <c r="AE1974">
        <v>-0.113949999999999</v>
      </c>
      <c r="AF1974">
        <v>0.12949334903516699</v>
      </c>
      <c r="AG1974">
        <v>-8.1040000000000001E-2</v>
      </c>
      <c r="AH1974">
        <v>0.63198234589658797</v>
      </c>
      <c r="AI1974">
        <v>97.160074519924606</v>
      </c>
      <c r="AJ1974">
        <v>78.420357912003297</v>
      </c>
      <c r="AK1974">
        <v>0.650182816267316</v>
      </c>
    </row>
    <row r="1975" spans="1:37" x14ac:dyDescent="0.2">
      <c r="A1975" t="str">
        <f>"20200111150629859"</f>
        <v>20200111150629859</v>
      </c>
      <c r="B1975" t="str">
        <f>"1578726389849016"</f>
        <v>1578726389849016</v>
      </c>
      <c r="C1975" t="s">
        <v>37</v>
      </c>
      <c r="D1975">
        <v>5.2558400000000001</v>
      </c>
      <c r="E1975">
        <v>0.56445100000000004</v>
      </c>
      <c r="F1975" t="s">
        <v>38</v>
      </c>
      <c r="G1975">
        <v>-384.0247</v>
      </c>
      <c r="H1975">
        <v>1.025228</v>
      </c>
      <c r="I1975">
        <v>21.572039999999902</v>
      </c>
      <c r="J1975">
        <v>-384.62689999999998</v>
      </c>
      <c r="K1975">
        <v>1.1018459999999899</v>
      </c>
      <c r="L1975">
        <v>21.684049999999999</v>
      </c>
      <c r="M1975">
        <v>0.99961789999999995</v>
      </c>
      <c r="N1975">
        <v>0</v>
      </c>
      <c r="O1975">
        <v>2.4688180000000001E-2</v>
      </c>
      <c r="P1975">
        <v>0.98388759999999997</v>
      </c>
      <c r="Q1975">
        <v>0.16945270000000001</v>
      </c>
      <c r="R1975">
        <v>5.7020109999999999E-2</v>
      </c>
      <c r="S1975">
        <v>3.1129150000000001</v>
      </c>
      <c r="T1975">
        <v>-0.2477538</v>
      </c>
      <c r="U1975">
        <v>-0.33486939999999998</v>
      </c>
      <c r="V1975">
        <v>-3.2003829999999997E-2</v>
      </c>
      <c r="W1975">
        <v>0.18182129999999999</v>
      </c>
      <c r="X1975">
        <v>0.98281070000000004</v>
      </c>
      <c r="Y1975">
        <v>0.13098599999999999</v>
      </c>
      <c r="Z1975">
        <v>-7.1462330000000001E-3</v>
      </c>
      <c r="AA1975">
        <v>0.99135849999999903</v>
      </c>
      <c r="AB1975">
        <v>36</v>
      </c>
      <c r="AC1975">
        <v>0.60219999999998197</v>
      </c>
      <c r="AD1975">
        <v>-7.6617999999999797E-2</v>
      </c>
      <c r="AE1975">
        <v>-0.112010000000001</v>
      </c>
      <c r="AF1975">
        <v>0.12489016748055499</v>
      </c>
      <c r="AG1975">
        <v>-7.6617999999999797E-2</v>
      </c>
      <c r="AH1975">
        <v>0.59001931919334605</v>
      </c>
      <c r="AI1975">
        <v>97.240180120460806</v>
      </c>
      <c r="AJ1975">
        <v>78.048536883747602</v>
      </c>
      <c r="AK1975">
        <v>0.60793969181054497</v>
      </c>
    </row>
    <row r="1976" spans="1:37" x14ac:dyDescent="0.2">
      <c r="A1976" t="str">
        <f>"20200111150629881"</f>
        <v>20200111150629881</v>
      </c>
      <c r="B1976" t="str">
        <f>"1578726389878905"</f>
        <v>1578726389878905</v>
      </c>
      <c r="C1976" t="s">
        <v>37</v>
      </c>
      <c r="D1976">
        <v>5.0756870000000003</v>
      </c>
      <c r="E1976">
        <v>0.56483109999999903</v>
      </c>
      <c r="F1976" t="s">
        <v>38</v>
      </c>
      <c r="G1976">
        <v>-383.70240000000001</v>
      </c>
      <c r="H1976">
        <v>1.0277419999999999</v>
      </c>
      <c r="I1976">
        <v>21.579059999999998</v>
      </c>
      <c r="J1976">
        <v>-384.27449999999999</v>
      </c>
      <c r="K1976">
        <v>1.1014520000000001</v>
      </c>
      <c r="L1976">
        <v>21.690249999999999</v>
      </c>
      <c r="M1976">
        <v>0.99968369999999995</v>
      </c>
      <c r="N1976">
        <v>0</v>
      </c>
      <c r="O1976">
        <v>2.1842879999999999E-2</v>
      </c>
      <c r="P1976">
        <v>0.98412659999999996</v>
      </c>
      <c r="Q1976">
        <v>0.16964849999999901</v>
      </c>
      <c r="R1976">
        <v>5.2101990000000001E-2</v>
      </c>
      <c r="S1976">
        <v>3.112457</v>
      </c>
      <c r="T1976">
        <v>-0.24920809999999999</v>
      </c>
      <c r="U1976">
        <v>-0.35211179999999997</v>
      </c>
      <c r="V1976">
        <v>-2.970834E-2</v>
      </c>
      <c r="W1976">
        <v>0.1820735</v>
      </c>
      <c r="X1976">
        <v>0.98283600000000004</v>
      </c>
      <c r="Y1976">
        <v>0.13360060000000001</v>
      </c>
      <c r="Z1976">
        <v>-7.0642839999999997E-3</v>
      </c>
      <c r="AA1976">
        <v>0.9910101</v>
      </c>
      <c r="AB1976">
        <v>36</v>
      </c>
      <c r="AC1976">
        <v>0.57209999999997696</v>
      </c>
      <c r="AD1976">
        <v>-7.3710000000000095E-2</v>
      </c>
      <c r="AE1976">
        <v>-0.111189999999997</v>
      </c>
      <c r="AF1976">
        <v>0.12171383846877799</v>
      </c>
      <c r="AG1976">
        <v>-7.3710000000000095E-2</v>
      </c>
      <c r="AH1976">
        <v>0.56056784737220899</v>
      </c>
      <c r="AI1976">
        <v>97.322246532194796</v>
      </c>
      <c r="AJ1976">
        <v>77.749743490878501</v>
      </c>
      <c r="AK1976">
        <v>0.57834568735516301</v>
      </c>
    </row>
    <row r="1977" spans="1:37" x14ac:dyDescent="0.2">
      <c r="A1977" t="str">
        <f>"20200111150629903"</f>
        <v>20200111150629903</v>
      </c>
      <c r="B1977" t="str">
        <f>"1578726389898425"</f>
        <v>1578726389898425</v>
      </c>
      <c r="C1977" t="s">
        <v>37</v>
      </c>
      <c r="D1977">
        <v>5.5019200000000001</v>
      </c>
      <c r="E1977">
        <v>0.56425630000000004</v>
      </c>
      <c r="F1977" t="s">
        <v>38</v>
      </c>
      <c r="G1977">
        <v>-383.37990000000002</v>
      </c>
      <c r="H1977">
        <v>1.0305599999999999</v>
      </c>
      <c r="I1977">
        <v>21.583729999999999</v>
      </c>
      <c r="J1977">
        <v>-383.93490000000003</v>
      </c>
      <c r="K1977">
        <v>1.101097</v>
      </c>
      <c r="L1977">
        <v>21.694949999999999</v>
      </c>
      <c r="M1977">
        <v>0.999745199999999</v>
      </c>
      <c r="N1977">
        <v>0</v>
      </c>
      <c r="O1977">
        <v>1.8783290000000001E-2</v>
      </c>
      <c r="P1977">
        <v>0.98444319999999896</v>
      </c>
      <c r="Q1977">
        <v>0.16913629999999999</v>
      </c>
      <c r="R1977">
        <v>4.7590279999999999E-2</v>
      </c>
      <c r="S1977">
        <v>3.1104129999999999</v>
      </c>
      <c r="T1977">
        <v>-0.24631349999999999</v>
      </c>
      <c r="U1977">
        <v>-0.3695679</v>
      </c>
      <c r="V1977">
        <v>-2.805357E-2</v>
      </c>
      <c r="W1977">
        <v>0.1816121</v>
      </c>
      <c r="X1977">
        <v>0.98297000000000001</v>
      </c>
      <c r="Y1977">
        <v>0.1361407</v>
      </c>
      <c r="Z1977">
        <v>-6.8436919999999898E-3</v>
      </c>
      <c r="AA1977">
        <v>0.99066589999999999</v>
      </c>
      <c r="AB1977">
        <v>36</v>
      </c>
      <c r="AC1977">
        <v>0.55500000000000604</v>
      </c>
      <c r="AD1977">
        <v>-7.0536999999999794E-2</v>
      </c>
      <c r="AE1977">
        <v>-0.111219999999999</v>
      </c>
      <c r="AF1977">
        <v>0.119766050279565</v>
      </c>
      <c r="AG1977">
        <v>-7.0536999999999794E-2</v>
      </c>
      <c r="AH1977">
        <v>0.544359377286881</v>
      </c>
      <c r="AI1977">
        <v>97.212514914256602</v>
      </c>
      <c r="AJ1977">
        <v>77.591879990378402</v>
      </c>
      <c r="AK1977">
        <v>0.56182426683859799</v>
      </c>
    </row>
    <row r="1978" spans="1:37" x14ac:dyDescent="0.2">
      <c r="A1978" t="str">
        <f>"20200111150629925"</f>
        <v>20200111150629925</v>
      </c>
      <c r="B1978" t="str">
        <f>"1578726389918921"</f>
        <v>1578726389918921</v>
      </c>
      <c r="C1978" t="s">
        <v>37</v>
      </c>
      <c r="D1978">
        <v>5.0874730000000001</v>
      </c>
      <c r="E1978">
        <v>0.56319030000000003</v>
      </c>
      <c r="F1978" t="s">
        <v>90</v>
      </c>
      <c r="G1978">
        <v>-241.47579999999999</v>
      </c>
      <c r="H1978">
        <v>14.74117</v>
      </c>
      <c r="I1978">
        <v>4.1335199999999999</v>
      </c>
      <c r="J1978">
        <v>-383.56459999999998</v>
      </c>
      <c r="K1978">
        <v>1.1007499999999999</v>
      </c>
      <c r="L1978">
        <v>21.698640000000001</v>
      </c>
      <c r="M1978">
        <v>0.99980630000000004</v>
      </c>
      <c r="N1978">
        <v>0</v>
      </c>
      <c r="O1978">
        <v>1.516413E-2</v>
      </c>
      <c r="P1978">
        <v>0.98476180000000002</v>
      </c>
      <c r="Q1978">
        <v>0.16820370000000001</v>
      </c>
      <c r="R1978">
        <v>4.4179929999999999E-2</v>
      </c>
      <c r="S1978">
        <v>3.0157780000000001</v>
      </c>
      <c r="T1978">
        <v>0.28875229999999902</v>
      </c>
      <c r="U1978">
        <v>-0.37176509999999902</v>
      </c>
      <c r="V1978">
        <v>-2.8060040000000001E-2</v>
      </c>
      <c r="W1978">
        <v>0.1807385</v>
      </c>
      <c r="X1978">
        <v>0.98313079999999997</v>
      </c>
      <c r="Y1978">
        <v>0.13670019999999999</v>
      </c>
      <c r="Z1978">
        <v>7.9485400000000005E-3</v>
      </c>
      <c r="AA1978">
        <v>0.99058060000000003</v>
      </c>
      <c r="AB1978">
        <v>36</v>
      </c>
      <c r="AC1978">
        <v>142.08879999999999</v>
      </c>
      <c r="AD1978">
        <v>13.640420000000001</v>
      </c>
      <c r="AE1978">
        <v>-17.56512</v>
      </c>
      <c r="AF1978">
        <v>19.540550321362701</v>
      </c>
      <c r="AG1978">
        <v>13.640420000000001</v>
      </c>
      <c r="AH1978">
        <v>140.53046423299801</v>
      </c>
      <c r="AI1978">
        <v>84.508527035279499</v>
      </c>
      <c r="AJ1978">
        <v>82.083865493484794</v>
      </c>
      <c r="AK1978">
        <v>142.53668139177299</v>
      </c>
    </row>
    <row r="1979" spans="1:37" x14ac:dyDescent="0.2">
      <c r="A1979" t="str">
        <f>"20200111150629948"</f>
        <v>20200111150629948</v>
      </c>
      <c r="B1979" t="str">
        <f>"1578726389938440"</f>
        <v>1578726389938440</v>
      </c>
      <c r="C1979" t="s">
        <v>37</v>
      </c>
      <c r="D1979">
        <v>5.6615799999999998</v>
      </c>
      <c r="E1979">
        <v>0.56084449999999997</v>
      </c>
      <c r="F1979" t="s">
        <v>90</v>
      </c>
      <c r="G1979">
        <v>-241.47579999999999</v>
      </c>
      <c r="H1979">
        <v>10.45463</v>
      </c>
      <c r="I1979">
        <v>4.1155759999999999</v>
      </c>
      <c r="J1979">
        <v>-383.20499999999998</v>
      </c>
      <c r="K1979">
        <v>1.100465</v>
      </c>
      <c r="L1979">
        <v>21.70074</v>
      </c>
      <c r="M1979">
        <v>0.99985550000000001</v>
      </c>
      <c r="N1979">
        <v>0</v>
      </c>
      <c r="O1979">
        <v>1.1442030000000001E-2</v>
      </c>
      <c r="P1979">
        <v>0.98479050000000001</v>
      </c>
      <c r="Q1979">
        <v>0.16856289999999999</v>
      </c>
      <c r="R1979">
        <v>4.2123590000000002E-2</v>
      </c>
      <c r="S1979">
        <v>3.0291440000000001</v>
      </c>
      <c r="T1979">
        <v>0.1994119</v>
      </c>
      <c r="U1979">
        <v>-0.3748474</v>
      </c>
      <c r="V1979">
        <v>-2.9545189999999999E-2</v>
      </c>
      <c r="W1979">
        <v>0.1811545</v>
      </c>
      <c r="X1979">
        <v>0.98301079999999996</v>
      </c>
      <c r="Y1979">
        <v>0.13384869999999999</v>
      </c>
      <c r="Z1979">
        <v>5.1340270000000002E-3</v>
      </c>
      <c r="AA1979">
        <v>0.99098850000000005</v>
      </c>
      <c r="AB1979">
        <v>36</v>
      </c>
      <c r="AC1979">
        <v>141.72919999999999</v>
      </c>
      <c r="AD1979">
        <v>9.3541650000000001</v>
      </c>
      <c r="AE1979">
        <v>-17.585163999999999</v>
      </c>
      <c r="AF1979">
        <v>19.123769776183199</v>
      </c>
      <c r="AG1979">
        <v>9.3541650000000001</v>
      </c>
      <c r="AH1979">
        <v>140.914174128479</v>
      </c>
      <c r="AI1979">
        <v>86.2365618702067</v>
      </c>
      <c r="AJ1979">
        <v>82.271481465748195</v>
      </c>
      <c r="AK1979">
        <v>142.51323953798499</v>
      </c>
    </row>
    <row r="1980" spans="1:37" x14ac:dyDescent="0.2">
      <c r="A1980" t="str">
        <f>"20200111150629971"</f>
        <v>20200111150629971</v>
      </c>
      <c r="B1980" t="str">
        <f>"1578726389968264"</f>
        <v>1578726389968264</v>
      </c>
      <c r="C1980" t="s">
        <v>37</v>
      </c>
      <c r="D1980">
        <v>5.590865</v>
      </c>
      <c r="E1980">
        <v>0.55600859999999996</v>
      </c>
      <c r="F1980" t="s">
        <v>90</v>
      </c>
      <c r="G1980">
        <v>-241.6901</v>
      </c>
      <c r="H1980">
        <v>8.9311220000000002</v>
      </c>
      <c r="I1980">
        <v>4.7671019999999897</v>
      </c>
      <c r="J1980">
        <v>-382.84160000000003</v>
      </c>
      <c r="K1980">
        <v>1.1002430000000001</v>
      </c>
      <c r="L1980">
        <v>21.70139</v>
      </c>
      <c r="M1980">
        <v>0.99989219999999901</v>
      </c>
      <c r="N1980">
        <v>0</v>
      </c>
      <c r="O1980">
        <v>7.5433469999999997E-3</v>
      </c>
      <c r="P1980">
        <v>0.98478359999999998</v>
      </c>
      <c r="Q1980">
        <v>0.1689126</v>
      </c>
      <c r="R1980">
        <v>4.0866989999999999E-2</v>
      </c>
      <c r="S1980">
        <v>3.0331419999999998</v>
      </c>
      <c r="T1980">
        <v>0.1678374</v>
      </c>
      <c r="U1980">
        <v>-0.36294559999999998</v>
      </c>
      <c r="V1980">
        <v>-3.2028349999999997E-2</v>
      </c>
      <c r="W1980">
        <v>0.181562</v>
      </c>
      <c r="X1980">
        <v>0.9828578</v>
      </c>
      <c r="Y1980">
        <v>0.12609790000000001</v>
      </c>
      <c r="Z1980">
        <v>3.8894379999999998E-3</v>
      </c>
      <c r="AA1980">
        <v>0.99201019999999895</v>
      </c>
      <c r="AB1980">
        <v>36</v>
      </c>
      <c r="AC1980">
        <v>141.1515</v>
      </c>
      <c r="AD1980">
        <v>7.8308789999999897</v>
      </c>
      <c r="AE1980">
        <v>-16.934287999999999</v>
      </c>
      <c r="AF1980">
        <v>17.944199137371701</v>
      </c>
      <c r="AG1980">
        <v>7.8308789999999897</v>
      </c>
      <c r="AH1980">
        <v>140.593144900689</v>
      </c>
      <c r="AI1980">
        <v>86.837585061451406</v>
      </c>
      <c r="AJ1980">
        <v>82.726543651646907</v>
      </c>
      <c r="AK1980">
        <v>141.949812756694</v>
      </c>
    </row>
    <row r="1981" spans="1:37" x14ac:dyDescent="0.2">
      <c r="A1981" t="str">
        <f>"20200111150629992"</f>
        <v>20200111150629992</v>
      </c>
      <c r="B1981" t="str">
        <f>"1578726389988760"</f>
        <v>1578726389988760</v>
      </c>
      <c r="C1981" t="s">
        <v>37</v>
      </c>
      <c r="D1981">
        <v>5.2769579999999996</v>
      </c>
      <c r="E1981">
        <v>0.55682489999999996</v>
      </c>
      <c r="F1981" t="s">
        <v>90</v>
      </c>
      <c r="G1981">
        <v>-241.07</v>
      </c>
      <c r="H1981">
        <v>7.1316329999999999</v>
      </c>
      <c r="I1981">
        <v>6.3498099999999997</v>
      </c>
      <c r="J1981">
        <v>-382.50060000000002</v>
      </c>
      <c r="K1981">
        <v>1.1000889999999901</v>
      </c>
      <c r="L1981">
        <v>21.700559999999999</v>
      </c>
      <c r="M1981">
        <v>0.99991319999999995</v>
      </c>
      <c r="N1981">
        <v>0</v>
      </c>
      <c r="O1981">
        <v>3.8091420000000002E-3</v>
      </c>
      <c r="P1981">
        <v>0.98482879999999995</v>
      </c>
      <c r="Q1981">
        <v>0.1687852</v>
      </c>
      <c r="R1981">
        <v>4.0299130000000002E-2</v>
      </c>
      <c r="S1981">
        <v>3.0378419999999999</v>
      </c>
      <c r="T1981">
        <v>0.12923869999999901</v>
      </c>
      <c r="U1981">
        <v>-0.32894899999999999</v>
      </c>
      <c r="V1981">
        <v>-3.507217E-2</v>
      </c>
      <c r="W1981">
        <v>0.18148829999999999</v>
      </c>
      <c r="X1981">
        <v>0.98276749999999902</v>
      </c>
      <c r="Y1981">
        <v>0.11133800000000001</v>
      </c>
      <c r="Z1981">
        <v>2.521892E-3</v>
      </c>
      <c r="AA1981">
        <v>0.99377939999999998</v>
      </c>
      <c r="AB1981">
        <v>36</v>
      </c>
      <c r="AC1981">
        <v>141.4306</v>
      </c>
      <c r="AD1981">
        <v>6.0315440000000002</v>
      </c>
      <c r="AE1981">
        <v>-15.35075</v>
      </c>
      <c r="AF1981">
        <v>15.860899763216899</v>
      </c>
      <c r="AG1981">
        <v>6.0315440000000002</v>
      </c>
      <c r="AH1981">
        <v>141.11742864986201</v>
      </c>
      <c r="AI1981">
        <v>87.567888059439994</v>
      </c>
      <c r="AJ1981">
        <v>83.587151652684696</v>
      </c>
      <c r="AK1981">
        <v>142.13400836207899</v>
      </c>
    </row>
    <row r="1982" spans="1:37" x14ac:dyDescent="0.2">
      <c r="A1982" t="str">
        <f>"20200111150630014"</f>
        <v>20200111150630014</v>
      </c>
      <c r="B1982" t="str">
        <f>"1578726390008282"</f>
        <v>1578726390008282</v>
      </c>
      <c r="C1982" t="s">
        <v>37</v>
      </c>
      <c r="D1982">
        <v>5.3630599999999999</v>
      </c>
      <c r="E1982">
        <v>0.55711199999999905</v>
      </c>
      <c r="F1982" t="s">
        <v>90</v>
      </c>
      <c r="G1982">
        <v>-241.07</v>
      </c>
      <c r="H1982">
        <v>5.8134670000000002</v>
      </c>
      <c r="I1982">
        <v>5.9917220000000002</v>
      </c>
      <c r="J1982">
        <v>-382.14890000000003</v>
      </c>
      <c r="K1982">
        <v>1.0999829999999999</v>
      </c>
      <c r="L1982">
        <v>21.6983</v>
      </c>
      <c r="M1982">
        <v>0.99992039999999904</v>
      </c>
      <c r="N1982">
        <v>0</v>
      </c>
      <c r="O1982" s="1">
        <v>-6.5859019999999995E-5</v>
      </c>
      <c r="P1982">
        <v>0.9849618</v>
      </c>
      <c r="Q1982">
        <v>0.16805490000000001</v>
      </c>
      <c r="R1982">
        <v>4.0099059999999999E-2</v>
      </c>
      <c r="S1982">
        <v>3.0426639999999998</v>
      </c>
      <c r="T1982">
        <v>0.10140100000000001</v>
      </c>
      <c r="U1982">
        <v>-0.33795170000000002</v>
      </c>
      <c r="V1982">
        <v>-3.8649589999999998E-2</v>
      </c>
      <c r="W1982">
        <v>0.18081120000000001</v>
      </c>
      <c r="X1982">
        <v>0.98275809999999997</v>
      </c>
      <c r="Y1982">
        <v>0.1102663</v>
      </c>
      <c r="Z1982">
        <v>1.829064E-3</v>
      </c>
      <c r="AA1982">
        <v>0.99390040000000002</v>
      </c>
      <c r="AB1982">
        <v>36</v>
      </c>
      <c r="AC1982">
        <v>141.0789</v>
      </c>
      <c r="AD1982">
        <v>4.7134839999999896</v>
      </c>
      <c r="AE1982">
        <v>-15.706578</v>
      </c>
      <c r="AF1982">
        <v>15.6799974592069</v>
      </c>
      <c r="AG1982">
        <v>4.7134839999999896</v>
      </c>
      <c r="AH1982">
        <v>140.924553625187</v>
      </c>
      <c r="AI1982">
        <v>88.096090306006104</v>
      </c>
      <c r="AJ1982">
        <v>83.651087900839002</v>
      </c>
      <c r="AK1982">
        <v>141.872509903072</v>
      </c>
    </row>
    <row r="1983" spans="1:37" x14ac:dyDescent="0.2">
      <c r="A1983" t="str">
        <f>"20200111150630037"</f>
        <v>20200111150630037</v>
      </c>
      <c r="B1983" t="str">
        <f>"1578726390028776"</f>
        <v>1578726390028776</v>
      </c>
      <c r="C1983" t="s">
        <v>37</v>
      </c>
      <c r="D1983">
        <v>8.1220149999999993</v>
      </c>
      <c r="E1983">
        <v>0.55659309999999995</v>
      </c>
      <c r="F1983" t="s">
        <v>90</v>
      </c>
      <c r="G1983">
        <v>-241.07</v>
      </c>
      <c r="H1983">
        <v>5.6331199999999999</v>
      </c>
      <c r="I1983">
        <v>5.8732089999999904</v>
      </c>
      <c r="J1983">
        <v>-381.779</v>
      </c>
      <c r="K1983">
        <v>1.0999190000000001</v>
      </c>
      <c r="L1983">
        <v>21.694489999999998</v>
      </c>
      <c r="M1983">
        <v>0.99991169999999996</v>
      </c>
      <c r="N1983">
        <v>0</v>
      </c>
      <c r="O1983">
        <v>-4.1167599999999997E-3</v>
      </c>
      <c r="P1983">
        <v>0.98503169999999995</v>
      </c>
      <c r="Q1983">
        <v>0.1678559</v>
      </c>
      <c r="R1983">
        <v>3.920879E-2</v>
      </c>
      <c r="S1983">
        <v>3.042999</v>
      </c>
      <c r="T1983">
        <v>9.7777249999999996E-2</v>
      </c>
      <c r="U1983">
        <v>-0.34133909999999901</v>
      </c>
      <c r="V1983">
        <v>-4.1725199999999997E-2</v>
      </c>
      <c r="W1983">
        <v>0.18065499999999901</v>
      </c>
      <c r="X1983">
        <v>0.98266109999999895</v>
      </c>
      <c r="Y1983">
        <v>0.1073279</v>
      </c>
      <c r="Z1983">
        <v>1.5866579999999999E-3</v>
      </c>
      <c r="AA1983">
        <v>0.99422239999999995</v>
      </c>
      <c r="AB1983">
        <v>36</v>
      </c>
      <c r="AC1983">
        <v>140.709</v>
      </c>
      <c r="AD1983">
        <v>4.533201</v>
      </c>
      <c r="AE1983">
        <v>-15.8212809999999</v>
      </c>
      <c r="AF1983">
        <v>15.226229098791</v>
      </c>
      <c r="AG1983">
        <v>4.533201</v>
      </c>
      <c r="AH1983">
        <v>140.628805160995</v>
      </c>
      <c r="AI1983">
        <v>88.164417503811407</v>
      </c>
      <c r="AJ1983">
        <v>83.820516209993897</v>
      </c>
      <c r="AK1983">
        <v>141.523315410869</v>
      </c>
    </row>
    <row r="1984" spans="1:37" x14ac:dyDescent="0.2">
      <c r="A1984" t="str">
        <f>"20200111150630059"</f>
        <v>20200111150630059</v>
      </c>
      <c r="B1984" t="str">
        <f>"1578726390048295"</f>
        <v>1578726390048295</v>
      </c>
      <c r="C1984" t="s">
        <v>37</v>
      </c>
      <c r="D1984">
        <v>5.2321650000000002</v>
      </c>
      <c r="E1984">
        <v>0.55764999999999998</v>
      </c>
      <c r="F1984" t="s">
        <v>90</v>
      </c>
      <c r="G1984">
        <v>-241.6901</v>
      </c>
      <c r="H1984">
        <v>5.4771199999999904</v>
      </c>
      <c r="I1984">
        <v>6.0349219999999999</v>
      </c>
      <c r="J1984">
        <v>-381.42090000000002</v>
      </c>
      <c r="K1984">
        <v>1.0998870000000001</v>
      </c>
      <c r="L1984">
        <v>21.68939</v>
      </c>
      <c r="M1984">
        <v>0.99988809999999995</v>
      </c>
      <c r="N1984">
        <v>0</v>
      </c>
      <c r="O1984">
        <v>-7.9923649999999995E-3</v>
      </c>
      <c r="P1984">
        <v>0.98519869999999898</v>
      </c>
      <c r="Q1984">
        <v>0.16729839999999899</v>
      </c>
      <c r="R1984">
        <v>3.7352080000000003E-2</v>
      </c>
      <c r="S1984">
        <v>3.0429379999999999</v>
      </c>
      <c r="T1984">
        <v>9.5079179999999999E-2</v>
      </c>
      <c r="U1984">
        <v>-0.34014889999999998</v>
      </c>
      <c r="V1984">
        <v>-4.3680070000000001E-2</v>
      </c>
      <c r="W1984">
        <v>0.18012729999999999</v>
      </c>
      <c r="X1984">
        <v>0.98267299999999902</v>
      </c>
      <c r="Y1984">
        <v>0.1030982</v>
      </c>
      <c r="Z1984">
        <v>1.3564250000000001E-3</v>
      </c>
      <c r="AA1984">
        <v>0.99467030000000001</v>
      </c>
      <c r="AB1984">
        <v>36</v>
      </c>
      <c r="AC1984">
        <v>139.73079999999999</v>
      </c>
      <c r="AD1984">
        <v>4.3772330000000004</v>
      </c>
      <c r="AE1984">
        <v>-15.654468</v>
      </c>
      <c r="AF1984">
        <v>14.5230238528006</v>
      </c>
      <c r="AG1984">
        <v>4.3772330000000004</v>
      </c>
      <c r="AH1984">
        <v>139.71605460334999</v>
      </c>
      <c r="AI1984">
        <v>88.215149699491604</v>
      </c>
      <c r="AJ1984">
        <v>84.065604683128001</v>
      </c>
      <c r="AK1984">
        <v>140.537021117183</v>
      </c>
    </row>
    <row r="1985" spans="1:37" x14ac:dyDescent="0.2">
      <c r="A1985" t="str">
        <f>"20200111150630081"</f>
        <v>20200111150630081</v>
      </c>
      <c r="B1985" t="str">
        <f>"1578726390078388"</f>
        <v>1578726390078388</v>
      </c>
      <c r="C1985" t="s">
        <v>37</v>
      </c>
      <c r="D1985">
        <v>4.6718630000000001</v>
      </c>
      <c r="E1985">
        <v>0.55705850000000001</v>
      </c>
      <c r="F1985" t="s">
        <v>90</v>
      </c>
      <c r="G1985">
        <v>-241.07</v>
      </c>
      <c r="H1985">
        <v>3.654296</v>
      </c>
      <c r="I1985">
        <v>5.346584</v>
      </c>
      <c r="J1985">
        <v>-381.06699999999898</v>
      </c>
      <c r="K1985">
        <v>1.099885</v>
      </c>
      <c r="L1985">
        <v>21.683109999999999</v>
      </c>
      <c r="M1985">
        <v>0.99985100000000005</v>
      </c>
      <c r="N1985">
        <v>0</v>
      </c>
      <c r="O1985">
        <v>-1.174761E-2</v>
      </c>
      <c r="P1985">
        <v>0.98540039999999995</v>
      </c>
      <c r="Q1985">
        <v>0.1666957</v>
      </c>
      <c r="R1985">
        <v>3.4623479999999998E-2</v>
      </c>
      <c r="S1985">
        <v>3.0490719999999998</v>
      </c>
      <c r="T1985">
        <v>5.5493470000000003E-2</v>
      </c>
      <c r="U1985">
        <v>-0.35504150000000001</v>
      </c>
      <c r="V1985">
        <v>-4.465674E-2</v>
      </c>
      <c r="W1985">
        <v>0.17954200000000001</v>
      </c>
      <c r="X1985">
        <v>0.98273619999999995</v>
      </c>
      <c r="Y1985">
        <v>0.1039683</v>
      </c>
      <c r="Z1985">
        <v>7.2980699999999996E-4</v>
      </c>
      <c r="AA1985">
        <v>0.99458029999999997</v>
      </c>
      <c r="AB1985">
        <v>36</v>
      </c>
      <c r="AC1985">
        <v>139.99699999999899</v>
      </c>
      <c r="AD1985">
        <v>2.554411</v>
      </c>
      <c r="AE1985">
        <v>-16.336525999999999</v>
      </c>
      <c r="AF1985">
        <v>14.6858132230218</v>
      </c>
      <c r="AG1985">
        <v>2.554411</v>
      </c>
      <c r="AH1985">
        <v>140.13324151048701</v>
      </c>
      <c r="AI1985">
        <v>88.961389327871501</v>
      </c>
      <c r="AJ1985">
        <v>84.017302343326406</v>
      </c>
      <c r="AK1985">
        <v>140.92382162649099</v>
      </c>
    </row>
    <row r="1986" spans="1:37" x14ac:dyDescent="0.2">
      <c r="A1986" t="str">
        <f>"20200111150630102"</f>
        <v>20200111150630102</v>
      </c>
      <c r="B1986" t="str">
        <f>"1578726390098884"</f>
        <v>1578726390098884</v>
      </c>
      <c r="C1986" t="s">
        <v>37</v>
      </c>
      <c r="D1986">
        <v>5.3273489999999999</v>
      </c>
      <c r="E1986">
        <v>0.55731730000000002</v>
      </c>
      <c r="F1986" t="s">
        <v>90</v>
      </c>
      <c r="G1986">
        <v>-241.07</v>
      </c>
      <c r="H1986">
        <v>4.1603879999999904</v>
      </c>
      <c r="I1986">
        <v>5.2011599999999998</v>
      </c>
      <c r="J1986">
        <v>-380.71730000000002</v>
      </c>
      <c r="K1986">
        <v>1.0999079999999899</v>
      </c>
      <c r="L1986">
        <v>21.675660000000001</v>
      </c>
      <c r="M1986">
        <v>0.99980190000000002</v>
      </c>
      <c r="N1986">
        <v>0</v>
      </c>
      <c r="O1986">
        <v>-1.535606E-2</v>
      </c>
      <c r="P1986">
        <v>0.98559069999999904</v>
      </c>
      <c r="Q1986">
        <v>0.16623060000000001</v>
      </c>
      <c r="R1986">
        <v>3.128268E-2</v>
      </c>
      <c r="S1986">
        <v>3.045776</v>
      </c>
      <c r="T1986">
        <v>6.6584229999999994E-2</v>
      </c>
      <c r="U1986">
        <v>-0.3585815</v>
      </c>
      <c r="V1986">
        <v>-4.4888289999999997E-2</v>
      </c>
      <c r="W1986">
        <v>0.1790841</v>
      </c>
      <c r="X1986">
        <v>0.98280919999999905</v>
      </c>
      <c r="Y1986">
        <v>0.1016372</v>
      </c>
      <c r="Z1986">
        <v>7.7255149999999996E-4</v>
      </c>
      <c r="AA1986">
        <v>0.99482130000000002</v>
      </c>
      <c r="AB1986">
        <v>36</v>
      </c>
      <c r="AC1986">
        <v>139.6473</v>
      </c>
      <c r="AD1986">
        <v>3.0604799999999899</v>
      </c>
      <c r="AE1986">
        <v>-16.474499999999999</v>
      </c>
      <c r="AF1986">
        <v>14.321168826139299</v>
      </c>
      <c r="AG1986">
        <v>3.0604799999999899</v>
      </c>
      <c r="AH1986">
        <v>139.81760224650799</v>
      </c>
      <c r="AI1986">
        <v>88.752572278511195</v>
      </c>
      <c r="AJ1986">
        <v>84.1517312402908</v>
      </c>
      <c r="AK1986">
        <v>140.58244667219299</v>
      </c>
    </row>
    <row r="1987" spans="1:37" x14ac:dyDescent="0.2">
      <c r="A1987" t="str">
        <f>"20200111150630127"</f>
        <v>20200111150630127</v>
      </c>
      <c r="B1987" t="str">
        <f>"1578726390118404"</f>
        <v>1578726390118404</v>
      </c>
      <c r="C1987" t="s">
        <v>37</v>
      </c>
      <c r="D1987">
        <v>5.3169959999999996</v>
      </c>
      <c r="E1987">
        <v>0.55791199999999996</v>
      </c>
      <c r="F1987" t="s">
        <v>90</v>
      </c>
      <c r="G1987">
        <v>-241.47579999999999</v>
      </c>
      <c r="H1987">
        <v>4.322584</v>
      </c>
      <c r="I1987">
        <v>4.7215739999999897</v>
      </c>
      <c r="J1987">
        <v>-380.33080000000001</v>
      </c>
      <c r="K1987">
        <v>1.099961</v>
      </c>
      <c r="L1987">
        <v>21.666079999999901</v>
      </c>
      <c r="M1987">
        <v>0.99973509999999999</v>
      </c>
      <c r="N1987">
        <v>0</v>
      </c>
      <c r="O1987">
        <v>-1.9214439999999999E-2</v>
      </c>
      <c r="P1987">
        <v>0.98571969999999998</v>
      </c>
      <c r="Q1987">
        <v>0.16610759999999999</v>
      </c>
      <c r="R1987">
        <v>2.766513E-2</v>
      </c>
      <c r="S1987">
        <v>3.0437319999999999</v>
      </c>
      <c r="T1987">
        <v>7.0445300000000002E-2</v>
      </c>
      <c r="U1987">
        <v>-0.37060549999999998</v>
      </c>
      <c r="V1987">
        <v>-4.5098310000000003E-2</v>
      </c>
      <c r="W1987">
        <v>0.1789626</v>
      </c>
      <c r="X1987">
        <v>0.98282169999999902</v>
      </c>
      <c r="Y1987">
        <v>0.101748399999999</v>
      </c>
      <c r="Z1987">
        <v>7.3006690000000001E-4</v>
      </c>
      <c r="AA1987">
        <v>0.99480990000000002</v>
      </c>
      <c r="AB1987">
        <v>36</v>
      </c>
      <c r="AC1987">
        <v>138.85499999999999</v>
      </c>
      <c r="AD1987">
        <v>3.222623</v>
      </c>
      <c r="AE1987">
        <v>-16.944505999999901</v>
      </c>
      <c r="AF1987">
        <v>14.26557083592</v>
      </c>
      <c r="AG1987">
        <v>3.222623</v>
      </c>
      <c r="AH1987">
        <v>139.08115157378401</v>
      </c>
      <c r="AI1987">
        <v>88.679573081644094</v>
      </c>
      <c r="AJ1987">
        <v>84.1436450551588</v>
      </c>
      <c r="AK1987">
        <v>139.847983658559</v>
      </c>
    </row>
    <row r="1988" spans="1:37" x14ac:dyDescent="0.2">
      <c r="A1988" t="str">
        <f>"20200111150630149"</f>
        <v>20200111150630149</v>
      </c>
      <c r="B1988" t="str">
        <f>"1578726390138900"</f>
        <v>1578726390138900</v>
      </c>
      <c r="C1988" t="s">
        <v>37</v>
      </c>
      <c r="D1988">
        <v>5.3619519999999996</v>
      </c>
      <c r="E1988">
        <v>0.5584268</v>
      </c>
      <c r="F1988" t="s">
        <v>90</v>
      </c>
      <c r="G1988">
        <v>-241.47579999999999</v>
      </c>
      <c r="H1988">
        <v>3.2691870000000001</v>
      </c>
      <c r="I1988">
        <v>4.0443749999999996</v>
      </c>
      <c r="J1988">
        <v>-379.97359999999998</v>
      </c>
      <c r="K1988">
        <v>1.100036</v>
      </c>
      <c r="L1988">
        <v>21.656009999999998</v>
      </c>
      <c r="M1988">
        <v>0.99966309999999903</v>
      </c>
      <c r="N1988">
        <v>0</v>
      </c>
      <c r="O1988">
        <v>-2.265087E-2</v>
      </c>
      <c r="P1988">
        <v>0.98582700000000001</v>
      </c>
      <c r="Q1988">
        <v>0.16588929999999999</v>
      </c>
      <c r="R1988">
        <v>2.5020520000000001E-2</v>
      </c>
      <c r="S1988">
        <v>3.0462950000000002</v>
      </c>
      <c r="T1988">
        <v>4.7589659999999999E-2</v>
      </c>
      <c r="U1988">
        <v>-0.38659670000000002</v>
      </c>
      <c r="V1988">
        <v>-4.5873869999999997E-2</v>
      </c>
      <c r="W1988">
        <v>0.17874589999999899</v>
      </c>
      <c r="X1988">
        <v>0.98282530000000001</v>
      </c>
      <c r="Y1988">
        <v>0.103382999999999</v>
      </c>
      <c r="Z1988">
        <v>4.5195769999999998E-4</v>
      </c>
      <c r="AA1988">
        <v>0.99464149999999996</v>
      </c>
      <c r="AB1988">
        <v>36</v>
      </c>
      <c r="AC1988">
        <v>138.49779999999899</v>
      </c>
      <c r="AD1988">
        <v>2.1691509999999998</v>
      </c>
      <c r="AE1988">
        <v>-17.611635</v>
      </c>
      <c r="AF1988">
        <v>14.466276044347</v>
      </c>
      <c r="AG1988">
        <v>2.1691509999999998</v>
      </c>
      <c r="AH1988">
        <v>138.827699411335</v>
      </c>
      <c r="AI1988">
        <v>89.109659365195796</v>
      </c>
      <c r="AJ1988">
        <v>84.051072130018795</v>
      </c>
      <c r="AK1988">
        <v>139.596233769024</v>
      </c>
    </row>
    <row r="1989" spans="1:37" x14ac:dyDescent="0.2">
      <c r="A1989" t="str">
        <f>"20200111150630171"</f>
        <v>20200111150630171</v>
      </c>
      <c r="B1989" t="str">
        <f>"1578726390168180"</f>
        <v>1578726390168180</v>
      </c>
      <c r="C1989" t="s">
        <v>37</v>
      </c>
      <c r="D1989">
        <v>7.2968970000000004</v>
      </c>
      <c r="E1989">
        <v>0.55862829999999997</v>
      </c>
      <c r="F1989" t="s">
        <v>87</v>
      </c>
      <c r="G1989">
        <v>-252.1508</v>
      </c>
      <c r="H1989">
        <v>2.304478</v>
      </c>
      <c r="I1989">
        <v>4.9094119999999997</v>
      </c>
      <c r="J1989">
        <v>-379.62560000000002</v>
      </c>
      <c r="K1989">
        <v>1.100123</v>
      </c>
      <c r="L1989">
        <v>21.64508</v>
      </c>
      <c r="M1989">
        <v>0.99958480000000005</v>
      </c>
      <c r="N1989">
        <v>0</v>
      </c>
      <c r="O1989">
        <v>-2.5877839999999999E-2</v>
      </c>
      <c r="P1989">
        <v>0.98583279999999995</v>
      </c>
      <c r="Q1989">
        <v>0.16620460000000001</v>
      </c>
      <c r="R1989">
        <v>2.2579149999999999E-2</v>
      </c>
      <c r="S1989">
        <v>3.0484009999999899</v>
      </c>
      <c r="T1989">
        <v>2.8724309999999999E-2</v>
      </c>
      <c r="U1989">
        <v>-0.3993835</v>
      </c>
      <c r="V1989">
        <v>-4.6644860000000003E-2</v>
      </c>
      <c r="W1989">
        <v>0.179063</v>
      </c>
      <c r="X1989">
        <v>0.98273120000000003</v>
      </c>
      <c r="Y1989">
        <v>0.10419639999999999</v>
      </c>
      <c r="Z1989">
        <v>2.4611460000000001E-4</v>
      </c>
      <c r="AA1989">
        <v>0.99455669999999996</v>
      </c>
      <c r="AB1989">
        <v>36</v>
      </c>
      <c r="AC1989">
        <v>127.4748</v>
      </c>
      <c r="AD1989">
        <v>1.2043549999999901</v>
      </c>
      <c r="AE1989">
        <v>-16.735668</v>
      </c>
      <c r="AF1989">
        <v>13.4298467458364</v>
      </c>
      <c r="AG1989">
        <v>1.2043549999999901</v>
      </c>
      <c r="AH1989">
        <v>127.854002184843</v>
      </c>
      <c r="AI1989">
        <v>89.463255816602896</v>
      </c>
      <c r="AJ1989">
        <v>84.003612581963694</v>
      </c>
      <c r="AK1989">
        <v>128.56304729300899</v>
      </c>
    </row>
    <row r="1990" spans="1:37" x14ac:dyDescent="0.2">
      <c r="A1990" t="str">
        <f>"20200111150630193"</f>
        <v>20200111150630193</v>
      </c>
      <c r="B1990" t="str">
        <f>"1578726390188676"</f>
        <v>1578726390188676</v>
      </c>
      <c r="C1990" t="s">
        <v>37</v>
      </c>
      <c r="D1990">
        <v>4.7080799999999998</v>
      </c>
      <c r="E1990">
        <v>0.55579089999999998</v>
      </c>
      <c r="F1990" t="s">
        <v>87</v>
      </c>
      <c r="G1990">
        <v>-252.34399999999999</v>
      </c>
      <c r="H1990">
        <v>1.687411</v>
      </c>
      <c r="I1990">
        <v>4.6005079999999996</v>
      </c>
      <c r="J1990">
        <v>-379.28359999999998</v>
      </c>
      <c r="K1990">
        <v>1.1002129999999899</v>
      </c>
      <c r="L1990">
        <v>21.633389999999999</v>
      </c>
      <c r="M1990">
        <v>0.99950079999999997</v>
      </c>
      <c r="N1990">
        <v>0</v>
      </c>
      <c r="O1990">
        <v>-2.8937259999999999E-2</v>
      </c>
      <c r="P1990">
        <v>0.98586390000000002</v>
      </c>
      <c r="Q1990">
        <v>0.166455399999999</v>
      </c>
      <c r="R1990">
        <v>1.9101190000000001E-2</v>
      </c>
      <c r="S1990">
        <v>3.0501099999999899</v>
      </c>
      <c r="T1990">
        <v>1.4073489999999999E-2</v>
      </c>
      <c r="U1990">
        <v>-0.40844730000000001</v>
      </c>
      <c r="V1990">
        <v>-4.6218189999999999E-2</v>
      </c>
      <c r="W1990">
        <v>0.17930929999999901</v>
      </c>
      <c r="X1990">
        <v>0.98270650000000004</v>
      </c>
      <c r="Y1990">
        <v>0.1039876</v>
      </c>
      <c r="Z1990">
        <v>1.05979E-4</v>
      </c>
      <c r="AA1990">
        <v>0.99457859999999998</v>
      </c>
      <c r="AB1990">
        <v>36</v>
      </c>
      <c r="AC1990">
        <v>126.939599999999</v>
      </c>
      <c r="AD1990">
        <v>0.587198</v>
      </c>
      <c r="AE1990">
        <v>-17.032881999999901</v>
      </c>
      <c r="AF1990">
        <v>13.3518877865821</v>
      </c>
      <c r="AG1990">
        <v>0.587198</v>
      </c>
      <c r="AH1990">
        <v>127.376680081874</v>
      </c>
      <c r="AI1990">
        <v>89.737311353464904</v>
      </c>
      <c r="AJ1990">
        <v>84.015990477727598</v>
      </c>
      <c r="AK1990">
        <v>128.07590069032</v>
      </c>
    </row>
    <row r="1991" spans="1:37" x14ac:dyDescent="0.2">
      <c r="A1991" t="str">
        <f>"20200111150630216"</f>
        <v>20200111150630216</v>
      </c>
      <c r="B1991" t="str">
        <f>"1578726390208196"</f>
        <v>1578726390208196</v>
      </c>
      <c r="C1991" t="s">
        <v>37</v>
      </c>
      <c r="D1991">
        <v>5.1145259999999997</v>
      </c>
      <c r="E1991">
        <v>0.5706521</v>
      </c>
      <c r="F1991" t="s">
        <v>91</v>
      </c>
      <c r="G1991">
        <v>-157.3501</v>
      </c>
      <c r="H1991">
        <v>61.919309999999903</v>
      </c>
      <c r="I1991">
        <v>-7.5160689999999999</v>
      </c>
      <c r="J1991">
        <v>-378.9151</v>
      </c>
      <c r="K1991">
        <v>1.100311</v>
      </c>
      <c r="L1991">
        <v>21.619599999999998</v>
      </c>
      <c r="M1991">
        <v>0.9994035</v>
      </c>
      <c r="N1991">
        <v>0</v>
      </c>
      <c r="O1991">
        <v>-3.2117609999999998E-2</v>
      </c>
      <c r="P1991">
        <v>0.98581390000000002</v>
      </c>
      <c r="Q1991">
        <v>0.16710359999999999</v>
      </c>
      <c r="R1991">
        <v>1.5747250000000001E-2</v>
      </c>
      <c r="S1991">
        <v>2.915527</v>
      </c>
      <c r="T1991">
        <v>0.79897640000000003</v>
      </c>
      <c r="U1991">
        <v>-0.38293459999999901</v>
      </c>
      <c r="V1991">
        <v>-4.6031330000000002E-2</v>
      </c>
      <c r="W1991">
        <v>0.17995529999999901</v>
      </c>
      <c r="X1991">
        <v>0.98259719999999995</v>
      </c>
      <c r="Y1991">
        <v>9.5997120000000005E-2</v>
      </c>
      <c r="Z1991">
        <v>4.26082299999999E-3</v>
      </c>
      <c r="AA1991">
        <v>0.99537249999999999</v>
      </c>
      <c r="AB1991">
        <v>36</v>
      </c>
      <c r="AC1991">
        <v>221.565</v>
      </c>
      <c r="AD1991">
        <v>60.818998999999998</v>
      </c>
      <c r="AE1991">
        <v>-29.135669</v>
      </c>
      <c r="AF1991">
        <v>20.486527922370499</v>
      </c>
      <c r="AG1991">
        <v>60.818998999999998</v>
      </c>
      <c r="AH1991">
        <v>207.05069067215399</v>
      </c>
      <c r="AI1991">
        <v>73.705710804532202</v>
      </c>
      <c r="AJ1991">
        <v>84.349289789356206</v>
      </c>
      <c r="AK1991">
        <v>216.76862543618199</v>
      </c>
    </row>
    <row r="1992" spans="1:37" x14ac:dyDescent="0.2">
      <c r="A1992" t="str">
        <f>"20200111150630249"</f>
        <v>20200111150630249</v>
      </c>
      <c r="B1992" t="str">
        <f>"1578726390238452"</f>
        <v>1578726390238452</v>
      </c>
      <c r="C1992" t="s">
        <v>37</v>
      </c>
      <c r="D1992">
        <v>5.0984610000000004</v>
      </c>
      <c r="E1992">
        <v>0.57071660000000002</v>
      </c>
      <c r="F1992" t="s">
        <v>87</v>
      </c>
      <c r="G1992">
        <v>-279.33690000000001</v>
      </c>
      <c r="H1992">
        <v>11.18451</v>
      </c>
      <c r="I1992">
        <v>4.3737550000000001</v>
      </c>
      <c r="J1992">
        <v>-378.38369999999998</v>
      </c>
      <c r="K1992">
        <v>1.1004320000000001</v>
      </c>
      <c r="L1992">
        <v>21.597899999999999</v>
      </c>
      <c r="M1992">
        <v>0.99925069999999905</v>
      </c>
      <c r="N1992">
        <v>0</v>
      </c>
      <c r="O1992">
        <v>-3.6558889999999997E-2</v>
      </c>
      <c r="P1992">
        <v>0.98557289999999997</v>
      </c>
      <c r="Q1992">
        <v>0.16891900000000001</v>
      </c>
      <c r="R1992">
        <v>1.0617929999999999E-2</v>
      </c>
      <c r="S1992">
        <v>2.9999689999999899</v>
      </c>
      <c r="T1992">
        <v>0.30380449999999998</v>
      </c>
      <c r="U1992">
        <v>-0.51956179999999996</v>
      </c>
      <c r="V1992">
        <v>-4.5306150000000003E-2</v>
      </c>
      <c r="W1992">
        <v>0.18176410000000001</v>
      </c>
      <c r="X1992">
        <v>0.98229789999999995</v>
      </c>
      <c r="Y1992">
        <v>0.1340257</v>
      </c>
      <c r="Z1992">
        <v>3.0568119999999999E-3</v>
      </c>
      <c r="AA1992">
        <v>0.99097309999999905</v>
      </c>
      <c r="AB1992">
        <v>36</v>
      </c>
      <c r="AC1992">
        <v>99.046799999999905</v>
      </c>
      <c r="AD1992">
        <v>10.084078</v>
      </c>
      <c r="AE1992">
        <v>-17.224145</v>
      </c>
      <c r="AF1992">
        <v>13.4559117950181</v>
      </c>
      <c r="AG1992">
        <v>10.084078</v>
      </c>
      <c r="AH1992">
        <v>98.618099893824294</v>
      </c>
      <c r="AI1992">
        <v>84.214814322493098</v>
      </c>
      <c r="AJ1992">
        <v>82.230277216654599</v>
      </c>
      <c r="AK1992">
        <v>100.041390524191</v>
      </c>
    </row>
    <row r="1993" spans="1:37" x14ac:dyDescent="0.2">
      <c r="A1993" t="str">
        <f>"20200111150630271"</f>
        <v>20200111150630271</v>
      </c>
      <c r="B1993" t="str">
        <f>"1578726390268708"</f>
        <v>1578726390268708</v>
      </c>
      <c r="C1993" t="s">
        <v>37</v>
      </c>
      <c r="D1993">
        <v>7.6303539999999996</v>
      </c>
      <c r="E1993">
        <v>0.56796999999999997</v>
      </c>
      <c r="F1993" t="s">
        <v>87</v>
      </c>
      <c r="G1993">
        <v>-279.33690000000001</v>
      </c>
      <c r="H1993">
        <v>10.24663</v>
      </c>
      <c r="I1993">
        <v>3.8960249999999998</v>
      </c>
      <c r="J1993">
        <v>-378.02659999999997</v>
      </c>
      <c r="K1993">
        <v>1.100492</v>
      </c>
      <c r="L1993">
        <v>21.582059999999998</v>
      </c>
      <c r="M1993">
        <v>0.99913969999999896</v>
      </c>
      <c r="N1993">
        <v>0</v>
      </c>
      <c r="O1993">
        <v>-3.9468209999999997E-2</v>
      </c>
      <c r="P1993">
        <v>0.98557799999999995</v>
      </c>
      <c r="Q1993">
        <v>0.1690767</v>
      </c>
      <c r="R1993">
        <v>6.9995250000000004E-3</v>
      </c>
      <c r="S1993">
        <v>3.0021969999999998</v>
      </c>
      <c r="T1993">
        <v>0.27722950000000002</v>
      </c>
      <c r="U1993">
        <v>-0.53656009999999998</v>
      </c>
      <c r="V1993">
        <v>-4.4581160000000002E-2</v>
      </c>
      <c r="W1993">
        <v>0.1819192</v>
      </c>
      <c r="X1993">
        <v>0.98230239999999902</v>
      </c>
      <c r="Y1993">
        <v>0.13654229999999901</v>
      </c>
      <c r="Z1993">
        <v>2.6369050000000002E-3</v>
      </c>
      <c r="AA1993">
        <v>0.99063069999999898</v>
      </c>
      <c r="AB1993">
        <v>36</v>
      </c>
      <c r="AC1993">
        <v>98.689699999999903</v>
      </c>
      <c r="AD1993">
        <v>9.1461380000000005</v>
      </c>
      <c r="AE1993">
        <v>-17.686035</v>
      </c>
      <c r="AF1993">
        <v>13.663132457504201</v>
      </c>
      <c r="AG1993">
        <v>9.1461380000000005</v>
      </c>
      <c r="AH1993">
        <v>98.491285167389293</v>
      </c>
      <c r="AI1993">
        <v>84.744632700955904</v>
      </c>
      <c r="AJ1993">
        <v>82.102090502814903</v>
      </c>
      <c r="AK1993">
        <v>99.854225162435398</v>
      </c>
    </row>
    <row r="1994" spans="1:37" x14ac:dyDescent="0.2">
      <c r="A1994" t="str">
        <f>"20200111150630293"</f>
        <v>20200111150630293</v>
      </c>
      <c r="B1994" t="str">
        <f>"1578726390288228"</f>
        <v>1578726390288228</v>
      </c>
      <c r="C1994" t="s">
        <v>37</v>
      </c>
      <c r="D1994">
        <v>7.5821240000000003</v>
      </c>
      <c r="E1994">
        <v>0.56561680000000003</v>
      </c>
      <c r="F1994" t="s">
        <v>87</v>
      </c>
      <c r="G1994">
        <v>-279.33690000000001</v>
      </c>
      <c r="H1994">
        <v>9.9719669999999994</v>
      </c>
      <c r="I1994">
        <v>4.2942029999999898</v>
      </c>
      <c r="J1994">
        <v>-377.68150000000003</v>
      </c>
      <c r="K1994">
        <v>1.1005419999999999</v>
      </c>
      <c r="L1994">
        <v>21.565770000000001</v>
      </c>
      <c r="M1994">
        <v>0.99902649999999904</v>
      </c>
      <c r="N1994">
        <v>0</v>
      </c>
      <c r="O1994">
        <v>-4.2239760000000001E-2</v>
      </c>
      <c r="P1994">
        <v>0.9856279</v>
      </c>
      <c r="Q1994">
        <v>0.1688791</v>
      </c>
      <c r="R1994">
        <v>4.220733E-3</v>
      </c>
      <c r="S1994">
        <v>3.0013429999999999</v>
      </c>
      <c r="T1994">
        <v>0.2697985</v>
      </c>
      <c r="U1994">
        <v>-0.52575680000000002</v>
      </c>
      <c r="V1994">
        <v>-4.4559849999999998E-2</v>
      </c>
      <c r="W1994">
        <v>0.1817242</v>
      </c>
      <c r="X1994">
        <v>0.98233939999999997</v>
      </c>
      <c r="Y1994">
        <v>0.13043840000000001</v>
      </c>
      <c r="Z1994">
        <v>2.0500200000000001E-3</v>
      </c>
      <c r="AA1994">
        <v>0.99145430000000001</v>
      </c>
      <c r="AB1994">
        <v>36</v>
      </c>
      <c r="AC1994">
        <v>98.3446</v>
      </c>
      <c r="AD1994">
        <v>8.8714249999999897</v>
      </c>
      <c r="AE1994">
        <v>-17.271567000000001</v>
      </c>
      <c r="AF1994">
        <v>12.9991468644396</v>
      </c>
      <c r="AG1994">
        <v>8.8714249999999897</v>
      </c>
      <c r="AH1994">
        <v>98.211147920125498</v>
      </c>
      <c r="AI1994">
        <v>84.882862163037004</v>
      </c>
      <c r="AJ1994">
        <v>82.4602036373375</v>
      </c>
      <c r="AK1994">
        <v>99.464112002886097</v>
      </c>
    </row>
    <row r="1995" spans="1:37" x14ac:dyDescent="0.2">
      <c r="A1995" t="str">
        <f>"20200111150630316"</f>
        <v>20200111150630316</v>
      </c>
      <c r="B1995" t="str">
        <f>"1578726390308724"</f>
        <v>1578726390308724</v>
      </c>
      <c r="C1995" t="s">
        <v>37</v>
      </c>
      <c r="D1995">
        <v>7.7707689999999996</v>
      </c>
      <c r="E1995">
        <v>0.56364599999999998</v>
      </c>
      <c r="F1995" t="s">
        <v>87</v>
      </c>
      <c r="G1995">
        <v>-279.33690000000001</v>
      </c>
      <c r="H1995">
        <v>10.15297</v>
      </c>
      <c r="I1995">
        <v>4.6623970000000003</v>
      </c>
      <c r="J1995">
        <v>-377.31400000000002</v>
      </c>
      <c r="K1995">
        <v>1.1005819999999999</v>
      </c>
      <c r="L1995">
        <v>21.5473</v>
      </c>
      <c r="M1995">
        <v>0.99889839999999996</v>
      </c>
      <c r="N1995">
        <v>0</v>
      </c>
      <c r="O1995">
        <v>-4.5163549999999997E-2</v>
      </c>
      <c r="P1995">
        <v>0.98568960000000005</v>
      </c>
      <c r="Q1995">
        <v>0.16855529999999999</v>
      </c>
      <c r="R1995">
        <v>2.2490940000000001E-3</v>
      </c>
      <c r="S1995">
        <v>2.998688</v>
      </c>
      <c r="T1995">
        <v>0.27602329999999897</v>
      </c>
      <c r="U1995">
        <v>-0.51541139999999996</v>
      </c>
      <c r="V1995">
        <v>-4.5494199999999901E-2</v>
      </c>
      <c r="W1995">
        <v>0.18140999999999999</v>
      </c>
      <c r="X1995">
        <v>0.98235459999999997</v>
      </c>
      <c r="Y1995">
        <v>0.12438289999999901</v>
      </c>
      <c r="Z1995">
        <v>1.557438E-3</v>
      </c>
      <c r="AA1995">
        <v>0.99223300000000003</v>
      </c>
      <c r="AB1995">
        <v>36</v>
      </c>
      <c r="AC1995">
        <v>97.977099999999993</v>
      </c>
      <c r="AD1995">
        <v>9.0523880000000005</v>
      </c>
      <c r="AE1995">
        <v>-16.884903000000001</v>
      </c>
      <c r="AF1995">
        <v>12.3400166966022</v>
      </c>
      <c r="AG1995">
        <v>9.0523880000000005</v>
      </c>
      <c r="AH1995">
        <v>97.828729702921393</v>
      </c>
      <c r="AI1995">
        <v>84.754633289943598</v>
      </c>
      <c r="AJ1995">
        <v>82.810737619750199</v>
      </c>
      <c r="AK1995">
        <v>99.018594697471997</v>
      </c>
    </row>
    <row r="1996" spans="1:37" x14ac:dyDescent="0.2">
      <c r="A1996" t="str">
        <f>"20200111150630338"</f>
        <v>20200111150630338</v>
      </c>
      <c r="B1996" t="str">
        <f>"1578726390329220"</f>
        <v>1578726390329220</v>
      </c>
      <c r="C1996" t="s">
        <v>37</v>
      </c>
      <c r="D1996">
        <v>5.9243040000000002</v>
      </c>
      <c r="E1996">
        <v>0.56314469999999905</v>
      </c>
      <c r="F1996" t="s">
        <v>87</v>
      </c>
      <c r="G1996">
        <v>-279.33690000000001</v>
      </c>
      <c r="H1996">
        <v>10.04214</v>
      </c>
      <c r="I1996">
        <v>5.0070110000000003</v>
      </c>
      <c r="J1996">
        <v>-376.952</v>
      </c>
      <c r="K1996">
        <v>1.1006180000000001</v>
      </c>
      <c r="L1996">
        <v>21.52814</v>
      </c>
      <c r="M1996">
        <v>0.9987646</v>
      </c>
      <c r="N1996">
        <v>0</v>
      </c>
      <c r="O1996">
        <v>-4.8032209999999999E-2</v>
      </c>
      <c r="P1996">
        <v>0.98572039999999905</v>
      </c>
      <c r="Q1996">
        <v>0.16838889999999901</v>
      </c>
      <c r="R1996">
        <v>7.9104160000000002E-4</v>
      </c>
      <c r="S1996">
        <v>2.997925</v>
      </c>
      <c r="T1996">
        <v>0.27359600000000001</v>
      </c>
      <c r="U1996">
        <v>-0.50610350000000004</v>
      </c>
      <c r="V1996">
        <v>-4.6882500000000001E-2</v>
      </c>
      <c r="W1996">
        <v>0.18125569999999999</v>
      </c>
      <c r="X1996">
        <v>0.98231789999999997</v>
      </c>
      <c r="Y1996">
        <v>0.1186198</v>
      </c>
      <c r="Z1996">
        <v>1.025174E-3</v>
      </c>
      <c r="AA1996">
        <v>0.99293920000000002</v>
      </c>
      <c r="AB1996">
        <v>36</v>
      </c>
      <c r="AC1996">
        <v>97.615099999999899</v>
      </c>
      <c r="AD1996">
        <v>8.9415219999999902</v>
      </c>
      <c r="AE1996">
        <v>-16.521128999999998</v>
      </c>
      <c r="AF1996">
        <v>11.717430235113</v>
      </c>
      <c r="AG1996">
        <v>8.9415219999999902</v>
      </c>
      <c r="AH1996">
        <v>97.500723231006901</v>
      </c>
      <c r="AI1996">
        <v>84.797445971461002</v>
      </c>
      <c r="AJ1996">
        <v>83.147179692936007</v>
      </c>
      <c r="AK1996">
        <v>98.608518990808506</v>
      </c>
    </row>
    <row r="1997" spans="1:37" x14ac:dyDescent="0.2">
      <c r="A1997" t="str">
        <f>"20200111150630362"</f>
        <v>20200111150630362</v>
      </c>
      <c r="B1997" t="str">
        <f>"1578726390358500"</f>
        <v>1578726390358500</v>
      </c>
      <c r="C1997" t="s">
        <v>37</v>
      </c>
      <c r="D1997">
        <v>4.4715809999999996</v>
      </c>
      <c r="E1997">
        <v>0.5646852</v>
      </c>
      <c r="F1997" t="s">
        <v>87</v>
      </c>
      <c r="G1997">
        <v>-279.33690000000001</v>
      </c>
      <c r="H1997">
        <v>10.672239999999899</v>
      </c>
      <c r="I1997">
        <v>5.0218109999999996</v>
      </c>
      <c r="J1997">
        <v>-376.58710000000002</v>
      </c>
      <c r="K1997">
        <v>1.100644</v>
      </c>
      <c r="L1997">
        <v>21.507719999999999</v>
      </c>
      <c r="M1997">
        <v>0.99862150000000005</v>
      </c>
      <c r="N1997">
        <v>0</v>
      </c>
      <c r="O1997">
        <v>-5.091768E-2</v>
      </c>
      <c r="P1997">
        <v>0.9857418</v>
      </c>
      <c r="Q1997">
        <v>0.16826450000000001</v>
      </c>
      <c r="R1997">
        <v>-3.7890910000000001E-4</v>
      </c>
      <c r="S1997">
        <v>2.9937130000000001</v>
      </c>
      <c r="T1997">
        <v>0.29354809999999998</v>
      </c>
      <c r="U1997">
        <v>-0.50622559999999905</v>
      </c>
      <c r="V1997">
        <v>-4.8572520000000001E-2</v>
      </c>
      <c r="W1997">
        <v>0.18114459999999999</v>
      </c>
      <c r="X1997">
        <v>0.98225620000000002</v>
      </c>
      <c r="Y1997">
        <v>0.11600099999999899</v>
      </c>
      <c r="Z1997">
        <v>6.9446489999999998E-4</v>
      </c>
      <c r="AA1997">
        <v>0.99324889999999999</v>
      </c>
      <c r="AB1997">
        <v>36</v>
      </c>
      <c r="AC1997">
        <v>97.250200000000007</v>
      </c>
      <c r="AD1997">
        <v>9.5715959999999995</v>
      </c>
      <c r="AE1997">
        <v>-16.485908999999999</v>
      </c>
      <c r="AF1997">
        <v>11.404970608909601</v>
      </c>
      <c r="AG1997">
        <v>9.5715959999999995</v>
      </c>
      <c r="AH1997">
        <v>97.049669134989202</v>
      </c>
      <c r="AI1997">
        <v>84.405627341620601</v>
      </c>
      <c r="AJ1997">
        <v>83.297522337417902</v>
      </c>
      <c r="AK1997">
        <v>98.185167330856004</v>
      </c>
    </row>
    <row r="1998" spans="1:37" x14ac:dyDescent="0.2">
      <c r="A1998" t="str">
        <f>"20200111150630384"</f>
        <v>20200111150630384</v>
      </c>
      <c r="B1998" t="str">
        <f>"1578726390378624"</f>
        <v>1578726390378624</v>
      </c>
      <c r="C1998" t="s">
        <v>37</v>
      </c>
      <c r="D1998">
        <v>5.3496779999999999</v>
      </c>
      <c r="E1998">
        <v>0.5676736</v>
      </c>
      <c r="F1998" t="s">
        <v>87</v>
      </c>
      <c r="G1998">
        <v>-279.33690000000001</v>
      </c>
      <c r="H1998">
        <v>11.692310000000001</v>
      </c>
      <c r="I1998">
        <v>4.5337940000000003</v>
      </c>
      <c r="J1998">
        <v>-376.22930000000002</v>
      </c>
      <c r="K1998">
        <v>1.1006689999999999</v>
      </c>
      <c r="L1998">
        <v>21.486719999999998</v>
      </c>
      <c r="M1998">
        <v>0.99847339999999996</v>
      </c>
      <c r="N1998">
        <v>0</v>
      </c>
      <c r="O1998">
        <v>-5.374197E-2</v>
      </c>
      <c r="P1998">
        <v>0.9858749</v>
      </c>
      <c r="Q1998">
        <v>0.16747770000000001</v>
      </c>
      <c r="R1998">
        <v>-1.3539239999999901E-3</v>
      </c>
      <c r="S1998">
        <v>2.9876099999999899</v>
      </c>
      <c r="T1998">
        <v>0.32538519999999999</v>
      </c>
      <c r="U1998">
        <v>-0.52145390000000003</v>
      </c>
      <c r="V1998">
        <v>-5.0405440000000003E-2</v>
      </c>
      <c r="W1998">
        <v>0.18037220000000001</v>
      </c>
      <c r="X1998">
        <v>0.98230609999999996</v>
      </c>
      <c r="Y1998">
        <v>0.1183748</v>
      </c>
      <c r="Z1998">
        <v>5.9526040000000004E-4</v>
      </c>
      <c r="AA1998">
        <v>0.99296879999999998</v>
      </c>
      <c r="AB1998">
        <v>36</v>
      </c>
      <c r="AC1998">
        <v>96.892399999999995</v>
      </c>
      <c r="AD1998">
        <v>10.591640999999999</v>
      </c>
      <c r="AE1998">
        <v>-16.952926000000001</v>
      </c>
      <c r="AF1998">
        <v>11.586471429242399</v>
      </c>
      <c r="AG1998">
        <v>10.591640999999999</v>
      </c>
      <c r="AH1998">
        <v>96.544132313396901</v>
      </c>
      <c r="AI1998">
        <v>83.783500522566499</v>
      </c>
      <c r="AJ1998">
        <v>83.156538840546801</v>
      </c>
      <c r="AK1998">
        <v>97.812057863027405</v>
      </c>
    </row>
    <row r="1999" spans="1:37" x14ac:dyDescent="0.2">
      <c r="A1999" t="str">
        <f>"20200111150630406"</f>
        <v>20200111150630406</v>
      </c>
      <c r="B1999" t="str">
        <f>"1578726390398145"</f>
        <v>1578726390398145</v>
      </c>
      <c r="C1999" t="s">
        <v>37</v>
      </c>
      <c r="D1999">
        <v>5.3948179999999999</v>
      </c>
      <c r="E1999">
        <v>0.56868699999999905</v>
      </c>
      <c r="F1999" t="s">
        <v>38</v>
      </c>
      <c r="G1999">
        <v>-375.37540000000001</v>
      </c>
      <c r="H1999">
        <v>1.035949</v>
      </c>
      <c r="I1999">
        <v>21.330770000000001</v>
      </c>
      <c r="J1999">
        <v>-375.86559999999997</v>
      </c>
      <c r="K1999">
        <v>1.1006929999999999</v>
      </c>
      <c r="L1999">
        <v>21.464389999999899</v>
      </c>
      <c r="M1999">
        <v>0.99831530000000002</v>
      </c>
      <c r="N1999">
        <v>0</v>
      </c>
      <c r="O1999">
        <v>-5.6603439999999998E-2</v>
      </c>
      <c r="P1999">
        <v>0.98593679999999995</v>
      </c>
      <c r="Q1999">
        <v>0.16711799999999999</v>
      </c>
      <c r="R1999">
        <v>-7.2678179999999997E-4</v>
      </c>
      <c r="S1999">
        <v>3.0818479999999999</v>
      </c>
      <c r="T1999">
        <v>-0.23342840000000001</v>
      </c>
      <c r="U1999">
        <v>-0.56195069999999903</v>
      </c>
      <c r="V1999">
        <v>-5.3869500000000001E-2</v>
      </c>
      <c r="W1999">
        <v>0.18003540000000001</v>
      </c>
      <c r="X1999">
        <v>0.9821839</v>
      </c>
      <c r="Y1999">
        <v>0.1232226</v>
      </c>
      <c r="Z1999">
        <v>-3.8245599999999999E-4</v>
      </c>
      <c r="AA1999">
        <v>0.99237900000000001</v>
      </c>
      <c r="AB1999">
        <v>36</v>
      </c>
      <c r="AC1999">
        <v>0.490199999999958</v>
      </c>
      <c r="AD1999">
        <v>-6.4743999999999899E-2</v>
      </c>
      <c r="AE1999">
        <v>-0.13361999999999599</v>
      </c>
      <c r="AF1999">
        <v>0.10396826239366599</v>
      </c>
      <c r="AG1999">
        <v>-6.4743999999999899E-2</v>
      </c>
      <c r="AH1999">
        <v>0.48903705031217198</v>
      </c>
      <c r="AI1999">
        <v>97.378549277847796</v>
      </c>
      <c r="AJ1999">
        <v>77.997732493131593</v>
      </c>
      <c r="AK1999">
        <v>0.50414127156898003</v>
      </c>
    </row>
    <row r="2000" spans="1:37" x14ac:dyDescent="0.2">
      <c r="A2000" t="str">
        <f>"20200111150630429"</f>
        <v>20200111150630429</v>
      </c>
      <c r="B2000" t="str">
        <f>"1578726390418641"</f>
        <v>1578726390418641</v>
      </c>
      <c r="C2000" t="s">
        <v>37</v>
      </c>
      <c r="D2000">
        <v>5.5962459999999998</v>
      </c>
      <c r="E2000">
        <v>0.56668419999999997</v>
      </c>
      <c r="F2000" t="s">
        <v>38</v>
      </c>
      <c r="G2000">
        <v>-375.05619999999999</v>
      </c>
      <c r="H2000">
        <v>1.036724</v>
      </c>
      <c r="I2000">
        <v>21.314879999999999</v>
      </c>
      <c r="J2000">
        <v>-375.51339999999999</v>
      </c>
      <c r="K2000">
        <v>1.100722</v>
      </c>
      <c r="L2000">
        <v>21.441770000000002</v>
      </c>
      <c r="M2000">
        <v>0.99815589999999998</v>
      </c>
      <c r="N2000">
        <v>0</v>
      </c>
      <c r="O2000">
        <v>-5.934565E-2</v>
      </c>
      <c r="P2000">
        <v>0.98602250000000002</v>
      </c>
      <c r="Q2000">
        <v>0.1666115</v>
      </c>
      <c r="R2000">
        <v>5.0145989999999998E-4</v>
      </c>
      <c r="S2000">
        <v>3.0836489999999999</v>
      </c>
      <c r="T2000">
        <v>-0.243563</v>
      </c>
      <c r="U2000">
        <v>-0.56878660000000003</v>
      </c>
      <c r="V2000">
        <v>-5.7821900000000002E-2</v>
      </c>
      <c r="W2000">
        <v>0.17955279999999901</v>
      </c>
      <c r="X2000">
        <v>0.98204760000000002</v>
      </c>
      <c r="Y2000">
        <v>0.122517</v>
      </c>
      <c r="Z2000">
        <v>-1.5753929999999999E-4</v>
      </c>
      <c r="AA2000">
        <v>0.99246639999999997</v>
      </c>
      <c r="AB2000">
        <v>36</v>
      </c>
      <c r="AC2000">
        <v>0.4572</v>
      </c>
      <c r="AD2000">
        <v>-6.3997999999999999E-2</v>
      </c>
      <c r="AE2000">
        <v>-0.126890000000003</v>
      </c>
      <c r="AF2000">
        <v>9.7752902245324097E-2</v>
      </c>
      <c r="AG2000">
        <v>-6.3997999999999999E-2</v>
      </c>
      <c r="AH2000">
        <v>0.45563585110131299</v>
      </c>
      <c r="AI2000">
        <v>97.819719585808798</v>
      </c>
      <c r="AJ2000">
        <v>77.891219207443697</v>
      </c>
      <c r="AK2000">
        <v>0.47037793603675898</v>
      </c>
    </row>
    <row r="2001" spans="1:37" x14ac:dyDescent="0.2">
      <c r="A2001" t="str">
        <f>"20200111150630450"</f>
        <v>20200111150630450</v>
      </c>
      <c r="B2001" t="str">
        <f>"1578726390448896"</f>
        <v>1578726390448896</v>
      </c>
      <c r="C2001" t="s">
        <v>37</v>
      </c>
      <c r="D2001">
        <v>5.5608430000000002</v>
      </c>
      <c r="E2001">
        <v>0.56619030000000004</v>
      </c>
      <c r="F2001" t="s">
        <v>38</v>
      </c>
      <c r="G2001">
        <v>-374.7303</v>
      </c>
      <c r="H2001">
        <v>1.046664</v>
      </c>
      <c r="I2001">
        <v>21.301880000000001</v>
      </c>
      <c r="J2001">
        <v>-375.15809999999999</v>
      </c>
      <c r="K2001">
        <v>1.100762</v>
      </c>
      <c r="L2001">
        <v>21.418029999999899</v>
      </c>
      <c r="M2001">
        <v>0.99799099999999996</v>
      </c>
      <c r="N2001">
        <v>0</v>
      </c>
      <c r="O2001">
        <v>-6.2057059999999997E-2</v>
      </c>
      <c r="P2001">
        <v>0.98616899999999996</v>
      </c>
      <c r="Q2001">
        <v>0.16574330000000001</v>
      </c>
      <c r="R2001">
        <v>1.5167849999999999E-4</v>
      </c>
      <c r="S2001">
        <v>3.0787049999999998</v>
      </c>
      <c r="T2001">
        <v>-0.21244779999999999</v>
      </c>
      <c r="U2001">
        <v>-0.54913330000000005</v>
      </c>
      <c r="V2001">
        <v>-6.018155E-2</v>
      </c>
      <c r="W2001">
        <v>0.1786952</v>
      </c>
      <c r="X2001">
        <v>0.982062199999999</v>
      </c>
      <c r="Y2001">
        <v>0.11403779999999999</v>
      </c>
      <c r="Z2001">
        <v>3.3703120000000002E-4</v>
      </c>
      <c r="AA2001">
        <v>0.99347629999999998</v>
      </c>
      <c r="AB2001">
        <v>36</v>
      </c>
      <c r="AC2001">
        <v>0.42779999999999002</v>
      </c>
      <c r="AD2001">
        <v>-5.4097999999999903E-2</v>
      </c>
      <c r="AE2001">
        <v>-0.11614999999999701</v>
      </c>
      <c r="AF2001">
        <v>8.8064352355196801E-2</v>
      </c>
      <c r="AG2001">
        <v>-5.4097999999999903E-2</v>
      </c>
      <c r="AH2001">
        <v>0.42781229082616801</v>
      </c>
      <c r="AI2001">
        <v>97.060456969547005</v>
      </c>
      <c r="AJ2001">
        <v>78.368248098492799</v>
      </c>
      <c r="AK2001">
        <v>0.44011962003718202</v>
      </c>
    </row>
    <row r="2002" spans="1:37" x14ac:dyDescent="0.2">
      <c r="A2002" t="str">
        <f>"20200111150630472"</f>
        <v>20200111150630472</v>
      </c>
      <c r="B2002" t="str">
        <f>"1578726390468416"</f>
        <v>1578726390468416</v>
      </c>
      <c r="C2002" t="s">
        <v>37</v>
      </c>
      <c r="D2002">
        <v>5.4439229999999998</v>
      </c>
      <c r="E2002">
        <v>0.56591950000000002</v>
      </c>
      <c r="F2002" t="s">
        <v>38</v>
      </c>
      <c r="G2002">
        <v>-374.40800000000002</v>
      </c>
      <c r="H2002">
        <v>1.0509040000000001</v>
      </c>
      <c r="I2002">
        <v>21.284990000000001</v>
      </c>
      <c r="J2002">
        <v>-374.81569999999999</v>
      </c>
      <c r="K2002">
        <v>1.100824</v>
      </c>
      <c r="L2002">
        <v>21.394289999999899</v>
      </c>
      <c r="M2002">
        <v>0.99783089999999997</v>
      </c>
      <c r="N2002">
        <v>0</v>
      </c>
      <c r="O2002">
        <v>-6.4580380000000007E-2</v>
      </c>
      <c r="P2002">
        <v>0.98629650000000002</v>
      </c>
      <c r="Q2002">
        <v>0.1649668</v>
      </c>
      <c r="R2002">
        <v>-2.3102359999999998E-3</v>
      </c>
      <c r="S2002">
        <v>3.0765380000000002</v>
      </c>
      <c r="T2002">
        <v>-0.2044415</v>
      </c>
      <c r="U2002">
        <v>-0.54547119999999905</v>
      </c>
      <c r="V2002">
        <v>-6.0257230000000002E-2</v>
      </c>
      <c r="W2002">
        <v>0.1779107</v>
      </c>
      <c r="X2002">
        <v>0.98219999999999996</v>
      </c>
      <c r="Y2002">
        <v>0.1105212</v>
      </c>
      <c r="Z2002">
        <v>6.0596640000000002E-4</v>
      </c>
      <c r="AA2002">
        <v>0.99387359999999902</v>
      </c>
      <c r="AB2002">
        <v>36</v>
      </c>
      <c r="AC2002">
        <v>0.40769999999997703</v>
      </c>
      <c r="AD2002">
        <v>-4.9919999999999902E-2</v>
      </c>
      <c r="AE2002">
        <v>-0.109299999999997</v>
      </c>
      <c r="AF2002">
        <v>8.1598909947380005E-2</v>
      </c>
      <c r="AG2002">
        <v>-4.9919999999999902E-2</v>
      </c>
      <c r="AH2002">
        <v>0.40819852482315999</v>
      </c>
      <c r="AI2002">
        <v>96.838304701564795</v>
      </c>
      <c r="AJ2002">
        <v>78.695573489489405</v>
      </c>
      <c r="AK2002">
        <v>0.41925699060648303</v>
      </c>
    </row>
    <row r="2003" spans="1:37" x14ac:dyDescent="0.2">
      <c r="A2003" t="str">
        <f>"20200111150630495"</f>
        <v>20200111150630495</v>
      </c>
      <c r="B2003" t="str">
        <f>"1578726390488912"</f>
        <v>1578726390488912</v>
      </c>
      <c r="C2003" t="s">
        <v>37</v>
      </c>
      <c r="D2003">
        <v>5.4845709999999999</v>
      </c>
      <c r="E2003">
        <v>0.5660018</v>
      </c>
      <c r="F2003" t="s">
        <v>39</v>
      </c>
      <c r="G2003">
        <v>-358.221</v>
      </c>
      <c r="H2003" s="1">
        <v>-9.5722480000000009E-7</v>
      </c>
      <c r="I2003">
        <v>18.422619999999998</v>
      </c>
      <c r="J2003">
        <v>-374.4631</v>
      </c>
      <c r="K2003">
        <v>1.1009340000000001</v>
      </c>
      <c r="L2003">
        <v>21.369019999999999</v>
      </c>
      <c r="M2003">
        <v>0.99766929999999998</v>
      </c>
      <c r="N2003">
        <v>0</v>
      </c>
      <c r="O2003">
        <v>-6.702719E-2</v>
      </c>
      <c r="P2003">
        <v>0.98626550000000002</v>
      </c>
      <c r="Q2003">
        <v>0.16510369999999999</v>
      </c>
      <c r="R2003">
        <v>-4.6234889999999997E-3</v>
      </c>
      <c r="S2003">
        <v>3.0744630000000002</v>
      </c>
      <c r="T2003">
        <v>-0.20394679999999901</v>
      </c>
      <c r="U2003">
        <v>-0.5505371</v>
      </c>
      <c r="V2003">
        <v>-6.0408120000000003E-2</v>
      </c>
      <c r="W2003">
        <v>0.17802989999999999</v>
      </c>
      <c r="X2003">
        <v>0.98216919999999996</v>
      </c>
      <c r="Y2003">
        <v>0.109793499999999</v>
      </c>
      <c r="Z2003">
        <v>7.8881929999999995E-4</v>
      </c>
      <c r="AA2003">
        <v>0.99395409999999995</v>
      </c>
      <c r="AB2003">
        <v>36</v>
      </c>
      <c r="AC2003">
        <v>16.242099999999901</v>
      </c>
      <c r="AD2003">
        <v>-1.1009349572247999</v>
      </c>
      <c r="AE2003">
        <v>-2.9464000000000001</v>
      </c>
      <c r="AF2003">
        <v>1.84282454499249</v>
      </c>
      <c r="AG2003">
        <v>-1.1009349572247999</v>
      </c>
      <c r="AH2003">
        <v>16.3304331320237</v>
      </c>
      <c r="AI2003">
        <v>93.832572972837994</v>
      </c>
      <c r="AJ2003">
        <v>83.561635759430501</v>
      </c>
      <c r="AK2003">
        <v>16.470916986104999</v>
      </c>
    </row>
    <row r="2004" spans="1:37" x14ac:dyDescent="0.2">
      <c r="A2004" t="str">
        <f>"20200111150630517"</f>
        <v>20200111150630517</v>
      </c>
      <c r="B2004" t="str">
        <f>"1578726390508432"</f>
        <v>1578726390508432</v>
      </c>
      <c r="C2004" t="s">
        <v>37</v>
      </c>
      <c r="D2004">
        <v>5.432016</v>
      </c>
      <c r="E2004">
        <v>0.56591899999999995</v>
      </c>
      <c r="F2004" t="s">
        <v>38</v>
      </c>
      <c r="G2004">
        <v>-373.46800000000002</v>
      </c>
      <c r="H2004">
        <v>1.033264</v>
      </c>
      <c r="I2004">
        <v>21.18787</v>
      </c>
      <c r="J2004">
        <v>-374.1046</v>
      </c>
      <c r="K2004">
        <v>1.1010799999999901</v>
      </c>
      <c r="L2004">
        <v>21.342589999999898</v>
      </c>
      <c r="M2004">
        <v>0.99751259999999997</v>
      </c>
      <c r="N2004">
        <v>0</v>
      </c>
      <c r="O2004">
        <v>-6.93246E-2</v>
      </c>
      <c r="P2004">
        <v>0.98616250000000005</v>
      </c>
      <c r="Q2004">
        <v>0.16561389999999901</v>
      </c>
      <c r="R2004">
        <v>-7.4712950000000002E-3</v>
      </c>
      <c r="S2004">
        <v>3.0741580000000002</v>
      </c>
      <c r="T2004">
        <v>-0.20901230000000001</v>
      </c>
      <c r="U2004">
        <v>-0.55902099999999999</v>
      </c>
      <c r="V2004">
        <v>-5.988856E-2</v>
      </c>
      <c r="W2004">
        <v>0.1785118</v>
      </c>
      <c r="X2004">
        <v>0.98211349999999997</v>
      </c>
      <c r="Y2004">
        <v>0.1101779</v>
      </c>
      <c r="Z2004">
        <v>9.4922589999999905E-4</v>
      </c>
      <c r="AA2004">
        <v>0.9939114</v>
      </c>
      <c r="AB2004">
        <v>36</v>
      </c>
      <c r="AC2004">
        <v>0.63659999999998695</v>
      </c>
      <c r="AD2004">
        <v>-6.7815999999999793E-2</v>
      </c>
      <c r="AE2004">
        <v>-0.154719999999997</v>
      </c>
      <c r="AF2004">
        <v>0.109043634004962</v>
      </c>
      <c r="AG2004">
        <v>-6.7815999999999793E-2</v>
      </c>
      <c r="AH2004">
        <v>0.63894840202000902</v>
      </c>
      <c r="AI2004">
        <v>95.972796846158502</v>
      </c>
      <c r="AJ2004">
        <v>80.315144675851101</v>
      </c>
      <c r="AK2004">
        <v>0.65172431626948801</v>
      </c>
    </row>
    <row r="2005" spans="1:37" x14ac:dyDescent="0.2">
      <c r="A2005" t="str">
        <f>"20200111150630539"</f>
        <v>20200111150630539</v>
      </c>
      <c r="B2005" t="str">
        <f>"1578726390528928"</f>
        <v>1578726390528928</v>
      </c>
      <c r="C2005" t="s">
        <v>37</v>
      </c>
      <c r="D2005">
        <v>5.1514139999999999</v>
      </c>
      <c r="E2005">
        <v>0.56590209999999996</v>
      </c>
      <c r="F2005" t="s">
        <v>38</v>
      </c>
      <c r="G2005">
        <v>-373.14960000000002</v>
      </c>
      <c r="H2005">
        <v>1.0343929999999999</v>
      </c>
      <c r="I2005">
        <v>21.16619</v>
      </c>
      <c r="J2005">
        <v>-373.75220000000002</v>
      </c>
      <c r="K2005">
        <v>1.1012439999999999</v>
      </c>
      <c r="L2005">
        <v>21.316040000000001</v>
      </c>
      <c r="M2005">
        <v>0.99736619999999998</v>
      </c>
      <c r="N2005">
        <v>0</v>
      </c>
      <c r="O2005">
        <v>-7.1399820000000003E-2</v>
      </c>
      <c r="P2005">
        <v>0.98624809999999996</v>
      </c>
      <c r="Q2005">
        <v>0.16496520000000001</v>
      </c>
      <c r="R2005">
        <v>-1.0064160000000001E-2</v>
      </c>
      <c r="S2005">
        <v>3.07385299999999</v>
      </c>
      <c r="T2005">
        <v>-0.214625599999999</v>
      </c>
      <c r="U2005">
        <v>-0.56753540000000002</v>
      </c>
      <c r="V2005">
        <v>-5.942998E-2</v>
      </c>
      <c r="W2005">
        <v>0.17783560000000001</v>
      </c>
      <c r="X2005">
        <v>0.98226399999999903</v>
      </c>
      <c r="Y2005">
        <v>0.1107896</v>
      </c>
      <c r="Z2005">
        <v>1.0960500000000001E-3</v>
      </c>
      <c r="AA2005">
        <v>0.99384329999999999</v>
      </c>
      <c r="AB2005">
        <v>36</v>
      </c>
      <c r="AC2005">
        <v>0.60259999999999503</v>
      </c>
      <c r="AD2005">
        <v>-6.6850999999999994E-2</v>
      </c>
      <c r="AE2005">
        <v>-0.14985000000000001</v>
      </c>
      <c r="AF2005">
        <v>0.105218922308541</v>
      </c>
      <c r="AG2005">
        <v>-6.6850999999999994E-2</v>
      </c>
      <c r="AH2005">
        <v>0.604752574289666</v>
      </c>
      <c r="AI2005">
        <v>96.215395253289302</v>
      </c>
      <c r="AJ2005">
        <v>80.130095178353002</v>
      </c>
      <c r="AK2005">
        <v>0.61746720878338901</v>
      </c>
    </row>
    <row r="2006" spans="1:37" x14ac:dyDescent="0.2">
      <c r="A2006" t="str">
        <f>"20200111150630562"</f>
        <v>20200111150630562</v>
      </c>
      <c r="B2006" t="str">
        <f>"1578726390558208"</f>
        <v>1578726390558208</v>
      </c>
      <c r="C2006" t="s">
        <v>37</v>
      </c>
      <c r="D2006">
        <v>5.1255559999999996</v>
      </c>
      <c r="E2006">
        <v>0.4971198</v>
      </c>
      <c r="F2006" t="s">
        <v>38</v>
      </c>
      <c r="G2006">
        <v>-372.83150000000001</v>
      </c>
      <c r="H2006">
        <v>1.035463</v>
      </c>
      <c r="I2006">
        <v>21.143219999999999</v>
      </c>
      <c r="J2006">
        <v>-373.39599999999899</v>
      </c>
      <c r="K2006">
        <v>1.1014329999999899</v>
      </c>
      <c r="L2006">
        <v>21.288729999999902</v>
      </c>
      <c r="M2006">
        <v>0.99723209999999995</v>
      </c>
      <c r="N2006">
        <v>0</v>
      </c>
      <c r="O2006">
        <v>-7.3247779999999998E-2</v>
      </c>
      <c r="P2006">
        <v>0.98633700000000002</v>
      </c>
      <c r="Q2006">
        <v>0.16422239999999999</v>
      </c>
      <c r="R2006">
        <v>-1.305135E-2</v>
      </c>
      <c r="S2006">
        <v>3.0726930000000001</v>
      </c>
      <c r="T2006">
        <v>-0.2195529</v>
      </c>
      <c r="U2006">
        <v>-0.57568359999999996</v>
      </c>
      <c r="V2006">
        <v>-5.836707E-2</v>
      </c>
      <c r="W2006">
        <v>0.17705899999999999</v>
      </c>
      <c r="X2006">
        <v>0.98246800000000001</v>
      </c>
      <c r="Y2006">
        <v>0.1115606</v>
      </c>
      <c r="Z2006">
        <v>1.223961E-3</v>
      </c>
      <c r="AA2006">
        <v>0.99375689999999905</v>
      </c>
      <c r="AB2006">
        <v>36</v>
      </c>
      <c r="AC2006">
        <v>0.56449999999995204</v>
      </c>
      <c r="AD2006">
        <v>-6.5969999999999807E-2</v>
      </c>
      <c r="AE2006">
        <v>-0.145509999999998</v>
      </c>
      <c r="AF2006">
        <v>0.102455241037802</v>
      </c>
      <c r="AG2006">
        <v>-6.5969999999999807E-2</v>
      </c>
      <c r="AH2006">
        <v>0.56638912750477</v>
      </c>
      <c r="AI2006">
        <v>96.5384009667697</v>
      </c>
      <c r="AJ2006">
        <v>79.746532138095503</v>
      </c>
      <c r="AK2006">
        <v>0.57934942916320298</v>
      </c>
    </row>
    <row r="2007" spans="1:37" x14ac:dyDescent="0.2">
      <c r="A2007" t="str">
        <f>"20200111150630584"</f>
        <v>20200111150630584</v>
      </c>
      <c r="B2007" t="str">
        <f>"1578726390578704"</f>
        <v>1578726390578704</v>
      </c>
      <c r="C2007" t="s">
        <v>37</v>
      </c>
      <c r="D2007">
        <v>6.8582390000000002</v>
      </c>
      <c r="E2007">
        <v>0.49564069999999999</v>
      </c>
      <c r="F2007" t="s">
        <v>53</v>
      </c>
      <c r="G2007">
        <v>0</v>
      </c>
      <c r="H2007">
        <v>0</v>
      </c>
      <c r="I2007">
        <v>0</v>
      </c>
      <c r="J2007">
        <v>-373.05130000000003</v>
      </c>
      <c r="K2007">
        <v>1.1016589999999999</v>
      </c>
      <c r="L2007">
        <v>21.261869999999998</v>
      </c>
      <c r="M2007">
        <v>0.99712250000000002</v>
      </c>
      <c r="N2007">
        <v>0</v>
      </c>
      <c r="O2007">
        <v>-7.4726719999999996E-2</v>
      </c>
      <c r="P2007">
        <v>0.98661069999999995</v>
      </c>
      <c r="Q2007">
        <v>0.1623541</v>
      </c>
      <c r="R2007">
        <v>-1.550882E-2</v>
      </c>
      <c r="S2007">
        <v>2.950958</v>
      </c>
      <c r="T2007">
        <v>0.54324719999999904</v>
      </c>
      <c r="U2007">
        <v>-1.4770510000000001E-2</v>
      </c>
      <c r="V2007">
        <v>-5.7503390000000001E-2</v>
      </c>
      <c r="W2007">
        <v>0.1751547</v>
      </c>
      <c r="X2007">
        <v>0.98286019999999896</v>
      </c>
      <c r="Y2007">
        <v>-6.735505E-2</v>
      </c>
      <c r="Z2007">
        <v>-1.9780789999999999E-2</v>
      </c>
      <c r="AA2007">
        <v>0.997533</v>
      </c>
      <c r="AB2007">
        <v>36</v>
      </c>
      <c r="AC2007">
        <v>2.950958</v>
      </c>
      <c r="AD2007">
        <v>0.54324719999999904</v>
      </c>
      <c r="AE2007">
        <v>-1.4770510000000001E-2</v>
      </c>
      <c r="AF2007">
        <v>-0.1990582659997</v>
      </c>
      <c r="AG2007">
        <v>0.54324719999999904</v>
      </c>
      <c r="AH2007">
        <v>2.8473171893226699</v>
      </c>
      <c r="AI2007">
        <v>79.223890062477807</v>
      </c>
      <c r="AJ2007">
        <v>93.999087916204005</v>
      </c>
      <c r="AK2007">
        <v>2.9055045844367502</v>
      </c>
    </row>
    <row r="2008" spans="1:37" x14ac:dyDescent="0.2">
      <c r="A2008" t="str">
        <f>"20200111150630607"</f>
        <v>20200111150630607</v>
      </c>
      <c r="B2008" t="str">
        <f>"1578726390598224"</f>
        <v>1578726390598224</v>
      </c>
      <c r="C2008" t="s">
        <v>37</v>
      </c>
      <c r="D2008">
        <v>5.4934019999999997</v>
      </c>
      <c r="E2008">
        <v>0.48549949999999997</v>
      </c>
      <c r="F2008" t="s">
        <v>53</v>
      </c>
      <c r="G2008">
        <v>0</v>
      </c>
      <c r="H2008">
        <v>0</v>
      </c>
      <c r="I2008">
        <v>0</v>
      </c>
      <c r="J2008">
        <v>-372.68369999999999</v>
      </c>
      <c r="K2008">
        <v>1.1019509999999999</v>
      </c>
      <c r="L2008">
        <v>21.233059999999998</v>
      </c>
      <c r="M2008">
        <v>0.99703220000000004</v>
      </c>
      <c r="N2008">
        <v>0</v>
      </c>
      <c r="O2008">
        <v>-7.5924679999999994E-2</v>
      </c>
      <c r="P2008">
        <v>0.9867939</v>
      </c>
      <c r="Q2008">
        <v>0.16106199999999901</v>
      </c>
      <c r="R2008">
        <v>-1.723833E-2</v>
      </c>
      <c r="S2008">
        <v>2.960693</v>
      </c>
      <c r="T2008">
        <v>0.485166299999999</v>
      </c>
      <c r="U2008">
        <v>-1.1810299999999999E-2</v>
      </c>
      <c r="V2008">
        <v>-5.71061E-2</v>
      </c>
      <c r="W2008">
        <v>0.1738189</v>
      </c>
      <c r="X2008">
        <v>0.98312049999999995</v>
      </c>
      <c r="Y2008">
        <v>-7.0007940000000005E-2</v>
      </c>
      <c r="Z2008">
        <v>-1.804884E-2</v>
      </c>
      <c r="AA2008">
        <v>0.99738309999999997</v>
      </c>
      <c r="AB2008">
        <v>36</v>
      </c>
      <c r="AC2008">
        <v>2.960693</v>
      </c>
      <c r="AD2008">
        <v>0.485166299999999</v>
      </c>
      <c r="AE2008">
        <v>-1.1810299999999999E-2</v>
      </c>
      <c r="AF2008">
        <v>-0.20746082206279301</v>
      </c>
      <c r="AG2008">
        <v>0.485166299999999</v>
      </c>
      <c r="AH2008">
        <v>2.8758190612899899</v>
      </c>
      <c r="AI2008">
        <v>80.448422449996201</v>
      </c>
      <c r="AJ2008">
        <v>94.126154501735499</v>
      </c>
      <c r="AK2008">
        <v>2.9238265346332599</v>
      </c>
    </row>
    <row r="2009" spans="1:37" x14ac:dyDescent="0.2">
      <c r="A2009" t="str">
        <f>"20200111150630629"</f>
        <v>20200111150630629</v>
      </c>
      <c r="B2009" t="str">
        <f>"1578726390618720"</f>
        <v>1578726390618720</v>
      </c>
      <c r="C2009" t="s">
        <v>37</v>
      </c>
      <c r="D2009">
        <v>5.6099589999999999</v>
      </c>
      <c r="E2009">
        <v>0.4915429</v>
      </c>
      <c r="F2009" t="s">
        <v>62</v>
      </c>
      <c r="G2009">
        <v>-169.10329999999999</v>
      </c>
      <c r="H2009">
        <v>64.792819999999907</v>
      </c>
      <c r="I2009">
        <v>26.65418</v>
      </c>
      <c r="J2009">
        <v>-372.3295</v>
      </c>
      <c r="K2009">
        <v>1.1022639999999999</v>
      </c>
      <c r="L2009">
        <v>21.20523</v>
      </c>
      <c r="M2009">
        <v>0.9969732</v>
      </c>
      <c r="N2009">
        <v>0</v>
      </c>
      <c r="O2009">
        <v>-7.6694109999999996E-2</v>
      </c>
      <c r="P2009">
        <v>0.98687459999999905</v>
      </c>
      <c r="Q2009">
        <v>0.1604072</v>
      </c>
      <c r="R2009">
        <v>-1.8651279999999999E-2</v>
      </c>
      <c r="S2009">
        <v>2.8937379999999999</v>
      </c>
      <c r="T2009">
        <v>0.90531640000000002</v>
      </c>
      <c r="U2009">
        <v>7.7056879999999994E-2</v>
      </c>
      <c r="V2009">
        <v>-5.6601289999999999E-2</v>
      </c>
      <c r="W2009">
        <v>0.17311589999999999</v>
      </c>
      <c r="X2009">
        <v>0.98327369999999903</v>
      </c>
      <c r="Y2009">
        <v>-9.5013760000000003E-2</v>
      </c>
      <c r="Z2009">
        <v>-3.7933590000000003E-2</v>
      </c>
      <c r="AA2009">
        <v>0.99475290000000005</v>
      </c>
      <c r="AB2009">
        <v>36</v>
      </c>
      <c r="AC2009">
        <v>203.22620000000001</v>
      </c>
      <c r="AD2009">
        <v>63.690556000000001</v>
      </c>
      <c r="AE2009">
        <v>5.44895</v>
      </c>
      <c r="AF2009">
        <v>-19.141709072613398</v>
      </c>
      <c r="AG2009">
        <v>63.690556000000001</v>
      </c>
      <c r="AH2009">
        <v>184.137035485295</v>
      </c>
      <c r="AI2009">
        <v>71.015100003229904</v>
      </c>
      <c r="AJ2009">
        <v>95.934786422349603</v>
      </c>
      <c r="AK2009">
        <v>195.77880321199899</v>
      </c>
    </row>
    <row r="2010" spans="1:37" x14ac:dyDescent="0.2">
      <c r="A2010" t="str">
        <f>"20200111150630651"</f>
        <v>20200111150630651</v>
      </c>
      <c r="B2010" t="str">
        <f>"1578726390648976"</f>
        <v>1578726390648976</v>
      </c>
      <c r="C2010" t="s">
        <v>37</v>
      </c>
      <c r="D2010">
        <v>6.4358889999999898</v>
      </c>
      <c r="E2010">
        <v>0.49796099999999999</v>
      </c>
      <c r="F2010" t="s">
        <v>53</v>
      </c>
      <c r="G2010">
        <v>0</v>
      </c>
      <c r="H2010">
        <v>0</v>
      </c>
      <c r="I2010">
        <v>0</v>
      </c>
      <c r="J2010">
        <v>-371.97829999999999</v>
      </c>
      <c r="K2010">
        <v>1.102611</v>
      </c>
      <c r="L2010">
        <v>21.177759999999999</v>
      </c>
      <c r="M2010">
        <v>0.99694490000000002</v>
      </c>
      <c r="N2010">
        <v>0</v>
      </c>
      <c r="O2010">
        <v>-7.7061760000000007E-2</v>
      </c>
      <c r="P2010">
        <v>0.98680970000000001</v>
      </c>
      <c r="Q2010">
        <v>0.16071240000000001</v>
      </c>
      <c r="R2010">
        <v>-1.945378E-2</v>
      </c>
      <c r="S2010">
        <v>2.8970340000000001</v>
      </c>
      <c r="T2010">
        <v>0.88188960000000005</v>
      </c>
      <c r="U2010">
        <v>2.4566649999999999E-2</v>
      </c>
      <c r="V2010">
        <v>-5.630334E-2</v>
      </c>
      <c r="W2010">
        <v>0.17337049999999901</v>
      </c>
      <c r="X2010">
        <v>0.98324599999999995</v>
      </c>
      <c r="Y2010">
        <v>-7.8477060000000001E-2</v>
      </c>
      <c r="Z2010">
        <v>-3.4604540000000003E-2</v>
      </c>
      <c r="AA2010">
        <v>0.99631510000000001</v>
      </c>
      <c r="AB2010">
        <v>36</v>
      </c>
      <c r="AC2010">
        <v>2.8970340000000001</v>
      </c>
      <c r="AD2010">
        <v>0.88188960000000005</v>
      </c>
      <c r="AE2010">
        <v>2.4566649999999999E-2</v>
      </c>
      <c r="AF2010">
        <v>-0.22675155859556601</v>
      </c>
      <c r="AG2010">
        <v>0.88188960000000005</v>
      </c>
      <c r="AH2010">
        <v>2.64174191887329</v>
      </c>
      <c r="AI2010">
        <v>71.602573561134307</v>
      </c>
      <c r="AJ2010">
        <v>94.905907568896495</v>
      </c>
      <c r="AK2010">
        <v>2.7942701912746402</v>
      </c>
    </row>
    <row r="2011" spans="1:37" x14ac:dyDescent="0.2">
      <c r="A2011" t="str">
        <f>"20200111150630675"</f>
        <v>20200111150630675</v>
      </c>
      <c r="B2011" t="str">
        <f>"1578726390668496"</f>
        <v>1578726390668496</v>
      </c>
      <c r="C2011" t="s">
        <v>37</v>
      </c>
      <c r="D2011">
        <v>5.3954490000000002</v>
      </c>
      <c r="E2011">
        <v>0.49796099999999999</v>
      </c>
      <c r="F2011" t="s">
        <v>53</v>
      </c>
      <c r="G2011">
        <v>0</v>
      </c>
      <c r="H2011">
        <v>0</v>
      </c>
      <c r="I2011">
        <v>0</v>
      </c>
      <c r="J2011">
        <v>-371.61669999999998</v>
      </c>
      <c r="K2011">
        <v>1.1029990000000001</v>
      </c>
      <c r="L2011">
        <v>21.14978</v>
      </c>
      <c r="M2011">
        <v>0.99695140000000004</v>
      </c>
      <c r="N2011">
        <v>0</v>
      </c>
      <c r="O2011">
        <v>-7.6979430000000001E-2</v>
      </c>
      <c r="P2011">
        <v>0.98655509999999902</v>
      </c>
      <c r="Q2011">
        <v>0.16231139999999999</v>
      </c>
      <c r="R2011">
        <v>-1.9089979999999999E-2</v>
      </c>
      <c r="S2011">
        <v>2.8994749999999998</v>
      </c>
      <c r="T2011">
        <v>0.8600409</v>
      </c>
      <c r="U2011">
        <v>-2.9418949999999999E-2</v>
      </c>
      <c r="V2011">
        <v>-5.671988E-2</v>
      </c>
      <c r="W2011">
        <v>0.174914299999999</v>
      </c>
      <c r="X2011">
        <v>0.9829485</v>
      </c>
      <c r="Y2011">
        <v>-6.0933470000000003E-2</v>
      </c>
      <c r="Z2011">
        <v>-3.1180820000000001E-2</v>
      </c>
      <c r="AA2011">
        <v>0.99765469999999901</v>
      </c>
      <c r="AB2011">
        <v>36</v>
      </c>
      <c r="AC2011">
        <v>2.8994749999999998</v>
      </c>
      <c r="AD2011">
        <v>0.8600409</v>
      </c>
      <c r="AE2011">
        <v>-2.9418949999999999E-2</v>
      </c>
      <c r="AF2011">
        <v>-0.178208639682543</v>
      </c>
      <c r="AG2011">
        <v>0.8600409</v>
      </c>
      <c r="AH2011">
        <v>2.6591945617955099</v>
      </c>
      <c r="AI2011">
        <v>72.115226501922393</v>
      </c>
      <c r="AJ2011">
        <v>93.834002354864396</v>
      </c>
      <c r="AK2011">
        <v>2.8004900261227701</v>
      </c>
    </row>
    <row r="2012" spans="1:37" x14ac:dyDescent="0.2">
      <c r="A2012" t="str">
        <f>"20200111150630696"</f>
        <v>20200111150630696</v>
      </c>
      <c r="B2012" t="str">
        <f>"1578726390688993"</f>
        <v>1578726390688993</v>
      </c>
      <c r="C2012" t="s">
        <v>37</v>
      </c>
      <c r="D2012">
        <v>8.1704670000000004</v>
      </c>
      <c r="E2012">
        <v>0.50378219999999996</v>
      </c>
      <c r="F2012" t="s">
        <v>53</v>
      </c>
      <c r="G2012">
        <v>0</v>
      </c>
      <c r="H2012">
        <v>0</v>
      </c>
      <c r="I2012">
        <v>0</v>
      </c>
      <c r="J2012">
        <v>-371.26949999999999</v>
      </c>
      <c r="K2012">
        <v>1.103378</v>
      </c>
      <c r="L2012">
        <v>21.123379999999901</v>
      </c>
      <c r="M2012">
        <v>0.99699040000000005</v>
      </c>
      <c r="N2012">
        <v>0</v>
      </c>
      <c r="O2012">
        <v>-7.6469410000000002E-2</v>
      </c>
      <c r="P2012">
        <v>0.98626959999999997</v>
      </c>
      <c r="Q2012">
        <v>0.16410369999999999</v>
      </c>
      <c r="R2012">
        <v>-1.8495339999999999E-2</v>
      </c>
      <c r="S2012">
        <v>2.8981020000000002</v>
      </c>
      <c r="T2012">
        <v>0.86458999999999997</v>
      </c>
      <c r="U2012">
        <v>-2.7801510000000001E-2</v>
      </c>
      <c r="V2012">
        <v>-5.6940030000000003E-2</v>
      </c>
      <c r="W2012">
        <v>0.17665259999999999</v>
      </c>
      <c r="X2012">
        <v>0.98262490000000002</v>
      </c>
      <c r="Y2012">
        <v>-6.093001E-2</v>
      </c>
      <c r="Z2012">
        <v>-3.1204260000000001E-2</v>
      </c>
      <c r="AA2012">
        <v>0.99765409999999899</v>
      </c>
      <c r="AB2012">
        <v>36</v>
      </c>
      <c r="AC2012">
        <v>2.8981020000000002</v>
      </c>
      <c r="AD2012">
        <v>0.86458999999999997</v>
      </c>
      <c r="AE2012">
        <v>-2.7801510000000001E-2</v>
      </c>
      <c r="AF2012">
        <v>-0.17806742022858801</v>
      </c>
      <c r="AG2012">
        <v>0.86458999999999997</v>
      </c>
      <c r="AH2012">
        <v>2.65542789455057</v>
      </c>
      <c r="AI2012">
        <v>72.0028927958857</v>
      </c>
      <c r="AJ2012">
        <v>93.836391129920898</v>
      </c>
      <c r="AK2012">
        <v>2.7983068411816698</v>
      </c>
    </row>
    <row r="2013" spans="1:37" x14ac:dyDescent="0.2">
      <c r="A2013" t="str">
        <f>"20200111150630718"</f>
        <v>20200111150630718</v>
      </c>
      <c r="B2013" t="str">
        <f>"1578726390708512"</f>
        <v>1578726390708512</v>
      </c>
      <c r="C2013" t="s">
        <v>37</v>
      </c>
      <c r="D2013">
        <v>5.146541</v>
      </c>
      <c r="E2013">
        <v>0.48439309999999902</v>
      </c>
      <c r="F2013" t="s">
        <v>39</v>
      </c>
      <c r="G2013">
        <v>-347.05439999999999</v>
      </c>
      <c r="H2013" s="1">
        <v>-1.4195529999999999E-6</v>
      </c>
      <c r="I2013">
        <v>20.268750000000001</v>
      </c>
      <c r="J2013">
        <v>-370.92590000000001</v>
      </c>
      <c r="K2013">
        <v>1.10372</v>
      </c>
      <c r="L2013">
        <v>21.097719999999999</v>
      </c>
      <c r="M2013">
        <v>0.99705429999999995</v>
      </c>
      <c r="N2013">
        <v>0</v>
      </c>
      <c r="O2013">
        <v>-7.5634229999999997E-2</v>
      </c>
      <c r="P2013">
        <v>0.98586939999999901</v>
      </c>
      <c r="Q2013">
        <v>0.16662349999999901</v>
      </c>
      <c r="R2013">
        <v>-1.7282889999999999E-2</v>
      </c>
      <c r="S2013">
        <v>3.0629879999999998</v>
      </c>
      <c r="T2013">
        <v>-0.13956749999999901</v>
      </c>
      <c r="U2013">
        <v>-0.1080933</v>
      </c>
      <c r="V2013">
        <v>-5.7437809999999999E-2</v>
      </c>
      <c r="W2013">
        <v>0.17912169999999999</v>
      </c>
      <c r="X2013">
        <v>0.98214880000000004</v>
      </c>
      <c r="Y2013">
        <v>-4.0306210000000002E-2</v>
      </c>
      <c r="Z2013">
        <v>4.3576680000000003E-3</v>
      </c>
      <c r="AA2013">
        <v>0.99917789999999995</v>
      </c>
      <c r="AB2013">
        <v>36</v>
      </c>
      <c r="AC2013">
        <v>23.871500000000001</v>
      </c>
      <c r="AD2013">
        <v>-1.1037214195530001</v>
      </c>
      <c r="AE2013">
        <v>-0.82897000000000098</v>
      </c>
      <c r="AF2013">
        <v>-0.97696780614621903</v>
      </c>
      <c r="AG2013">
        <v>-1.1037214195530001</v>
      </c>
      <c r="AH2013">
        <v>23.814966230939199</v>
      </c>
      <c r="AI2013">
        <v>92.651287766733901</v>
      </c>
      <c r="AJ2013">
        <v>92.349143065391999</v>
      </c>
      <c r="AK2013">
        <v>23.860538209499801</v>
      </c>
    </row>
    <row r="2014" spans="1:37" x14ac:dyDescent="0.2">
      <c r="A2014" t="str">
        <f>"20200111150630741"</f>
        <v>20200111150630741</v>
      </c>
      <c r="B2014" t="str">
        <f>"1578726390738768"</f>
        <v>1578726390738768</v>
      </c>
      <c r="C2014" t="s">
        <v>37</v>
      </c>
      <c r="D2014">
        <v>5.4725760000000001</v>
      </c>
      <c r="E2014">
        <v>0.49933090000000002</v>
      </c>
      <c r="F2014" t="s">
        <v>62</v>
      </c>
      <c r="G2014">
        <v>-169.09870000000001</v>
      </c>
      <c r="H2014">
        <v>50.645809999999997</v>
      </c>
      <c r="I2014">
        <v>26.654109999999999</v>
      </c>
      <c r="J2014">
        <v>-370.55459999999999</v>
      </c>
      <c r="K2014">
        <v>1.1040490000000001</v>
      </c>
      <c r="L2014">
        <v>21.070650000000001</v>
      </c>
      <c r="M2014">
        <v>0.99714859999999905</v>
      </c>
      <c r="N2014">
        <v>0</v>
      </c>
      <c r="O2014">
        <v>-7.4379589999999995E-2</v>
      </c>
      <c r="P2014">
        <v>0.98579309999999998</v>
      </c>
      <c r="Q2014">
        <v>0.16728119999999999</v>
      </c>
      <c r="R2014">
        <v>-1.513691E-2</v>
      </c>
      <c r="S2014">
        <v>2.9231259999999999</v>
      </c>
      <c r="T2014">
        <v>0.71753330000000004</v>
      </c>
      <c r="U2014">
        <v>8.0474850000000001E-2</v>
      </c>
      <c r="V2014">
        <v>-5.8477410000000001E-2</v>
      </c>
      <c r="W2014">
        <v>0.17973049999999999</v>
      </c>
      <c r="X2014">
        <v>0.98197619999999897</v>
      </c>
      <c r="Y2014">
        <v>-9.6725749999999999E-2</v>
      </c>
      <c r="Z2014">
        <v>-2.96765999999999E-2</v>
      </c>
      <c r="AA2014">
        <v>0.99486859999999999</v>
      </c>
      <c r="AB2014">
        <v>35</v>
      </c>
      <c r="AC2014">
        <v>201.45590000000001</v>
      </c>
      <c r="AD2014">
        <v>49.541761000000001</v>
      </c>
      <c r="AE2014">
        <v>5.5834599999999899</v>
      </c>
      <c r="AF2014">
        <v>-19.382159665608398</v>
      </c>
      <c r="AG2014">
        <v>49.541761000000001</v>
      </c>
      <c r="AH2014">
        <v>189.05777002645701</v>
      </c>
      <c r="AI2014">
        <v>75.389333611728105</v>
      </c>
      <c r="AJ2014">
        <v>95.8535001168202</v>
      </c>
      <c r="AK2014">
        <v>196.39983351230501</v>
      </c>
    </row>
    <row r="2015" spans="1:37" x14ac:dyDescent="0.2">
      <c r="A2015" t="str">
        <f>"20200111150630762"</f>
        <v>20200111150630762</v>
      </c>
      <c r="B2015" t="str">
        <f>"1578726390758288"</f>
        <v>1578726390758288</v>
      </c>
      <c r="C2015" t="s">
        <v>37</v>
      </c>
      <c r="D2015">
        <v>6.4009130000000001</v>
      </c>
      <c r="E2015">
        <v>0.49353199999999903</v>
      </c>
      <c r="F2015" t="s">
        <v>92</v>
      </c>
      <c r="G2015">
        <v>-279.68</v>
      </c>
      <c r="H2015">
        <v>1.3082100000000001</v>
      </c>
      <c r="I2015">
        <v>19.347149999999999</v>
      </c>
      <c r="J2015">
        <v>-370.22629999999998</v>
      </c>
      <c r="K2015">
        <v>1.104331</v>
      </c>
      <c r="L2015">
        <v>21.047360000000001</v>
      </c>
      <c r="M2015">
        <v>0.997251</v>
      </c>
      <c r="N2015">
        <v>0</v>
      </c>
      <c r="O2015">
        <v>-7.2995589999999999E-2</v>
      </c>
      <c r="P2015">
        <v>0.98571730000000002</v>
      </c>
      <c r="Q2015">
        <v>0.1679716</v>
      </c>
      <c r="R2015">
        <v>-1.2137739999999999E-2</v>
      </c>
      <c r="S2015">
        <v>3.0411990000000002</v>
      </c>
      <c r="T2015">
        <v>6.8324800000000002E-3</v>
      </c>
      <c r="U2015">
        <v>-5.7678220000000002E-2</v>
      </c>
      <c r="V2015">
        <v>-6.0217090000000001E-2</v>
      </c>
      <c r="W2015">
        <v>0.18037639999999999</v>
      </c>
      <c r="X2015">
        <v>0.98175259999999998</v>
      </c>
      <c r="Y2015">
        <v>-5.407646E-2</v>
      </c>
      <c r="Z2015">
        <v>-2.2459499999999999E-4</v>
      </c>
      <c r="AA2015">
        <v>0.9985368</v>
      </c>
      <c r="AB2015">
        <v>35</v>
      </c>
      <c r="AC2015">
        <v>90.546299999999903</v>
      </c>
      <c r="AD2015">
        <v>0.203879</v>
      </c>
      <c r="AE2015">
        <v>-1.70021</v>
      </c>
      <c r="AF2015">
        <v>-4.9143178528320801</v>
      </c>
      <c r="AG2015">
        <v>0.203879</v>
      </c>
      <c r="AH2015">
        <v>90.428366705996297</v>
      </c>
      <c r="AI2015">
        <v>89.871011991725297</v>
      </c>
      <c r="AJ2015">
        <v>93.110671793514101</v>
      </c>
      <c r="AK2015">
        <v>90.562031733610297</v>
      </c>
    </row>
    <row r="2016" spans="1:37" x14ac:dyDescent="0.2">
      <c r="A2016" t="str">
        <f>"20200111150630784"</f>
        <v>20200111150630784</v>
      </c>
      <c r="B2016" t="str">
        <f>"1578726390778785"</f>
        <v>1578726390778785</v>
      </c>
      <c r="C2016" t="s">
        <v>37</v>
      </c>
      <c r="D2016">
        <v>4.656396</v>
      </c>
      <c r="E2016">
        <v>0.48499719999999902</v>
      </c>
      <c r="F2016" t="s">
        <v>53</v>
      </c>
      <c r="G2016">
        <v>0</v>
      </c>
      <c r="H2016">
        <v>0</v>
      </c>
      <c r="I2016">
        <v>0</v>
      </c>
      <c r="J2016">
        <v>-369.86959999999999</v>
      </c>
      <c r="K2016">
        <v>1.1046100000000001</v>
      </c>
      <c r="L2016">
        <v>21.022829999999999</v>
      </c>
      <c r="M2016">
        <v>0.99737799999999999</v>
      </c>
      <c r="N2016">
        <v>0</v>
      </c>
      <c r="O2016">
        <v>-7.1239399999999994E-2</v>
      </c>
      <c r="P2016">
        <v>0.98577369999999898</v>
      </c>
      <c r="Q2016">
        <v>0.1678289</v>
      </c>
      <c r="R2016">
        <v>-9.1702320000000004E-3</v>
      </c>
      <c r="S2016">
        <v>2.897888</v>
      </c>
      <c r="T2016">
        <v>0.85637379999999996</v>
      </c>
      <c r="U2016">
        <v>2.8228759999999999E-2</v>
      </c>
      <c r="V2016">
        <v>-6.1568810000000002E-2</v>
      </c>
      <c r="W2016">
        <v>0.18018970000000001</v>
      </c>
      <c r="X2016">
        <v>0.98170309999999905</v>
      </c>
      <c r="Y2016">
        <v>-7.4720949999999994E-2</v>
      </c>
      <c r="Z2016">
        <v>-3.1410739999999999E-2</v>
      </c>
      <c r="AA2016">
        <v>0.99670959999999997</v>
      </c>
      <c r="AB2016">
        <v>35</v>
      </c>
      <c r="AC2016">
        <v>2.897888</v>
      </c>
      <c r="AD2016">
        <v>0.85637379999999996</v>
      </c>
      <c r="AE2016">
        <v>2.8228759999999999E-2</v>
      </c>
      <c r="AF2016">
        <v>-0.21577565587537401</v>
      </c>
      <c r="AG2016">
        <v>0.85637379999999996</v>
      </c>
      <c r="AH2016">
        <v>2.6565392159324999</v>
      </c>
      <c r="AI2016">
        <v>72.187460979930194</v>
      </c>
      <c r="AJ2016">
        <v>94.643618098965106</v>
      </c>
      <c r="AK2016">
        <v>2.7994884934184299</v>
      </c>
    </row>
    <row r="2017" spans="1:37" x14ac:dyDescent="0.2">
      <c r="A2017" t="str">
        <f>"20200111150630807"</f>
        <v>20200111150630807</v>
      </c>
      <c r="B2017" t="str">
        <f>"1578726390798304"</f>
        <v>1578726390798304</v>
      </c>
      <c r="C2017" t="s">
        <v>37</v>
      </c>
      <c r="D2017">
        <v>6.4152040000000001</v>
      </c>
      <c r="E2017">
        <v>0.50806679999999904</v>
      </c>
      <c r="F2017" t="s">
        <v>62</v>
      </c>
      <c r="G2017">
        <v>-169.81129999999999</v>
      </c>
      <c r="H2017">
        <v>59.327579999999998</v>
      </c>
      <c r="I2017">
        <v>28.265729999999898</v>
      </c>
      <c r="J2017">
        <v>-369.51029999999997</v>
      </c>
      <c r="K2017">
        <v>1.104849</v>
      </c>
      <c r="L2017">
        <v>20.998929999999898</v>
      </c>
      <c r="M2017">
        <v>0.99751679999999998</v>
      </c>
      <c r="N2017">
        <v>0</v>
      </c>
      <c r="O2017">
        <v>-6.9264880000000001E-2</v>
      </c>
      <c r="P2017">
        <v>0.98588290000000001</v>
      </c>
      <c r="Q2017">
        <v>0.16732469999999999</v>
      </c>
      <c r="R2017">
        <v>-6.1049449999999996E-3</v>
      </c>
      <c r="S2017">
        <v>2.9005429999999999</v>
      </c>
      <c r="T2017">
        <v>0.84414489999999998</v>
      </c>
      <c r="U2017">
        <v>0.10501099999999999</v>
      </c>
      <c r="V2017">
        <v>-6.279361E-2</v>
      </c>
      <c r="W2017">
        <v>0.17964569999999999</v>
      </c>
      <c r="X2017">
        <v>0.98172519999999996</v>
      </c>
      <c r="Y2017">
        <v>-9.8371239999999999E-2</v>
      </c>
      <c r="Z2017">
        <v>-3.3757219999999998E-2</v>
      </c>
      <c r="AA2017">
        <v>0.99457709999999999</v>
      </c>
      <c r="AB2017">
        <v>35</v>
      </c>
      <c r="AC2017">
        <v>199.69900000000001</v>
      </c>
      <c r="AD2017">
        <v>58.222731000000003</v>
      </c>
      <c r="AE2017">
        <v>7.2667999999999999</v>
      </c>
      <c r="AF2017">
        <v>-19.432927209406799</v>
      </c>
      <c r="AG2017">
        <v>58.222731000000003</v>
      </c>
      <c r="AH2017">
        <v>183.16682236259501</v>
      </c>
      <c r="AI2017">
        <v>72.458606546593998</v>
      </c>
      <c r="AJ2017">
        <v>96.056092088983803</v>
      </c>
      <c r="AK2017">
        <v>193.17766402831001</v>
      </c>
    </row>
    <row r="2018" spans="1:37" x14ac:dyDescent="0.2">
      <c r="A2018" t="str">
        <f>"20200111150630942"</f>
        <v>20200111150630942</v>
      </c>
      <c r="B2018" t="str">
        <f>"1578726390938848"</f>
        <v>1578726390938848</v>
      </c>
      <c r="C2018" t="s">
        <v>37</v>
      </c>
      <c r="D2018">
        <v>7.520035</v>
      </c>
      <c r="E2018">
        <v>0.55740900000000004</v>
      </c>
      <c r="F2018" t="s">
        <v>93</v>
      </c>
      <c r="G2018">
        <v>-276.34460000000001</v>
      </c>
      <c r="H2018">
        <v>5.2431239999999999</v>
      </c>
      <c r="I2018">
        <v>18.016960000000001</v>
      </c>
      <c r="J2018">
        <v>-367.37909999999999</v>
      </c>
      <c r="K2018">
        <v>1.1054440000000001</v>
      </c>
      <c r="L2018">
        <v>20.87527</v>
      </c>
      <c r="M2018">
        <v>0.99835339999999995</v>
      </c>
      <c r="N2018">
        <v>0</v>
      </c>
      <c r="O2018">
        <v>-5.5933839999999999E-2</v>
      </c>
      <c r="P2018">
        <v>0.98645949999999905</v>
      </c>
      <c r="Q2018">
        <v>0.16400339999999999</v>
      </c>
      <c r="R2018">
        <v>9.0885399999999996E-4</v>
      </c>
      <c r="S2018">
        <v>3.0195919999999998</v>
      </c>
      <c r="T2018">
        <v>0.13412569999999999</v>
      </c>
      <c r="U2018">
        <v>-9.6649170000000006E-2</v>
      </c>
      <c r="V2018">
        <v>-5.6930479999999999E-2</v>
      </c>
      <c r="W2018">
        <v>0.17626349999999999</v>
      </c>
      <c r="X2018">
        <v>0.98269530000000005</v>
      </c>
      <c r="Y2018">
        <v>-2.3890290000000002E-2</v>
      </c>
      <c r="Z2018">
        <v>-3.011498E-3</v>
      </c>
      <c r="AA2018">
        <v>0.99970999999999999</v>
      </c>
      <c r="AB2018">
        <v>35</v>
      </c>
      <c r="AC2018">
        <v>91.034499999999895</v>
      </c>
      <c r="AD2018">
        <v>4.1376799999999996</v>
      </c>
      <c r="AE2018">
        <v>-2.8583099999999901</v>
      </c>
      <c r="AF2018">
        <v>-2.2338765165878298</v>
      </c>
      <c r="AG2018">
        <v>4.1376799999999996</v>
      </c>
      <c r="AH2018">
        <v>90.864321052055402</v>
      </c>
      <c r="AI2018">
        <v>87.393515149406099</v>
      </c>
      <c r="AJ2018">
        <v>91.408318663890199</v>
      </c>
      <c r="AK2018">
        <v>90.985907921637803</v>
      </c>
    </row>
    <row r="2019" spans="1:37" x14ac:dyDescent="0.2">
      <c r="A2019" t="str">
        <f>"20200111150630964"</f>
        <v>20200111150630964</v>
      </c>
      <c r="B2019" t="str">
        <f>"1578726390958368"</f>
        <v>1578726390958368</v>
      </c>
      <c r="C2019" t="s">
        <v>37</v>
      </c>
      <c r="D2019">
        <v>5.4144829999999997</v>
      </c>
      <c r="E2019">
        <v>0.60127929999999996</v>
      </c>
      <c r="F2019" t="s">
        <v>91</v>
      </c>
      <c r="G2019">
        <v>-157.3501</v>
      </c>
      <c r="H2019">
        <v>44.633670000000002</v>
      </c>
      <c r="I2019">
        <v>-11.35524</v>
      </c>
      <c r="J2019">
        <v>-367.03789999999998</v>
      </c>
      <c r="K2019">
        <v>1.1054489999999999</v>
      </c>
      <c r="L2019">
        <v>20.858149999999998</v>
      </c>
      <c r="M2019">
        <v>0.99846919999999995</v>
      </c>
      <c r="N2019">
        <v>0</v>
      </c>
      <c r="O2019">
        <v>-5.3826099999999898E-2</v>
      </c>
      <c r="P2019">
        <v>0.98648570000000002</v>
      </c>
      <c r="Q2019">
        <v>0.16384009999999999</v>
      </c>
      <c r="R2019">
        <v>1.546527E-3</v>
      </c>
      <c r="S2019">
        <v>2.9402469999999998</v>
      </c>
      <c r="T2019">
        <v>0.60936159999999995</v>
      </c>
      <c r="U2019">
        <v>-0.4512024</v>
      </c>
      <c r="V2019">
        <v>-5.5491110000000003E-2</v>
      </c>
      <c r="W2019">
        <v>0.17610619999999999</v>
      </c>
      <c r="X2019">
        <v>0.98280579999999995</v>
      </c>
      <c r="Y2019">
        <v>9.7351510000000002E-2</v>
      </c>
      <c r="Z2019">
        <v>-1.0359589999999999E-3</v>
      </c>
      <c r="AA2019">
        <v>0.99524950000000001</v>
      </c>
      <c r="AB2019">
        <v>35</v>
      </c>
      <c r="AC2019">
        <v>209.68780000000001</v>
      </c>
      <c r="AD2019">
        <v>43.528221000000002</v>
      </c>
      <c r="AE2019">
        <v>-32.213389999999997</v>
      </c>
      <c r="AF2019">
        <v>20.035626147826701</v>
      </c>
      <c r="AG2019">
        <v>43.528221000000002</v>
      </c>
      <c r="AH2019">
        <v>202.589166934362</v>
      </c>
      <c r="AI2019">
        <v>77.930950913239002</v>
      </c>
      <c r="AJ2019">
        <v>84.351938902701207</v>
      </c>
      <c r="AK2019">
        <v>208.17901646832499</v>
      </c>
    </row>
    <row r="2020" spans="1:37" x14ac:dyDescent="0.2">
      <c r="A2020" t="str">
        <f>"20200111150630985"</f>
        <v>20200111150630985</v>
      </c>
      <c r="B2020" t="str">
        <f>"1578726390978864"</f>
        <v>1578726390978864</v>
      </c>
      <c r="C2020" t="s">
        <v>37</v>
      </c>
      <c r="D2020">
        <v>5.3993519999999897</v>
      </c>
      <c r="E2020">
        <v>0.62261840000000002</v>
      </c>
      <c r="F2020" t="s">
        <v>59</v>
      </c>
      <c r="G2020">
        <v>-215.0241</v>
      </c>
      <c r="H2020">
        <v>54.872259999999997</v>
      </c>
      <c r="I2020">
        <v>-20.649750000000001</v>
      </c>
      <c r="J2020">
        <v>-366.69740000000002</v>
      </c>
      <c r="K2020">
        <v>1.1054389999999901</v>
      </c>
      <c r="L2020">
        <v>20.84177</v>
      </c>
      <c r="M2020">
        <v>0.99857770000000001</v>
      </c>
      <c r="N2020">
        <v>0</v>
      </c>
      <c r="O2020">
        <v>-5.1775469999999997E-2</v>
      </c>
      <c r="P2020">
        <v>0.98649959999999903</v>
      </c>
      <c r="Q2020">
        <v>0.1637354</v>
      </c>
      <c r="R2020">
        <v>3.0917079999999999E-3</v>
      </c>
      <c r="S2020">
        <v>2.8735659999999998</v>
      </c>
      <c r="T2020">
        <v>1.0163719999999901</v>
      </c>
      <c r="U2020">
        <v>-0.78463749999999999</v>
      </c>
      <c r="V2020">
        <v>-5.5008960000000003E-2</v>
      </c>
      <c r="W2020">
        <v>0.17600339999999901</v>
      </c>
      <c r="X2020">
        <v>0.98285140000000004</v>
      </c>
      <c r="Y2020">
        <v>0.20449049999999999</v>
      </c>
      <c r="Z2020">
        <v>1.707318E-2</v>
      </c>
      <c r="AA2020">
        <v>0.97871969999999997</v>
      </c>
      <c r="AB2020">
        <v>35</v>
      </c>
      <c r="AC2020">
        <v>151.67330000000001</v>
      </c>
      <c r="AD2020">
        <v>53.766820999999901</v>
      </c>
      <c r="AE2020">
        <v>-41.491520000000001</v>
      </c>
      <c r="AF2020">
        <v>30.066996000572502</v>
      </c>
      <c r="AG2020">
        <v>53.766820999999901</v>
      </c>
      <c r="AH2020">
        <v>137.53803984977699</v>
      </c>
      <c r="AI2020">
        <v>69.097931949057696</v>
      </c>
      <c r="AJ2020">
        <v>77.668645530912599</v>
      </c>
      <c r="AK2020">
        <v>150.70370829765</v>
      </c>
    </row>
    <row r="2021" spans="1:37" x14ac:dyDescent="0.2">
      <c r="A2021" t="str">
        <f>"20200111150631009"</f>
        <v>20200111150631009</v>
      </c>
      <c r="B2021" t="str">
        <f>"1578726390998384"</f>
        <v>1578726390998384</v>
      </c>
      <c r="C2021" t="s">
        <v>37</v>
      </c>
      <c r="D2021">
        <v>4.0251140000000003</v>
      </c>
      <c r="E2021">
        <v>0.622561699999999</v>
      </c>
      <c r="F2021" t="s">
        <v>39</v>
      </c>
      <c r="G2021">
        <v>-348.63799999999998</v>
      </c>
      <c r="H2021" s="1">
        <v>-1.6773030000000001E-6</v>
      </c>
      <c r="I2021">
        <v>15.00197</v>
      </c>
      <c r="J2021">
        <v>-366.34199999999998</v>
      </c>
      <c r="K2021">
        <v>1.105416</v>
      </c>
      <c r="L2021">
        <v>20.82535</v>
      </c>
      <c r="M2021">
        <v>0.99868349999999995</v>
      </c>
      <c r="N2021">
        <v>0</v>
      </c>
      <c r="O2021">
        <v>-4.9692409999999999E-2</v>
      </c>
      <c r="P2021">
        <v>0.98661180000000004</v>
      </c>
      <c r="Q2021">
        <v>0.16298969999999999</v>
      </c>
      <c r="R2021">
        <v>5.6270080000000002E-3</v>
      </c>
      <c r="S2021">
        <v>3.0754389999999998</v>
      </c>
      <c r="T2021">
        <v>-0.18825159999999999</v>
      </c>
      <c r="U2021">
        <v>-0.99447629999999998</v>
      </c>
      <c r="V2021">
        <v>-5.5480410000000001E-2</v>
      </c>
      <c r="W2021">
        <v>0.175258</v>
      </c>
      <c r="X2021">
        <v>0.98295809999999995</v>
      </c>
      <c r="Y2021">
        <v>0.25965460000000001</v>
      </c>
      <c r="Z2021">
        <v>-4.785536E-3</v>
      </c>
      <c r="AA2021">
        <v>0.96568969999999899</v>
      </c>
      <c r="AB2021">
        <v>35</v>
      </c>
      <c r="AC2021">
        <v>17.703999999999901</v>
      </c>
      <c r="AD2021">
        <v>-1.105417677303</v>
      </c>
      <c r="AE2021">
        <v>-5.8233799999999896</v>
      </c>
      <c r="AF2021">
        <v>4.9190536356127001</v>
      </c>
      <c r="AG2021">
        <v>-1.105417677303</v>
      </c>
      <c r="AH2021">
        <v>17.908523714296599</v>
      </c>
      <c r="AI2021">
        <v>93.406297736863607</v>
      </c>
      <c r="AJ2021">
        <v>74.640973200639294</v>
      </c>
      <c r="AK2021">
        <v>18.6046837795447</v>
      </c>
    </row>
    <row r="2022" spans="1:37" x14ac:dyDescent="0.2">
      <c r="A2022" t="str">
        <f>"20200111150631030"</f>
        <v>20200111150631030</v>
      </c>
      <c r="B2022" t="str">
        <f>"1578726391018880"</f>
        <v>1578726391018880</v>
      </c>
      <c r="C2022" t="s">
        <v>37</v>
      </c>
      <c r="D2022">
        <v>5.3250229999999998</v>
      </c>
      <c r="E2022">
        <v>0.62242580000000003</v>
      </c>
      <c r="F2022" t="s">
        <v>39</v>
      </c>
      <c r="G2022">
        <v>-349.26670000000001</v>
      </c>
      <c r="H2022" s="1">
        <v>-1.371326E-6</v>
      </c>
      <c r="I2022">
        <v>15.347829999999901</v>
      </c>
      <c r="J2022">
        <v>-365.99619999999999</v>
      </c>
      <c r="K2022">
        <v>1.10538</v>
      </c>
      <c r="L2022">
        <v>20.810029999999902</v>
      </c>
      <c r="M2022">
        <v>0.9987798</v>
      </c>
      <c r="N2022">
        <v>0</v>
      </c>
      <c r="O2022">
        <v>-4.7718610000000002E-2</v>
      </c>
      <c r="P2022">
        <v>0.98672359999999903</v>
      </c>
      <c r="Q2022">
        <v>0.16223789999999999</v>
      </c>
      <c r="R2022">
        <v>7.4412519999999998E-3</v>
      </c>
      <c r="S2022">
        <v>3.0792540000000002</v>
      </c>
      <c r="T2022">
        <v>-0.1993432</v>
      </c>
      <c r="U2022">
        <v>-0.98776249999999999</v>
      </c>
      <c r="V2022">
        <v>-5.533602E-2</v>
      </c>
      <c r="W2022">
        <v>0.1745101</v>
      </c>
      <c r="X2022">
        <v>0.98309930000000001</v>
      </c>
      <c r="Y2022">
        <v>0.25925929999999903</v>
      </c>
      <c r="Z2022">
        <v>-5.174087E-3</v>
      </c>
      <c r="AA2022">
        <v>0.96579380000000004</v>
      </c>
      <c r="AB2022">
        <v>35</v>
      </c>
      <c r="AC2022">
        <v>16.729499999999899</v>
      </c>
      <c r="AD2022">
        <v>-1.1053813713259999</v>
      </c>
      <c r="AE2022">
        <v>-5.4621999999999904</v>
      </c>
      <c r="AF2022">
        <v>4.6393005949515</v>
      </c>
      <c r="AG2022">
        <v>-1.1053813713259999</v>
      </c>
      <c r="AH2022">
        <v>16.904417732883399</v>
      </c>
      <c r="AI2022">
        <v>93.608205360029899</v>
      </c>
      <c r="AJ2022">
        <v>74.653418270795299</v>
      </c>
      <c r="AK2022">
        <v>17.564290958482101</v>
      </c>
    </row>
    <row r="2023" spans="1:37" x14ac:dyDescent="0.2">
      <c r="A2023" t="str">
        <f>"20200111150631052"</f>
        <v>20200111150631052</v>
      </c>
      <c r="B2023" t="str">
        <f>"1578726391049136"</f>
        <v>1578726391049136</v>
      </c>
      <c r="C2023" t="s">
        <v>37</v>
      </c>
      <c r="D2023">
        <v>5.3074430000000001</v>
      </c>
      <c r="E2023">
        <v>0.61636950000000001</v>
      </c>
      <c r="F2023" t="s">
        <v>39</v>
      </c>
      <c r="G2023">
        <v>-350.18720000000002</v>
      </c>
      <c r="H2023" s="1">
        <v>-4.873383E-6</v>
      </c>
      <c r="I2023">
        <v>15.7747299999999</v>
      </c>
      <c r="J2023">
        <v>-365.65129999999999</v>
      </c>
      <c r="K2023">
        <v>1.1053519999999999</v>
      </c>
      <c r="L2023">
        <v>20.79541</v>
      </c>
      <c r="M2023">
        <v>0.99886969999999997</v>
      </c>
      <c r="N2023">
        <v>0</v>
      </c>
      <c r="O2023">
        <v>-4.5797530000000003E-2</v>
      </c>
      <c r="P2023">
        <v>0.98676189999999997</v>
      </c>
      <c r="Q2023">
        <v>0.16192210000000001</v>
      </c>
      <c r="R2023">
        <v>9.0806369999999904E-3</v>
      </c>
      <c r="S2023">
        <v>3.0832519999999999</v>
      </c>
      <c r="T2023">
        <v>-0.2155849</v>
      </c>
      <c r="U2023">
        <v>-0.98202509999999998</v>
      </c>
      <c r="V2023">
        <v>-5.5066749999999998E-2</v>
      </c>
      <c r="W2023">
        <v>0.1741983</v>
      </c>
      <c r="X2023">
        <v>0.98316970000000004</v>
      </c>
      <c r="Y2023">
        <v>0.25905089999999997</v>
      </c>
      <c r="Z2023">
        <v>-5.7125939999999997E-3</v>
      </c>
      <c r="AA2023">
        <v>0.96584680000000001</v>
      </c>
      <c r="AB2023">
        <v>35</v>
      </c>
      <c r="AC2023">
        <v>15.464099999999901</v>
      </c>
      <c r="AD2023">
        <v>-1.1053568733829999</v>
      </c>
      <c r="AE2023">
        <v>-5.0206799999999996</v>
      </c>
      <c r="AF2023">
        <v>4.2873201077620102</v>
      </c>
      <c r="AG2023">
        <v>-1.1053568733829999</v>
      </c>
      <c r="AH2023">
        <v>15.6056948935337</v>
      </c>
      <c r="AI2023">
        <v>93.907219809821896</v>
      </c>
      <c r="AJ2023">
        <v>74.638242729018501</v>
      </c>
      <c r="AK2023">
        <v>16.221610297193699</v>
      </c>
    </row>
    <row r="2024" spans="1:37" x14ac:dyDescent="0.2">
      <c r="A2024" t="str">
        <f>"20200111150631075"</f>
        <v>20200111150631075</v>
      </c>
      <c r="B2024" t="str">
        <f>"1578726391068656"</f>
        <v>1578726391068656</v>
      </c>
      <c r="C2024" t="s">
        <v>37</v>
      </c>
      <c r="D2024">
        <v>5.4147030000000003</v>
      </c>
      <c r="E2024">
        <v>0.59974550000000004</v>
      </c>
      <c r="F2024" t="s">
        <v>59</v>
      </c>
      <c r="G2024">
        <v>-229.4777</v>
      </c>
      <c r="H2024">
        <v>65.931869999999904</v>
      </c>
      <c r="I2024">
        <v>-21.015879999999999</v>
      </c>
      <c r="J2024">
        <v>-365.28769999999997</v>
      </c>
      <c r="K2024">
        <v>1.105326</v>
      </c>
      <c r="L2024">
        <v>20.780729999999998</v>
      </c>
      <c r="M2024">
        <v>0.99895859999999903</v>
      </c>
      <c r="N2024">
        <v>0</v>
      </c>
      <c r="O2024">
        <v>-4.381409E-2</v>
      </c>
      <c r="P2024">
        <v>0.98671600000000004</v>
      </c>
      <c r="Q2024">
        <v>0.16208420000000001</v>
      </c>
      <c r="R2024">
        <v>1.0967630000000001E-2</v>
      </c>
      <c r="S2024">
        <v>2.8273929999999998</v>
      </c>
      <c r="T2024">
        <v>1.3460019999999999</v>
      </c>
      <c r="U2024">
        <v>-0.868133499999999</v>
      </c>
      <c r="V2024">
        <v>-5.4982139999999999E-2</v>
      </c>
      <c r="W2024">
        <v>0.17436309999999999</v>
      </c>
      <c r="X2024">
        <v>0.98314519999999905</v>
      </c>
      <c r="Y2024">
        <v>0.232766799999999</v>
      </c>
      <c r="Z2024">
        <v>3.218087E-2</v>
      </c>
      <c r="AA2024">
        <v>0.97199999999999998</v>
      </c>
      <c r="AB2024">
        <v>35</v>
      </c>
      <c r="AC2024">
        <v>135.80999999999901</v>
      </c>
      <c r="AD2024">
        <v>64.826543999999899</v>
      </c>
      <c r="AE2024">
        <v>-41.796610000000001</v>
      </c>
      <c r="AF2024">
        <v>29.6371253395439</v>
      </c>
      <c r="AG2024">
        <v>64.826543999999899</v>
      </c>
      <c r="AH2024">
        <v>113.821058182454</v>
      </c>
      <c r="AI2024">
        <v>61.137775092864501</v>
      </c>
      <c r="AJ2024">
        <v>75.405204187775198</v>
      </c>
      <c r="AK2024">
        <v>134.29844858057501</v>
      </c>
    </row>
    <row r="2025" spans="1:37" x14ac:dyDescent="0.2">
      <c r="A2025" t="str">
        <f>"20200111150631096"</f>
        <v>20200111150631096</v>
      </c>
      <c r="B2025" t="str">
        <f>"1578726391088176"</f>
        <v>1578726391088176</v>
      </c>
      <c r="C2025" t="s">
        <v>37</v>
      </c>
      <c r="D2025">
        <v>5.3001639999999997</v>
      </c>
      <c r="E2025">
        <v>0.6180137</v>
      </c>
      <c r="F2025" t="s">
        <v>53</v>
      </c>
      <c r="G2025">
        <v>0</v>
      </c>
      <c r="H2025">
        <v>0</v>
      </c>
      <c r="I2025">
        <v>0</v>
      </c>
      <c r="J2025">
        <v>-364.93549999999999</v>
      </c>
      <c r="K2025">
        <v>1.1053059999999999</v>
      </c>
      <c r="L2025">
        <v>20.76718</v>
      </c>
      <c r="M2025">
        <v>0.99903980000000003</v>
      </c>
      <c r="N2025">
        <v>0</v>
      </c>
      <c r="O2025">
        <v>-4.1921439999999997E-2</v>
      </c>
      <c r="P2025">
        <v>0.98671769999999903</v>
      </c>
      <c r="Q2025">
        <v>0.16192089999999901</v>
      </c>
      <c r="R2025">
        <v>1.303034E-2</v>
      </c>
      <c r="S2025">
        <v>2.8305359999999999</v>
      </c>
      <c r="T2025">
        <v>1.327224</v>
      </c>
      <c r="U2025">
        <v>-0.73080440000000002</v>
      </c>
      <c r="V2025">
        <v>-5.516658E-2</v>
      </c>
      <c r="W2025">
        <v>0.1742011</v>
      </c>
      <c r="X2025">
        <v>0.98316360000000003</v>
      </c>
      <c r="Y2025">
        <v>0.19425100000000001</v>
      </c>
      <c r="Z2025">
        <v>2.4282749999999999E-2</v>
      </c>
      <c r="AA2025">
        <v>0.9806513</v>
      </c>
      <c r="AB2025">
        <v>35</v>
      </c>
      <c r="AC2025">
        <v>2.8305359999999999</v>
      </c>
      <c r="AD2025">
        <v>1.327224</v>
      </c>
      <c r="AE2025">
        <v>-0.73080440000000002</v>
      </c>
      <c r="AF2025">
        <v>0.50699009705884701</v>
      </c>
      <c r="AG2025">
        <v>1.327224</v>
      </c>
      <c r="AH2025">
        <v>2.3701460625363899</v>
      </c>
      <c r="AI2025">
        <v>61.2954161977895</v>
      </c>
      <c r="AJ2025">
        <v>77.926007665591598</v>
      </c>
      <c r="AK2025">
        <v>2.7633593437062198</v>
      </c>
    </row>
    <row r="2026" spans="1:37" x14ac:dyDescent="0.2">
      <c r="A2026" t="str">
        <f>"20200111150631121"</f>
        <v>20200111150631121</v>
      </c>
      <c r="B2026" t="str">
        <f>"1578726391118432"</f>
        <v>1578726391118432</v>
      </c>
      <c r="C2026" t="s">
        <v>37</v>
      </c>
      <c r="D2026">
        <v>6.252675</v>
      </c>
      <c r="E2026">
        <v>0.62309389999999998</v>
      </c>
      <c r="F2026" t="s">
        <v>87</v>
      </c>
      <c r="G2026">
        <v>-279.02</v>
      </c>
      <c r="H2026">
        <v>1.082498</v>
      </c>
      <c r="I2026">
        <v>-5.162331</v>
      </c>
      <c r="J2026">
        <v>-364.55500000000001</v>
      </c>
      <c r="K2026">
        <v>1.1052879999999901</v>
      </c>
      <c r="L2026">
        <v>20.753270000000001</v>
      </c>
      <c r="M2026">
        <v>0.99912289999999904</v>
      </c>
      <c r="N2026">
        <v>0</v>
      </c>
      <c r="O2026">
        <v>-3.989583E-2</v>
      </c>
      <c r="P2026">
        <v>0.98667019999999905</v>
      </c>
      <c r="Q2026">
        <v>0.16204199999999999</v>
      </c>
      <c r="R2026">
        <v>1.4987510000000001E-2</v>
      </c>
      <c r="S2026">
        <v>3.0526430000000002</v>
      </c>
      <c r="T2026">
        <v>-8.1038479999999999E-4</v>
      </c>
      <c r="U2026">
        <v>-0.92129519999999998</v>
      </c>
      <c r="V2026">
        <v>-5.5116150000000003E-2</v>
      </c>
      <c r="W2026">
        <v>0.17432320000000001</v>
      </c>
      <c r="X2026">
        <v>0.98314480000000004</v>
      </c>
      <c r="Y2026">
        <v>0.25050319999999998</v>
      </c>
      <c r="Z2026" s="1">
        <v>-2.218207E-5</v>
      </c>
      <c r="AA2026">
        <v>0.96811579999999997</v>
      </c>
      <c r="AB2026">
        <v>35</v>
      </c>
      <c r="AC2026">
        <v>85.534999999999997</v>
      </c>
      <c r="AD2026">
        <v>-2.27899999999998E-2</v>
      </c>
      <c r="AE2026">
        <v>-25.915600999999999</v>
      </c>
      <c r="AF2026">
        <v>22.482197505574099</v>
      </c>
      <c r="AG2026">
        <v>-2.27899999999998E-2</v>
      </c>
      <c r="AH2026">
        <v>86.500892230909699</v>
      </c>
      <c r="AI2026">
        <v>90.014610056684504</v>
      </c>
      <c r="AJ2026">
        <v>75.430768751630893</v>
      </c>
      <c r="AK2026">
        <v>89.374795556729495</v>
      </c>
    </row>
    <row r="2027" spans="1:37" x14ac:dyDescent="0.2">
      <c r="A2027" t="str">
        <f>"20200111150631142"</f>
        <v>20200111150631142</v>
      </c>
      <c r="B2027" t="str">
        <f>"1578726391138928"</f>
        <v>1578726391138928</v>
      </c>
      <c r="C2027" t="s">
        <v>37</v>
      </c>
      <c r="D2027">
        <v>4.489941</v>
      </c>
      <c r="E2027">
        <v>0.59466490000000005</v>
      </c>
      <c r="F2027" t="s">
        <v>39</v>
      </c>
      <c r="G2027">
        <v>-328.88420000000002</v>
      </c>
      <c r="H2027">
        <v>5.322404E-2</v>
      </c>
      <c r="I2027">
        <v>9.6130870000000002</v>
      </c>
      <c r="J2027">
        <v>-364.23129999999998</v>
      </c>
      <c r="K2027">
        <v>1.1052770000000001</v>
      </c>
      <c r="L2027">
        <v>20.741969999999998</v>
      </c>
      <c r="M2027">
        <v>0.99918999999999902</v>
      </c>
      <c r="N2027">
        <v>0</v>
      </c>
      <c r="O2027">
        <v>-3.818237E-2</v>
      </c>
      <c r="P2027">
        <v>0.98664969999999996</v>
      </c>
      <c r="Q2027">
        <v>0.1620144</v>
      </c>
      <c r="R2027">
        <v>1.6554289999999999E-2</v>
      </c>
      <c r="S2027">
        <v>3.0699770000000002</v>
      </c>
      <c r="T2027">
        <v>-9.0545059999999997E-2</v>
      </c>
      <c r="U2027">
        <v>-0.95877080000000003</v>
      </c>
      <c r="V2027">
        <v>-5.498608E-2</v>
      </c>
      <c r="W2027">
        <v>0.1742969</v>
      </c>
      <c r="X2027">
        <v>0.983156699999999</v>
      </c>
      <c r="Y2027">
        <v>0.261351</v>
      </c>
      <c r="Z2027">
        <v>-2.6656759999999901E-3</v>
      </c>
      <c r="AA2027">
        <v>0.96524009999999905</v>
      </c>
      <c r="AB2027">
        <v>35</v>
      </c>
      <c r="AC2027">
        <v>35.347099999999898</v>
      </c>
      <c r="AD2027">
        <v>-1.0520529599999999</v>
      </c>
      <c r="AE2027">
        <v>-11.128883</v>
      </c>
      <c r="AF2027">
        <v>9.7631525362284997</v>
      </c>
      <c r="AG2027">
        <v>-1.0520529599999999</v>
      </c>
      <c r="AH2027">
        <v>35.717494456375299</v>
      </c>
      <c r="AI2027">
        <v>91.627479060530803</v>
      </c>
      <c r="AJ2027">
        <v>74.712012235185696</v>
      </c>
      <c r="AK2027">
        <v>37.042750614897798</v>
      </c>
    </row>
    <row r="2028" spans="1:37" x14ac:dyDescent="0.2">
      <c r="A2028" t="str">
        <f>"20200111150631164"</f>
        <v>20200111150631164</v>
      </c>
      <c r="B2028" t="str">
        <f>"1578726391158448"</f>
        <v>1578726391158448</v>
      </c>
      <c r="C2028" t="s">
        <v>37</v>
      </c>
      <c r="D2028">
        <v>5.9619160000000004</v>
      </c>
      <c r="E2028">
        <v>0.60906979999999999</v>
      </c>
      <c r="F2028" t="s">
        <v>53</v>
      </c>
      <c r="G2028">
        <v>0</v>
      </c>
      <c r="H2028">
        <v>0</v>
      </c>
      <c r="I2028">
        <v>0</v>
      </c>
      <c r="J2028">
        <v>-363.87889999999999</v>
      </c>
      <c r="K2028">
        <v>1.1052739999999901</v>
      </c>
      <c r="L2028">
        <v>20.73038</v>
      </c>
      <c r="M2028">
        <v>0.99925919999999901</v>
      </c>
      <c r="N2028">
        <v>0</v>
      </c>
      <c r="O2028">
        <v>-3.6320350000000001E-2</v>
      </c>
      <c r="P2028">
        <v>0.98651089999999997</v>
      </c>
      <c r="Q2028">
        <v>0.1626628</v>
      </c>
      <c r="R2028">
        <v>1.8359839999999999E-2</v>
      </c>
      <c r="S2028">
        <v>2.8817439999999999</v>
      </c>
      <c r="T2028">
        <v>1.0372349999999999</v>
      </c>
      <c r="U2028">
        <v>-0.68542479999999995</v>
      </c>
      <c r="V2028">
        <v>-5.4948249999999997E-2</v>
      </c>
      <c r="W2028">
        <v>0.17494479999999901</v>
      </c>
      <c r="X2028">
        <v>0.98304369999999996</v>
      </c>
      <c r="Y2028">
        <v>0.18695629999999999</v>
      </c>
      <c r="Z2028">
        <v>1.970964E-2</v>
      </c>
      <c r="AA2028">
        <v>0.98217049999999995</v>
      </c>
      <c r="AB2028">
        <v>35</v>
      </c>
      <c r="AC2028">
        <v>2.8817439999999999</v>
      </c>
      <c r="AD2028">
        <v>1.0372349999999999</v>
      </c>
      <c r="AE2028">
        <v>-0.68542479999999995</v>
      </c>
      <c r="AF2028">
        <v>0.51691630220736196</v>
      </c>
      <c r="AG2028">
        <v>1.0372349999999999</v>
      </c>
      <c r="AH2028">
        <v>2.58747555949815</v>
      </c>
      <c r="AI2028">
        <v>68.540216401130706</v>
      </c>
      <c r="AJ2028">
        <v>78.702391974869798</v>
      </c>
      <c r="AK2028">
        <v>2.8351523203724001</v>
      </c>
    </row>
    <row r="2029" spans="1:37" x14ac:dyDescent="0.2">
      <c r="A2029" t="str">
        <f>"20200111150631186"</f>
        <v>20200111150631186</v>
      </c>
      <c r="B2029" t="str">
        <f>"1578726391178944"</f>
        <v>1578726391178944</v>
      </c>
      <c r="C2029" t="s">
        <v>37</v>
      </c>
      <c r="D2029">
        <v>4.022151</v>
      </c>
      <c r="E2029">
        <v>0.60893799999999998</v>
      </c>
      <c r="F2029" t="s">
        <v>59</v>
      </c>
      <c r="G2029">
        <v>-212.6309</v>
      </c>
      <c r="H2029">
        <v>57.367739999999998</v>
      </c>
      <c r="I2029">
        <v>-20.964009999999998</v>
      </c>
      <c r="J2029">
        <v>-363.5292</v>
      </c>
      <c r="K2029">
        <v>1.105264</v>
      </c>
      <c r="L2029">
        <v>20.719479999999901</v>
      </c>
      <c r="M2029">
        <v>0.99932469999999995</v>
      </c>
      <c r="N2029">
        <v>0</v>
      </c>
      <c r="O2029">
        <v>-3.4473589999999998E-2</v>
      </c>
      <c r="P2029">
        <v>0.98636089999999998</v>
      </c>
      <c r="Q2029">
        <v>0.1633945</v>
      </c>
      <c r="R2029">
        <v>1.9862990000000001E-2</v>
      </c>
      <c r="S2029">
        <v>2.879181</v>
      </c>
      <c r="T2029">
        <v>1.071021</v>
      </c>
      <c r="U2029">
        <v>-0.7937012</v>
      </c>
      <c r="V2029">
        <v>-5.4624140000000002E-2</v>
      </c>
      <c r="W2029">
        <v>0.17567669999999999</v>
      </c>
      <c r="X2029">
        <v>0.98293129999999995</v>
      </c>
      <c r="Y2029">
        <v>0.2207723</v>
      </c>
      <c r="Z2029">
        <v>2.6883150000000001E-2</v>
      </c>
      <c r="AA2029">
        <v>0.97495480000000001</v>
      </c>
      <c r="AB2029">
        <v>35</v>
      </c>
      <c r="AC2029">
        <v>150.89830000000001</v>
      </c>
      <c r="AD2029">
        <v>56.262475999999999</v>
      </c>
      <c r="AE2029">
        <v>-41.683489999999999</v>
      </c>
      <c r="AF2029">
        <v>32.286153952868801</v>
      </c>
      <c r="AG2029">
        <v>56.262475999999999</v>
      </c>
      <c r="AH2029">
        <v>134.83074386917201</v>
      </c>
      <c r="AI2029">
        <v>67.9121978323587</v>
      </c>
      <c r="AJ2029">
        <v>76.533692135250803</v>
      </c>
      <c r="AK2029">
        <v>149.62349893995</v>
      </c>
    </row>
    <row r="2030" spans="1:37" x14ac:dyDescent="0.2">
      <c r="A2030" t="str">
        <f>"20200111150631209"</f>
        <v>20200111150631209</v>
      </c>
      <c r="B2030" t="str">
        <f>"1578726391198464"</f>
        <v>1578726391198464</v>
      </c>
      <c r="C2030" t="s">
        <v>37</v>
      </c>
      <c r="D2030">
        <v>5.3055120000000002</v>
      </c>
      <c r="E2030">
        <v>0.64129009999999997</v>
      </c>
      <c r="F2030" t="s">
        <v>59</v>
      </c>
      <c r="G2030">
        <v>-212.2585</v>
      </c>
      <c r="H2030">
        <v>53.248989999999999</v>
      </c>
      <c r="I2030">
        <v>-20.6492</v>
      </c>
      <c r="J2030">
        <v>-363.17669999999998</v>
      </c>
      <c r="K2030">
        <v>1.1052580000000001</v>
      </c>
      <c r="L2030">
        <v>20.70917</v>
      </c>
      <c r="M2030">
        <v>0.99938729999999998</v>
      </c>
      <c r="N2030">
        <v>0</v>
      </c>
      <c r="O2030">
        <v>-3.2610130000000001E-2</v>
      </c>
      <c r="P2030">
        <v>0.9863516</v>
      </c>
      <c r="Q2030">
        <v>0.1633289</v>
      </c>
      <c r="R2030">
        <v>2.084623E-2</v>
      </c>
      <c r="S2030">
        <v>2.892242</v>
      </c>
      <c r="T2030">
        <v>0.99696929999999995</v>
      </c>
      <c r="U2030">
        <v>-0.79095459999999995</v>
      </c>
      <c r="V2030">
        <v>-5.3766059999999997E-2</v>
      </c>
      <c r="W2030">
        <v>0.1756162</v>
      </c>
      <c r="X2030">
        <v>0.98298940000000001</v>
      </c>
      <c r="Y2030">
        <v>0.22201770000000001</v>
      </c>
      <c r="Z2030">
        <v>2.58415E-2</v>
      </c>
      <c r="AA2030">
        <v>0.97470020000000002</v>
      </c>
      <c r="AB2030">
        <v>35</v>
      </c>
      <c r="AC2030">
        <v>150.91819999999899</v>
      </c>
      <c r="AD2030">
        <v>52.143732</v>
      </c>
      <c r="AE2030">
        <v>-41.358370000000001</v>
      </c>
      <c r="AF2030">
        <v>32.775213876561899</v>
      </c>
      <c r="AG2030">
        <v>52.143732</v>
      </c>
      <c r="AH2030">
        <v>136.97706407091499</v>
      </c>
      <c r="AI2030">
        <v>69.684225242250207</v>
      </c>
      <c r="AJ2030">
        <v>76.543539625295196</v>
      </c>
      <c r="AK2030">
        <v>150.18621612195199</v>
      </c>
    </row>
    <row r="2031" spans="1:37" x14ac:dyDescent="0.2">
      <c r="A2031" t="str">
        <f>"20200111150631231"</f>
        <v>20200111150631231</v>
      </c>
      <c r="B2031" t="str">
        <f>"1578726391228719"</f>
        <v>1578726391228719</v>
      </c>
      <c r="C2031" t="s">
        <v>37</v>
      </c>
      <c r="D2031">
        <v>5.361294</v>
      </c>
      <c r="E2031">
        <v>0.64540259999999905</v>
      </c>
      <c r="F2031" t="s">
        <v>39</v>
      </c>
      <c r="G2031">
        <v>-353.35829999999999</v>
      </c>
      <c r="H2031" s="1">
        <v>-3.2484629999999999E-6</v>
      </c>
      <c r="I2031">
        <v>17.26605</v>
      </c>
      <c r="J2031">
        <v>-362.82960000000003</v>
      </c>
      <c r="K2031">
        <v>1.1052580000000001</v>
      </c>
      <c r="L2031">
        <v>20.699619999999999</v>
      </c>
      <c r="M2031">
        <v>0.99944549999999999</v>
      </c>
      <c r="N2031">
        <v>0</v>
      </c>
      <c r="O2031">
        <v>-3.0773470000000001E-2</v>
      </c>
      <c r="P2031">
        <v>0.98631380000000002</v>
      </c>
      <c r="Q2031">
        <v>0.16347890000000001</v>
      </c>
      <c r="R2031">
        <v>2.145101E-2</v>
      </c>
      <c r="S2031">
        <v>3.122925</v>
      </c>
      <c r="T2031">
        <v>-0.35154990000000003</v>
      </c>
      <c r="U2031">
        <v>-1.0951229999999901</v>
      </c>
      <c r="V2031">
        <v>-5.2557109999999997E-2</v>
      </c>
      <c r="W2031">
        <v>0.1757715</v>
      </c>
      <c r="X2031">
        <v>0.98302699999999998</v>
      </c>
      <c r="Y2031">
        <v>0.30020479999999999</v>
      </c>
      <c r="Z2031">
        <v>-1.301042E-2</v>
      </c>
      <c r="AA2031">
        <v>0.95378600000000002</v>
      </c>
      <c r="AB2031">
        <v>35</v>
      </c>
      <c r="AC2031">
        <v>9.4713000000000402</v>
      </c>
      <c r="AD2031">
        <v>-1.105261248463</v>
      </c>
      <c r="AE2031">
        <v>-3.4335699999999898</v>
      </c>
      <c r="AF2031">
        <v>3.1031059399717802</v>
      </c>
      <c r="AG2031">
        <v>-1.105261248463</v>
      </c>
      <c r="AH2031">
        <v>9.4586398538543701</v>
      </c>
      <c r="AI2031">
        <v>96.335578457686694</v>
      </c>
      <c r="AJ2031">
        <v>71.836833992072997</v>
      </c>
      <c r="AK2031">
        <v>10.015824318894699</v>
      </c>
    </row>
    <row r="2032" spans="1:37" x14ac:dyDescent="0.2">
      <c r="A2032" t="str">
        <f>"20200111150631254"</f>
        <v>20200111150631254</v>
      </c>
      <c r="B2032" t="str">
        <f>"1578726391248241"</f>
        <v>1578726391248241</v>
      </c>
      <c r="C2032" t="s">
        <v>37</v>
      </c>
      <c r="D2032">
        <v>5.3041390000000002</v>
      </c>
      <c r="E2032">
        <v>0.64432210000000001</v>
      </c>
      <c r="F2032" t="s">
        <v>39</v>
      </c>
      <c r="G2032">
        <v>-352.20299999999997</v>
      </c>
      <c r="H2032" s="1">
        <v>-3.8141699999999999E-6</v>
      </c>
      <c r="I2032">
        <v>16.87086</v>
      </c>
      <c r="J2032">
        <v>-362.4948</v>
      </c>
      <c r="K2032">
        <v>1.105256</v>
      </c>
      <c r="L2032">
        <v>20.691040000000001</v>
      </c>
      <c r="M2032">
        <v>0.99949840000000001</v>
      </c>
      <c r="N2032">
        <v>0</v>
      </c>
      <c r="O2032">
        <v>-2.9000459999999999E-2</v>
      </c>
      <c r="P2032">
        <v>0.98627180000000003</v>
      </c>
      <c r="Q2032">
        <v>0.163747</v>
      </c>
      <c r="R2032">
        <v>2.133293E-2</v>
      </c>
      <c r="S2032">
        <v>3.1198429999999999</v>
      </c>
      <c r="T2032">
        <v>-0.32449229999999901</v>
      </c>
      <c r="U2032">
        <v>-1.1240540000000001</v>
      </c>
      <c r="V2032">
        <v>-5.0689320000000003E-2</v>
      </c>
      <c r="W2032">
        <v>0.1760485</v>
      </c>
      <c r="X2032">
        <v>0.98307559999999905</v>
      </c>
      <c r="Y2032">
        <v>0.31019459999999999</v>
      </c>
      <c r="Z2032">
        <v>-1.268771E-2</v>
      </c>
      <c r="AA2032">
        <v>0.9505884</v>
      </c>
      <c r="AB2032">
        <v>35</v>
      </c>
      <c r="AC2032">
        <v>10.291799999999901</v>
      </c>
      <c r="AD2032">
        <v>-1.1052598141700001</v>
      </c>
      <c r="AE2032">
        <v>-3.8201800000000001</v>
      </c>
      <c r="AF2032">
        <v>3.48475861553348</v>
      </c>
      <c r="AG2032">
        <v>-1.1052598141700001</v>
      </c>
      <c r="AH2032">
        <v>10.2939221766897</v>
      </c>
      <c r="AI2032">
        <v>95.807056123722603</v>
      </c>
      <c r="AJ2032">
        <v>71.2977119042921</v>
      </c>
      <c r="AK2032">
        <v>10.9238260534072</v>
      </c>
    </row>
    <row r="2033" spans="1:37" x14ac:dyDescent="0.2">
      <c r="A2033" t="str">
        <f>"20200111150631288"</f>
        <v>20200111150631288</v>
      </c>
      <c r="B2033" t="str">
        <f>"1578726391278496"</f>
        <v>1578726391278496</v>
      </c>
      <c r="C2033" t="s">
        <v>37</v>
      </c>
      <c r="D2033">
        <v>5.4670439999999996</v>
      </c>
      <c r="E2033">
        <v>0.64836249999999995</v>
      </c>
      <c r="F2033" t="s">
        <v>39</v>
      </c>
      <c r="G2033">
        <v>-350.05</v>
      </c>
      <c r="H2033" s="1">
        <v>-4.8495349999999998E-6</v>
      </c>
      <c r="I2033">
        <v>16.240839999999999</v>
      </c>
      <c r="J2033">
        <v>-361.93509999999998</v>
      </c>
      <c r="K2033">
        <v>1.1052549999999901</v>
      </c>
      <c r="L2033">
        <v>20.678070000000002</v>
      </c>
      <c r="M2033">
        <v>0.99958019999999903</v>
      </c>
      <c r="N2033">
        <v>0</v>
      </c>
      <c r="O2033">
        <v>-2.603565E-2</v>
      </c>
      <c r="P2033">
        <v>0.98608019999999996</v>
      </c>
      <c r="Q2033">
        <v>0.16465579999999999</v>
      </c>
      <c r="R2033">
        <v>2.3121659999999999E-2</v>
      </c>
      <c r="S2033">
        <v>3.111755</v>
      </c>
      <c r="T2033">
        <v>-0.27636559999999999</v>
      </c>
      <c r="U2033">
        <v>-1.1127320000000001</v>
      </c>
      <c r="V2033">
        <v>-4.955039E-2</v>
      </c>
      <c r="W2033">
        <v>0.1769609</v>
      </c>
      <c r="X2033">
        <v>0.9829698</v>
      </c>
      <c r="Y2033">
        <v>0.31108530000000001</v>
      </c>
      <c r="Z2033">
        <v>-1.113856E-2</v>
      </c>
      <c r="AA2033">
        <v>0.95031669999999901</v>
      </c>
      <c r="AB2033">
        <v>35</v>
      </c>
      <c r="AC2033">
        <v>11.8850999999999</v>
      </c>
      <c r="AD2033">
        <v>-1.1052598495349999</v>
      </c>
      <c r="AE2033">
        <v>-4.4372299999999996</v>
      </c>
      <c r="AF2033">
        <v>4.0951811169402896</v>
      </c>
      <c r="AG2033">
        <v>-1.1052598495349999</v>
      </c>
      <c r="AH2033">
        <v>11.9062354530382</v>
      </c>
      <c r="AI2033">
        <v>95.016732051708402</v>
      </c>
      <c r="AJ2033">
        <v>71.019209372268705</v>
      </c>
      <c r="AK2033">
        <v>12.6392464323915</v>
      </c>
    </row>
    <row r="2034" spans="1:37" x14ac:dyDescent="0.2">
      <c r="A2034" t="str">
        <f>"20200111150631310"</f>
        <v>20200111150631310</v>
      </c>
      <c r="B2034" t="str">
        <f>"1578726391308752"</f>
        <v>1578726391308752</v>
      </c>
      <c r="C2034" t="s">
        <v>37</v>
      </c>
      <c r="D2034">
        <v>5.7459280000000001</v>
      </c>
      <c r="E2034">
        <v>0.63636400000000004</v>
      </c>
      <c r="F2034" t="s">
        <v>39</v>
      </c>
      <c r="G2034">
        <v>-348.4117</v>
      </c>
      <c r="H2034" s="1">
        <v>-1.560174E-6</v>
      </c>
      <c r="I2034">
        <v>15.731579999999999</v>
      </c>
      <c r="J2034">
        <v>-361.58260000000001</v>
      </c>
      <c r="K2034">
        <v>1.105251</v>
      </c>
      <c r="L2034">
        <v>20.670719999999999</v>
      </c>
      <c r="M2034">
        <v>0.99962709999999999</v>
      </c>
      <c r="N2034">
        <v>0</v>
      </c>
      <c r="O2034">
        <v>-2.416917E-2</v>
      </c>
      <c r="P2034">
        <v>0.9860719</v>
      </c>
      <c r="Q2034">
        <v>0.16452429999999901</v>
      </c>
      <c r="R2034">
        <v>2.4373479999999999E-2</v>
      </c>
      <c r="S2034">
        <v>3.111542</v>
      </c>
      <c r="T2034">
        <v>-0.2543029</v>
      </c>
      <c r="U2034">
        <v>-1.1380920000000001</v>
      </c>
      <c r="V2034">
        <v>-4.8960480000000001E-2</v>
      </c>
      <c r="W2034">
        <v>0.17683189999999999</v>
      </c>
      <c r="X2034">
        <v>0.98302259999999997</v>
      </c>
      <c r="Y2034">
        <v>0.3198394</v>
      </c>
      <c r="Z2034">
        <v>-1.073234E-2</v>
      </c>
      <c r="AA2034">
        <v>0.947411</v>
      </c>
      <c r="AB2034">
        <v>35</v>
      </c>
      <c r="AC2034">
        <v>13.1709</v>
      </c>
      <c r="AD2034">
        <v>-1.105252560174</v>
      </c>
      <c r="AE2034">
        <v>-4.9391400000000001</v>
      </c>
      <c r="AF2034">
        <v>4.5909979144999404</v>
      </c>
      <c r="AG2034">
        <v>-1.105252560174</v>
      </c>
      <c r="AH2034">
        <v>13.2049128296996</v>
      </c>
      <c r="AI2034">
        <v>94.520300496801994</v>
      </c>
      <c r="AJ2034">
        <v>70.828792721293198</v>
      </c>
      <c r="AK2034">
        <v>14.023857098269399</v>
      </c>
    </row>
    <row r="2035" spans="1:37" x14ac:dyDescent="0.2">
      <c r="A2035" t="str">
        <f>"20200111150631332"</f>
        <v>20200111150631332</v>
      </c>
      <c r="B2035" t="str">
        <f>"1578726391328272"</f>
        <v>1578726391328272</v>
      </c>
      <c r="C2035" t="s">
        <v>37</v>
      </c>
      <c r="D2035">
        <v>5.3817919999999999</v>
      </c>
      <c r="E2035">
        <v>0.66128679999999995</v>
      </c>
      <c r="F2035" t="s">
        <v>59</v>
      </c>
      <c r="G2035">
        <v>-229.4288</v>
      </c>
      <c r="H2035">
        <v>47.846809999999998</v>
      </c>
      <c r="I2035">
        <v>-24.871020000000001</v>
      </c>
      <c r="J2035">
        <v>-361.24639999999999</v>
      </c>
      <c r="K2035">
        <v>1.1052500000000001</v>
      </c>
      <c r="L2035">
        <v>20.66431</v>
      </c>
      <c r="M2035">
        <v>0.99966840000000001</v>
      </c>
      <c r="N2035">
        <v>0</v>
      </c>
      <c r="O2035">
        <v>-2.239174E-2</v>
      </c>
      <c r="P2035">
        <v>0.98591640000000003</v>
      </c>
      <c r="Q2035">
        <v>0.16512289999999999</v>
      </c>
      <c r="R2035">
        <v>2.6523669999999999E-2</v>
      </c>
      <c r="S2035">
        <v>2.8961489999999999</v>
      </c>
      <c r="T2035">
        <v>1.0243409999999999</v>
      </c>
      <c r="U2035">
        <v>-0.99804689999999996</v>
      </c>
      <c r="V2035">
        <v>-4.9355879999999998E-2</v>
      </c>
      <c r="W2035">
        <v>0.1774269</v>
      </c>
      <c r="X2035">
        <v>0.98289559999999998</v>
      </c>
      <c r="Y2035">
        <v>0.29001729999999998</v>
      </c>
      <c r="Z2035">
        <v>4.1011590000000001E-2</v>
      </c>
      <c r="AA2035">
        <v>0.95614219999999905</v>
      </c>
      <c r="AB2035">
        <v>35</v>
      </c>
      <c r="AC2035">
        <v>131.8176</v>
      </c>
      <c r="AD2035">
        <v>46.74156</v>
      </c>
      <c r="AE2035">
        <v>-45.535330000000002</v>
      </c>
      <c r="AF2035">
        <v>38.272806864613301</v>
      </c>
      <c r="AG2035">
        <v>46.74156</v>
      </c>
      <c r="AH2035">
        <v>119.39268730446599</v>
      </c>
      <c r="AI2035">
        <v>69.554155381662298</v>
      </c>
      <c r="AJ2035">
        <v>72.2261029447927</v>
      </c>
      <c r="AK2035">
        <v>133.806557979464</v>
      </c>
    </row>
    <row r="2036" spans="1:37" x14ac:dyDescent="0.2">
      <c r="A2036" t="str">
        <f>"20200111150631354"</f>
        <v>20200111150631354</v>
      </c>
      <c r="B2036" t="str">
        <f>"1578726391348768"</f>
        <v>1578726391348768</v>
      </c>
      <c r="C2036" t="s">
        <v>37</v>
      </c>
      <c r="D2036">
        <v>5.3359040000000002</v>
      </c>
      <c r="E2036">
        <v>0.66442559999999995</v>
      </c>
      <c r="F2036" t="s">
        <v>39</v>
      </c>
      <c r="G2036">
        <v>-342.02809999999999</v>
      </c>
      <c r="H2036" s="1">
        <v>-4.5644629999999997E-6</v>
      </c>
      <c r="I2036">
        <v>13.06414</v>
      </c>
      <c r="J2036">
        <v>-360.90179999999998</v>
      </c>
      <c r="K2036">
        <v>1.1052469999999901</v>
      </c>
      <c r="L2036">
        <v>20.658390000000001</v>
      </c>
      <c r="M2036">
        <v>0.99970749999999997</v>
      </c>
      <c r="N2036">
        <v>0</v>
      </c>
      <c r="O2036">
        <v>-2.0574140000000001E-2</v>
      </c>
      <c r="P2036">
        <v>0.98581890000000005</v>
      </c>
      <c r="Q2036">
        <v>0.165313299999999</v>
      </c>
      <c r="R2036">
        <v>2.8857150000000002E-2</v>
      </c>
      <c r="S2036">
        <v>3.1057739999999998</v>
      </c>
      <c r="T2036">
        <v>-0.17861450000000001</v>
      </c>
      <c r="U2036">
        <v>-1.22821</v>
      </c>
      <c r="V2036">
        <v>-4.9894090000000002E-2</v>
      </c>
      <c r="W2036">
        <v>0.17761370000000001</v>
      </c>
      <c r="X2036">
        <v>0.9828346</v>
      </c>
      <c r="Y2036">
        <v>0.34806969999999998</v>
      </c>
      <c r="Z2036">
        <v>-8.4999329999999994E-3</v>
      </c>
      <c r="AA2036">
        <v>0.93743009999999904</v>
      </c>
      <c r="AB2036">
        <v>35</v>
      </c>
      <c r="AC2036">
        <v>18.8736999999999</v>
      </c>
      <c r="AD2036">
        <v>-1.1052515644630001</v>
      </c>
      <c r="AE2036">
        <v>-7.5942499999999997</v>
      </c>
      <c r="AF2036">
        <v>7.18310004021978</v>
      </c>
      <c r="AG2036">
        <v>-1.1052515644630001</v>
      </c>
      <c r="AH2036">
        <v>18.969972864739301</v>
      </c>
      <c r="AI2036">
        <v>93.118835059725299</v>
      </c>
      <c r="AJ2036">
        <v>69.260512159131494</v>
      </c>
      <c r="AK2036">
        <v>20.314486892301701</v>
      </c>
    </row>
    <row r="2037" spans="1:37" x14ac:dyDescent="0.2">
      <c r="A2037" t="str">
        <f>"20200111150631378"</f>
        <v>20200111150631378</v>
      </c>
      <c r="B2037" t="str">
        <f>"1578726391368289"</f>
        <v>1578726391368289</v>
      </c>
      <c r="C2037" t="s">
        <v>37</v>
      </c>
      <c r="D2037">
        <v>5.331067</v>
      </c>
      <c r="E2037">
        <v>0.66399719999999995</v>
      </c>
      <c r="F2037" t="s">
        <v>39</v>
      </c>
      <c r="G2037">
        <v>-342.89679999999998</v>
      </c>
      <c r="H2037" s="1">
        <v>-4.1240669999999998E-6</v>
      </c>
      <c r="I2037">
        <v>13.44604</v>
      </c>
      <c r="J2037">
        <v>-360.52440000000001</v>
      </c>
      <c r="K2037">
        <v>1.105243</v>
      </c>
      <c r="L2037">
        <v>20.652650000000001</v>
      </c>
      <c r="M2037">
        <v>0.99974629999999998</v>
      </c>
      <c r="N2037">
        <v>0</v>
      </c>
      <c r="O2037">
        <v>-1.858955E-2</v>
      </c>
      <c r="P2037">
        <v>0.98573690000000003</v>
      </c>
      <c r="Q2037">
        <v>0.1651572</v>
      </c>
      <c r="R2037">
        <v>3.2341880000000003E-2</v>
      </c>
      <c r="S2037">
        <v>3.1117249999999999</v>
      </c>
      <c r="T2037">
        <v>-0.1910152</v>
      </c>
      <c r="U2037">
        <v>-1.2464599999999999</v>
      </c>
      <c r="V2037">
        <v>-5.1418209999999999E-2</v>
      </c>
      <c r="W2037">
        <v>0.17745039999999901</v>
      </c>
      <c r="X2037">
        <v>0.98278559999999904</v>
      </c>
      <c r="Y2037">
        <v>0.35398049999999998</v>
      </c>
      <c r="Z2037">
        <v>-9.3550230000000005E-3</v>
      </c>
      <c r="AA2037">
        <v>0.93520599999999998</v>
      </c>
      <c r="AB2037">
        <v>35</v>
      </c>
      <c r="AC2037">
        <v>17.627600000000001</v>
      </c>
      <c r="AD2037">
        <v>-1.1052471240670001</v>
      </c>
      <c r="AE2037">
        <v>-7.2066100000000004</v>
      </c>
      <c r="AF2037">
        <v>6.8545606496303897</v>
      </c>
      <c r="AG2037">
        <v>-1.1052471240670001</v>
      </c>
      <c r="AH2037">
        <v>17.698916745798201</v>
      </c>
      <c r="AI2037">
        <v>93.332712832218704</v>
      </c>
      <c r="AJ2037">
        <v>68.829261206327601</v>
      </c>
      <c r="AK2037">
        <v>19.012054777940602</v>
      </c>
    </row>
    <row r="2038" spans="1:37" x14ac:dyDescent="0.2">
      <c r="A2038" t="str">
        <f>"20200111150631400"</f>
        <v>20200111150631400</v>
      </c>
      <c r="B2038" t="str">
        <f>"1578726391388784"</f>
        <v>1578726391388784</v>
      </c>
      <c r="C2038" t="s">
        <v>37</v>
      </c>
      <c r="D2038">
        <v>6.240564</v>
      </c>
      <c r="E2038">
        <v>0.66472600000000004</v>
      </c>
      <c r="F2038" t="s">
        <v>39</v>
      </c>
      <c r="G2038">
        <v>-341.69199999999898</v>
      </c>
      <c r="H2038" s="1">
        <v>-4.6843610000000004E-6</v>
      </c>
      <c r="I2038">
        <v>13.201129999999999</v>
      </c>
      <c r="J2038">
        <v>-360.18</v>
      </c>
      <c r="K2038">
        <v>1.105234</v>
      </c>
      <c r="L2038">
        <v>20.648070000000001</v>
      </c>
      <c r="M2038">
        <v>0.99977839999999996</v>
      </c>
      <c r="N2038">
        <v>0</v>
      </c>
      <c r="O2038">
        <v>-1.6783050000000001E-2</v>
      </c>
      <c r="P2038">
        <v>0.98560840000000005</v>
      </c>
      <c r="Q2038">
        <v>0.16531099999999899</v>
      </c>
      <c r="R2038">
        <v>3.5337380000000002E-2</v>
      </c>
      <c r="S2038">
        <v>3.114471</v>
      </c>
      <c r="T2038">
        <v>-0.18278320000000001</v>
      </c>
      <c r="U2038">
        <v>-1.2323</v>
      </c>
      <c r="V2038">
        <v>-5.2629559999999999E-2</v>
      </c>
      <c r="W2038">
        <v>0.1775977</v>
      </c>
      <c r="X2038">
        <v>0.98269490000000004</v>
      </c>
      <c r="Y2038">
        <v>0.35175980000000001</v>
      </c>
      <c r="Z2038">
        <v>-8.9915519999999999E-3</v>
      </c>
      <c r="AA2038">
        <v>0.93604709999999902</v>
      </c>
      <c r="AB2038">
        <v>35</v>
      </c>
      <c r="AC2038">
        <v>18.488</v>
      </c>
      <c r="AD2038">
        <v>-1.105238684361</v>
      </c>
      <c r="AE2038">
        <v>-7.4469399999999997</v>
      </c>
      <c r="AF2038">
        <v>7.11370679334052</v>
      </c>
      <c r="AG2038">
        <v>-1.105238684361</v>
      </c>
      <c r="AH2038">
        <v>18.553338040182599</v>
      </c>
      <c r="AI2038">
        <v>93.183652865369496</v>
      </c>
      <c r="AJ2038">
        <v>69.022215161042496</v>
      </c>
      <c r="AK2038">
        <v>19.901073572154701</v>
      </c>
    </row>
    <row r="2039" spans="1:37" x14ac:dyDescent="0.2">
      <c r="A2039" t="str">
        <f>"20200111150631422"</f>
        <v>20200111150631422</v>
      </c>
      <c r="B2039" t="str">
        <f>"1578726391419042"</f>
        <v>1578726391419042</v>
      </c>
      <c r="C2039" t="s">
        <v>37</v>
      </c>
      <c r="D2039">
        <v>9.2072920000000007</v>
      </c>
      <c r="E2039">
        <v>0.58347249999999995</v>
      </c>
      <c r="F2039" t="s">
        <v>39</v>
      </c>
      <c r="G2039">
        <v>-340.81299999999999</v>
      </c>
      <c r="H2039" s="1">
        <v>-5.0940720000000001E-6</v>
      </c>
      <c r="I2039">
        <v>13.01702</v>
      </c>
      <c r="J2039">
        <v>-359.81920000000002</v>
      </c>
      <c r="K2039">
        <v>1.105227</v>
      </c>
      <c r="L2039">
        <v>20.643889999999999</v>
      </c>
      <c r="M2039">
        <v>0.99980829999999998</v>
      </c>
      <c r="N2039">
        <v>0</v>
      </c>
      <c r="O2039">
        <v>-1.489644E-2</v>
      </c>
      <c r="P2039">
        <v>0.98550649999999995</v>
      </c>
      <c r="Q2039">
        <v>0.1651002</v>
      </c>
      <c r="R2039">
        <v>3.8976900000000002E-2</v>
      </c>
      <c r="S2039">
        <v>3.1176759999999999</v>
      </c>
      <c r="T2039">
        <v>-0.1779202</v>
      </c>
      <c r="U2039">
        <v>-1.228424</v>
      </c>
      <c r="V2039">
        <v>-5.4405269999999999E-2</v>
      </c>
      <c r="W2039">
        <v>0.17737809999999901</v>
      </c>
      <c r="X2039">
        <v>0.98263780000000001</v>
      </c>
      <c r="Y2039">
        <v>0.3522131</v>
      </c>
      <c r="Z2039">
        <v>-8.8622579999999996E-3</v>
      </c>
      <c r="AA2039">
        <v>0.93587790000000004</v>
      </c>
      <c r="AB2039">
        <v>35</v>
      </c>
      <c r="AC2039">
        <v>19.0061999999999</v>
      </c>
      <c r="AD2039">
        <v>-1.105232094072</v>
      </c>
      <c r="AE2039">
        <v>-7.6268699999999896</v>
      </c>
      <c r="AF2039">
        <v>7.3215516276677697</v>
      </c>
      <c r="AG2039">
        <v>-1.105232094072</v>
      </c>
      <c r="AH2039">
        <v>19.062193533654899</v>
      </c>
      <c r="AI2039">
        <v>93.098125020101605</v>
      </c>
      <c r="AJ2039">
        <v>68.988837985068201</v>
      </c>
      <c r="AK2039">
        <v>20.4497892050966</v>
      </c>
    </row>
    <row r="2040" spans="1:37" x14ac:dyDescent="0.2">
      <c r="A2040" t="str">
        <f>"20200111150631444"</f>
        <v>20200111150631444</v>
      </c>
      <c r="B2040" t="str">
        <f>"1578726391438561"</f>
        <v>1578726391438561</v>
      </c>
      <c r="C2040" t="s">
        <v>37</v>
      </c>
      <c r="D2040">
        <v>5.1930529999999999</v>
      </c>
      <c r="E2040">
        <v>0.47493029999999897</v>
      </c>
      <c r="F2040" t="s">
        <v>91</v>
      </c>
      <c r="G2040">
        <v>-157.46729999999999</v>
      </c>
      <c r="H2040">
        <v>81.807959999999994</v>
      </c>
      <c r="I2040">
        <v>-16.602079999999901</v>
      </c>
      <c r="J2040">
        <v>-359.49349999999998</v>
      </c>
      <c r="K2040">
        <v>1.105224</v>
      </c>
      <c r="L2040">
        <v>20.640720000000002</v>
      </c>
      <c r="M2040">
        <v>0.99983219999999995</v>
      </c>
      <c r="N2040">
        <v>0</v>
      </c>
      <c r="O2040">
        <v>-1.3197220000000001E-2</v>
      </c>
      <c r="P2040">
        <v>0.9854349</v>
      </c>
      <c r="Q2040">
        <v>0.16479869999999999</v>
      </c>
      <c r="R2040">
        <v>4.1945349999999999E-2</v>
      </c>
      <c r="S2040">
        <v>2.8731080000000002</v>
      </c>
      <c r="T2040">
        <v>1.1458629999999901</v>
      </c>
      <c r="U2040">
        <v>-0.52883910000000001</v>
      </c>
      <c r="V2040">
        <v>-5.5695479999999999E-2</v>
      </c>
      <c r="W2040">
        <v>0.1770707</v>
      </c>
      <c r="X2040">
        <v>0.98262099999999997</v>
      </c>
      <c r="Y2040">
        <v>0.15734319999999999</v>
      </c>
      <c r="Z2040">
        <v>2.496292E-2</v>
      </c>
      <c r="AA2040">
        <v>0.98722849999999995</v>
      </c>
      <c r="AB2040">
        <v>35</v>
      </c>
      <c r="AC2040">
        <v>202.02619999999999</v>
      </c>
      <c r="AD2040">
        <v>80.702735999999902</v>
      </c>
      <c r="AE2040">
        <v>-37.242800000000003</v>
      </c>
      <c r="AF2040">
        <v>29.950869608167199</v>
      </c>
      <c r="AG2040">
        <v>80.702735999999902</v>
      </c>
      <c r="AH2040">
        <v>175.42671822563099</v>
      </c>
      <c r="AI2040">
        <v>65.606896639922297</v>
      </c>
      <c r="AJ2040">
        <v>80.311224072222302</v>
      </c>
      <c r="AK2040">
        <v>195.40859667779699</v>
      </c>
    </row>
    <row r="2041" spans="1:37" x14ac:dyDescent="0.2">
      <c r="A2041" t="str">
        <f>"20200111150631465"</f>
        <v>20200111150631465</v>
      </c>
      <c r="B2041" t="str">
        <f>"1578726391459056"</f>
        <v>1578726391459056</v>
      </c>
      <c r="C2041" t="s">
        <v>37</v>
      </c>
      <c r="D2041">
        <v>5.9818699999999998</v>
      </c>
      <c r="E2041">
        <v>0.479332799999999</v>
      </c>
      <c r="F2041" t="s">
        <v>58</v>
      </c>
      <c r="G2041">
        <v>-215.1369</v>
      </c>
      <c r="H2041">
        <v>55.99586</v>
      </c>
      <c r="I2041">
        <v>38.040590000000002</v>
      </c>
      <c r="J2041">
        <v>-359.14859999999999</v>
      </c>
      <c r="K2041">
        <v>1.105216</v>
      </c>
      <c r="L2041">
        <v>20.63794</v>
      </c>
      <c r="M2041">
        <v>0.99985429999999997</v>
      </c>
      <c r="N2041">
        <v>0</v>
      </c>
      <c r="O2041">
        <v>-1.140119E-2</v>
      </c>
      <c r="P2041">
        <v>0.98531190000000002</v>
      </c>
      <c r="Q2041">
        <v>0.1647971</v>
      </c>
      <c r="R2041">
        <v>4.4750850000000002E-2</v>
      </c>
      <c r="S2041">
        <v>2.8486020000000001</v>
      </c>
      <c r="T2041">
        <v>1.083162</v>
      </c>
      <c r="U2041">
        <v>0.34335329999999997</v>
      </c>
      <c r="V2041">
        <v>-5.6728679999999997E-2</v>
      </c>
      <c r="W2041">
        <v>0.17706369999999999</v>
      </c>
      <c r="X2041">
        <v>0.98256309999999902</v>
      </c>
      <c r="Y2041">
        <v>-0.121801299999999</v>
      </c>
      <c r="Z2041">
        <v>-2.647888E-2</v>
      </c>
      <c r="AA2041">
        <v>0.99220129999999995</v>
      </c>
      <c r="AB2041">
        <v>35</v>
      </c>
      <c r="AC2041">
        <v>144.01169999999999</v>
      </c>
      <c r="AD2041">
        <v>54.890644000000002</v>
      </c>
      <c r="AE2041">
        <v>17.402650000000001</v>
      </c>
      <c r="AF2041">
        <v>-16.658296446699801</v>
      </c>
      <c r="AG2041">
        <v>54.890644000000002</v>
      </c>
      <c r="AH2041">
        <v>125.792062599787</v>
      </c>
      <c r="AI2041">
        <v>66.607485569243593</v>
      </c>
      <c r="AJ2041">
        <v>97.543629170932405</v>
      </c>
      <c r="AK2041">
        <v>138.253841365619</v>
      </c>
    </row>
    <row r="2042" spans="1:37" x14ac:dyDescent="0.2">
      <c r="A2042" t="str">
        <f>"20200111150631488"</f>
        <v>20200111150631488</v>
      </c>
      <c r="B2042" t="str">
        <f>"1578726391478576"</f>
        <v>1578726391478576</v>
      </c>
      <c r="C2042" t="s">
        <v>37</v>
      </c>
      <c r="D2042">
        <v>5.2923559999999998</v>
      </c>
      <c r="E2042">
        <v>0.47902650000000002</v>
      </c>
      <c r="F2042" t="s">
        <v>62</v>
      </c>
      <c r="G2042">
        <v>-168.52119999999999</v>
      </c>
      <c r="H2042">
        <v>63.762039999999999</v>
      </c>
      <c r="I2042">
        <v>41.375489999999999</v>
      </c>
      <c r="J2042">
        <v>-358.78590000000003</v>
      </c>
      <c r="K2042">
        <v>1.1052150000000001</v>
      </c>
      <c r="L2042">
        <v>20.635679999999901</v>
      </c>
      <c r="M2042">
        <v>0.99987409999999999</v>
      </c>
      <c r="N2042">
        <v>0</v>
      </c>
      <c r="O2042">
        <v>-9.5157599999999998E-3</v>
      </c>
      <c r="P2042">
        <v>0.98519950000000001</v>
      </c>
      <c r="Q2042">
        <v>0.16480310000000001</v>
      </c>
      <c r="R2042">
        <v>4.7140670000000003E-2</v>
      </c>
      <c r="S2042">
        <v>2.87262</v>
      </c>
      <c r="T2042">
        <v>0.94419430000000004</v>
      </c>
      <c r="U2042">
        <v>0.3125</v>
      </c>
      <c r="V2042">
        <v>-5.7258539999999997E-2</v>
      </c>
      <c r="W2042">
        <v>0.177066</v>
      </c>
      <c r="X2042">
        <v>0.98253199999999996</v>
      </c>
      <c r="Y2042">
        <v>-0.111314699999999</v>
      </c>
      <c r="Z2042">
        <v>-2.0816049999999999E-2</v>
      </c>
      <c r="AA2042">
        <v>0.99356719999999898</v>
      </c>
      <c r="AB2042">
        <v>35</v>
      </c>
      <c r="AC2042">
        <v>190.2647</v>
      </c>
      <c r="AD2042">
        <v>62.656824999999998</v>
      </c>
      <c r="AE2042">
        <v>20.739809999999999</v>
      </c>
      <c r="AF2042">
        <v>-20.366740127806999</v>
      </c>
      <c r="AG2042">
        <v>62.656824999999998</v>
      </c>
      <c r="AH2042">
        <v>171.66106858642999</v>
      </c>
      <c r="AI2042">
        <v>70.076398767868795</v>
      </c>
      <c r="AJ2042">
        <v>96.766231654554701</v>
      </c>
      <c r="AK2042">
        <v>183.87007448399299</v>
      </c>
    </row>
    <row r="2043" spans="1:37" x14ac:dyDescent="0.2">
      <c r="A2043" t="str">
        <f>"20200111150631510"</f>
        <v>20200111150631510</v>
      </c>
      <c r="B2043" t="str">
        <f>"1578726391508832"</f>
        <v>1578726391508832</v>
      </c>
      <c r="C2043" t="s">
        <v>37</v>
      </c>
      <c r="D2043">
        <v>5.2603540000000004</v>
      </c>
      <c r="E2043">
        <v>0.49011949999999999</v>
      </c>
      <c r="F2043" t="s">
        <v>62</v>
      </c>
      <c r="G2043">
        <v>-168.5224</v>
      </c>
      <c r="H2043">
        <v>67.215980000000002</v>
      </c>
      <c r="I2043">
        <v>42.133899999999997</v>
      </c>
      <c r="J2043">
        <v>-358.43549999999999</v>
      </c>
      <c r="K2043">
        <v>1.1052070000000001</v>
      </c>
      <c r="L2043">
        <v>20.634119999999999</v>
      </c>
      <c r="M2043">
        <v>0.99988980000000005</v>
      </c>
      <c r="N2043">
        <v>0</v>
      </c>
      <c r="O2043">
        <v>-7.6963589999999998E-3</v>
      </c>
      <c r="P2043">
        <v>0.98501930000000004</v>
      </c>
      <c r="Q2043">
        <v>0.1651117</v>
      </c>
      <c r="R2043">
        <v>4.9756370000000001E-2</v>
      </c>
      <c r="S2043">
        <v>2.8631899999999999</v>
      </c>
      <c r="T2043">
        <v>0.9948709</v>
      </c>
      <c r="U2043">
        <v>0.32351679999999999</v>
      </c>
      <c r="V2043">
        <v>-5.8080809999999997E-2</v>
      </c>
      <c r="W2043">
        <v>0.1773692</v>
      </c>
      <c r="X2043">
        <v>0.982429</v>
      </c>
      <c r="Y2043">
        <v>-0.1129328</v>
      </c>
      <c r="Z2043">
        <v>-2.1596850000000001E-2</v>
      </c>
      <c r="AA2043">
        <v>0.99336789999999997</v>
      </c>
      <c r="AB2043">
        <v>35</v>
      </c>
      <c r="AC2043">
        <v>189.91309999999999</v>
      </c>
      <c r="AD2043">
        <v>66.110772999999995</v>
      </c>
      <c r="AE2043">
        <v>21.499779999999902</v>
      </c>
      <c r="AF2043">
        <v>-20.507256276530999</v>
      </c>
      <c r="AG2043">
        <v>66.110772999999995</v>
      </c>
      <c r="AH2043">
        <v>169.46581286086999</v>
      </c>
      <c r="AI2043">
        <v>68.829242690544504</v>
      </c>
      <c r="AJ2043">
        <v>96.899879899762993</v>
      </c>
      <c r="AK2043">
        <v>183.056940855146</v>
      </c>
    </row>
    <row r="2044" spans="1:37" x14ac:dyDescent="0.2">
      <c r="A2044" t="str">
        <f>"20200111150631532"</f>
        <v>20200111150631532</v>
      </c>
      <c r="B2044" t="str">
        <f>"1578726391528352"</f>
        <v>1578726391528352</v>
      </c>
      <c r="C2044" t="s">
        <v>37</v>
      </c>
      <c r="D2044">
        <v>5.2555889999999996</v>
      </c>
      <c r="E2044">
        <v>0.49144189999999999</v>
      </c>
      <c r="F2044" t="s">
        <v>39</v>
      </c>
      <c r="G2044">
        <v>-322.44760000000002</v>
      </c>
      <c r="H2044" s="1">
        <v>-4.3920909999999901E-6</v>
      </c>
      <c r="I2044">
        <v>23.11561</v>
      </c>
      <c r="J2044">
        <v>-358.10379999999998</v>
      </c>
      <c r="K2044">
        <v>1.105199</v>
      </c>
      <c r="L2044">
        <v>20.63327</v>
      </c>
      <c r="M2044">
        <v>0.999901499999999</v>
      </c>
      <c r="N2044">
        <v>0</v>
      </c>
      <c r="O2044">
        <v>-5.9748190000000001E-3</v>
      </c>
      <c r="P2044">
        <v>0.98505290000000001</v>
      </c>
      <c r="Q2044">
        <v>0.16402610000000001</v>
      </c>
      <c r="R2044">
        <v>5.2599550000000002E-2</v>
      </c>
      <c r="S2044">
        <v>3.0507200000000001</v>
      </c>
      <c r="T2044">
        <v>-9.3689679999999997E-2</v>
      </c>
      <c r="U2044">
        <v>0.21035770000000001</v>
      </c>
      <c r="V2044">
        <v>-5.9223869999999998E-2</v>
      </c>
      <c r="W2044">
        <v>0.17627989999999999</v>
      </c>
      <c r="X2044">
        <v>0.98255680000000001</v>
      </c>
      <c r="Y2044">
        <v>-7.4712169999999994E-2</v>
      </c>
      <c r="Z2044">
        <v>1.3288550000000001E-3</v>
      </c>
      <c r="AA2044">
        <v>0.99720419999999999</v>
      </c>
      <c r="AB2044">
        <v>35</v>
      </c>
      <c r="AC2044">
        <v>35.656199999999899</v>
      </c>
      <c r="AD2044">
        <v>-1.1052033920909901</v>
      </c>
      <c r="AE2044">
        <v>2.4823400000000002</v>
      </c>
      <c r="AF2044">
        <v>-2.6927775779431702</v>
      </c>
      <c r="AG2044">
        <v>-1.1052033920909901</v>
      </c>
      <c r="AH2044">
        <v>35.606686301025597</v>
      </c>
      <c r="AI2044">
        <v>91.772785883448094</v>
      </c>
      <c r="AJ2044">
        <v>94.324796304709295</v>
      </c>
      <c r="AK2044">
        <v>35.725461997877701</v>
      </c>
    </row>
    <row r="2045" spans="1:37" x14ac:dyDescent="0.2">
      <c r="A2045" t="str">
        <f>"20200111150631556"</f>
        <v>20200111150631556</v>
      </c>
      <c r="B2045" t="str">
        <f>"1578726391548848"</f>
        <v>1578726391548848</v>
      </c>
      <c r="C2045" t="s">
        <v>37</v>
      </c>
      <c r="D2045">
        <v>5.2933539999999999</v>
      </c>
      <c r="E2045">
        <v>0.49538690000000002</v>
      </c>
      <c r="F2045" t="s">
        <v>46</v>
      </c>
      <c r="G2045">
        <v>-300.08170000000001</v>
      </c>
      <c r="H2045">
        <v>-0.05</v>
      </c>
      <c r="I2045">
        <v>24.618469999999999</v>
      </c>
      <c r="J2045">
        <v>-357.72680000000003</v>
      </c>
      <c r="K2045">
        <v>1.1051949999999999</v>
      </c>
      <c r="L2045">
        <v>20.632999999999999</v>
      </c>
      <c r="M2045">
        <v>0.999911199999999</v>
      </c>
      <c r="N2045">
        <v>0</v>
      </c>
      <c r="O2045">
        <v>-4.0179689999999997E-3</v>
      </c>
      <c r="P2045">
        <v>0.98510049999999905</v>
      </c>
      <c r="Q2045">
        <v>0.16308610000000001</v>
      </c>
      <c r="R2045">
        <v>5.4590229999999997E-2</v>
      </c>
      <c r="S2045">
        <v>3.0444640000000001</v>
      </c>
      <c r="T2045">
        <v>-6.0614109999999999E-2</v>
      </c>
      <c r="U2045">
        <v>0.2091064</v>
      </c>
      <c r="V2045">
        <v>-5.9282229999999998E-2</v>
      </c>
      <c r="W2045">
        <v>0.17534059999999899</v>
      </c>
      <c r="X2045">
        <v>0.98272139999999997</v>
      </c>
      <c r="Y2045">
        <v>-7.2515919999999998E-2</v>
      </c>
      <c r="Z2045">
        <v>8.008647E-4</v>
      </c>
      <c r="AA2045">
        <v>0.99736689999999995</v>
      </c>
      <c r="AB2045">
        <v>35</v>
      </c>
      <c r="AC2045">
        <v>57.645099999999999</v>
      </c>
      <c r="AD2045">
        <v>-1.155195</v>
      </c>
      <c r="AE2045">
        <v>3.9854699999999998</v>
      </c>
      <c r="AF2045">
        <v>-4.2153879323967001</v>
      </c>
      <c r="AG2045">
        <v>-1.155195</v>
      </c>
      <c r="AH2045">
        <v>57.605595891199798</v>
      </c>
      <c r="AI2045">
        <v>91.145765335431193</v>
      </c>
      <c r="AJ2045">
        <v>94.185256779830098</v>
      </c>
      <c r="AK2045">
        <v>57.771174896213097</v>
      </c>
    </row>
    <row r="2046" spans="1:37" x14ac:dyDescent="0.2">
      <c r="A2046" t="str">
        <f>"20200111150631578"</f>
        <v>20200111150631578</v>
      </c>
      <c r="B2046" t="str">
        <f>"1578726391568368"</f>
        <v>1578726391568368</v>
      </c>
      <c r="C2046" t="s">
        <v>37</v>
      </c>
      <c r="D2046">
        <v>5.3393319999999997</v>
      </c>
      <c r="E2046">
        <v>0.4965542</v>
      </c>
      <c r="F2046" t="s">
        <v>39</v>
      </c>
      <c r="G2046">
        <v>-326.22149999999999</v>
      </c>
      <c r="H2046" s="1">
        <v>-2.541135E-6</v>
      </c>
      <c r="I2046">
        <v>22.527279999999902</v>
      </c>
      <c r="J2046">
        <v>-357.37979999999999</v>
      </c>
      <c r="K2046">
        <v>1.105189</v>
      </c>
      <c r="L2046">
        <v>20.633389999999999</v>
      </c>
      <c r="M2046">
        <v>0.99991699999999994</v>
      </c>
      <c r="N2046">
        <v>0</v>
      </c>
      <c r="O2046">
        <v>-2.217152E-3</v>
      </c>
      <c r="P2046">
        <v>0.98518709999999898</v>
      </c>
      <c r="Q2046">
        <v>0.162142799999999</v>
      </c>
      <c r="R2046">
        <v>5.5825659999999999E-2</v>
      </c>
      <c r="S2046">
        <v>3.0529790000000001</v>
      </c>
      <c r="T2046">
        <v>-0.1070976</v>
      </c>
      <c r="U2046">
        <v>0.18356320000000001</v>
      </c>
      <c r="V2046">
        <v>-5.8739220000000002E-2</v>
      </c>
      <c r="W2046">
        <v>0.17440159999999999</v>
      </c>
      <c r="X2046">
        <v>0.98292109999999899</v>
      </c>
      <c r="Y2046">
        <v>-6.219127E-2</v>
      </c>
      <c r="Z2046">
        <v>1.1671989999999901E-3</v>
      </c>
      <c r="AA2046">
        <v>0.99806360000000005</v>
      </c>
      <c r="AB2046">
        <v>35</v>
      </c>
      <c r="AC2046">
        <v>31.158300000000001</v>
      </c>
      <c r="AD2046">
        <v>-1.105191541135</v>
      </c>
      <c r="AE2046">
        <v>1.8938899999999901</v>
      </c>
      <c r="AF2046">
        <v>-1.9605160794822201</v>
      </c>
      <c r="AG2046">
        <v>-1.105191541135</v>
      </c>
      <c r="AH2046">
        <v>31.115021193122299</v>
      </c>
      <c r="AI2046">
        <v>92.0302423188934</v>
      </c>
      <c r="AJ2046">
        <v>93.605364652020995</v>
      </c>
      <c r="AK2046">
        <v>31.196307722051799</v>
      </c>
    </row>
    <row r="2047" spans="1:37" x14ac:dyDescent="0.2">
      <c r="A2047" t="str">
        <f>"20200111150631601"</f>
        <v>20200111150631601</v>
      </c>
      <c r="B2047" t="str">
        <f>"1578726391598624"</f>
        <v>1578726391598624</v>
      </c>
      <c r="C2047" t="s">
        <v>37</v>
      </c>
      <c r="D2047">
        <v>5.1205189999999998</v>
      </c>
      <c r="E2047">
        <v>0.49555709999999997</v>
      </c>
      <c r="F2047" t="s">
        <v>39</v>
      </c>
      <c r="G2047">
        <v>-336.94450000000001</v>
      </c>
      <c r="H2047" s="1">
        <v>-1.8791919999999999E-6</v>
      </c>
      <c r="I2047">
        <v>21.818950000000001</v>
      </c>
      <c r="J2047">
        <v>-357.02440000000001</v>
      </c>
      <c r="K2047">
        <v>1.1051789999999999</v>
      </c>
      <c r="L2047">
        <v>20.634460000000001</v>
      </c>
      <c r="M2047">
        <v>0.99991919999999901</v>
      </c>
      <c r="N2047">
        <v>0</v>
      </c>
      <c r="O2047">
        <v>-3.7258570000000001E-4</v>
      </c>
      <c r="P2047">
        <v>0.98531290000000005</v>
      </c>
      <c r="Q2047">
        <v>0.16080800000000001</v>
      </c>
      <c r="R2047">
        <v>5.7441409999999998E-2</v>
      </c>
      <c r="S2047">
        <v>3.06231699999999</v>
      </c>
      <c r="T2047">
        <v>-0.16561719999999999</v>
      </c>
      <c r="U2047">
        <v>0.17767330000000001</v>
      </c>
      <c r="V2047">
        <v>-5.8531960000000001E-2</v>
      </c>
      <c r="W2047">
        <v>0.17306939999999901</v>
      </c>
      <c r="X2047">
        <v>0.98316879999999995</v>
      </c>
      <c r="Y2047">
        <v>-5.8208509999999998E-2</v>
      </c>
      <c r="Z2047">
        <v>1.59167799999999E-3</v>
      </c>
      <c r="AA2047">
        <v>0.99830319999999995</v>
      </c>
      <c r="AB2047">
        <v>35</v>
      </c>
      <c r="AC2047">
        <v>20.079899999999999</v>
      </c>
      <c r="AD2047">
        <v>-1.1051808791919999</v>
      </c>
      <c r="AE2047">
        <v>1.18449</v>
      </c>
      <c r="AF2047">
        <v>-1.1883845044078001</v>
      </c>
      <c r="AG2047">
        <v>-1.1051808791919999</v>
      </c>
      <c r="AH2047">
        <v>20.019023718973799</v>
      </c>
      <c r="AI2047">
        <v>93.154351967418293</v>
      </c>
      <c r="AJ2047">
        <v>93.397248798711402</v>
      </c>
      <c r="AK2047">
        <v>20.084695495996101</v>
      </c>
    </row>
    <row r="2048" spans="1:37" x14ac:dyDescent="0.2">
      <c r="A2048" t="str">
        <f>"20200111150631623"</f>
        <v>20200111150631623</v>
      </c>
      <c r="B2048" t="str">
        <f>"1578726391619120"</f>
        <v>1578726391619120</v>
      </c>
      <c r="C2048" t="s">
        <v>37</v>
      </c>
      <c r="D2048">
        <v>5.5567739999999999</v>
      </c>
      <c r="E2048">
        <v>0.49470219999999998</v>
      </c>
      <c r="F2048" t="s">
        <v>39</v>
      </c>
      <c r="G2048">
        <v>-338.10340000000002</v>
      </c>
      <c r="H2048" s="1">
        <v>-1.3779950000000001E-6</v>
      </c>
      <c r="I2048">
        <v>21.80378</v>
      </c>
      <c r="J2048">
        <v>-356.67399999999998</v>
      </c>
      <c r="K2048">
        <v>1.1051789999999999</v>
      </c>
      <c r="L2048">
        <v>20.636140000000001</v>
      </c>
      <c r="M2048">
        <v>0.99991839999999999</v>
      </c>
      <c r="N2048">
        <v>0</v>
      </c>
      <c r="O2048">
        <v>1.445937E-3</v>
      </c>
      <c r="P2048">
        <v>0.98551800000000001</v>
      </c>
      <c r="Q2048">
        <v>0.15915860000000001</v>
      </c>
      <c r="R2048">
        <v>5.8509350000000002E-2</v>
      </c>
      <c r="S2048">
        <v>3.0629270000000002</v>
      </c>
      <c r="T2048">
        <v>-0.1789055</v>
      </c>
      <c r="U2048">
        <v>0.18930050000000001</v>
      </c>
      <c r="V2048">
        <v>-5.7799639999999999E-2</v>
      </c>
      <c r="W2048">
        <v>0.17142639999999901</v>
      </c>
      <c r="X2048">
        <v>0.98350000000000004</v>
      </c>
      <c r="Y2048">
        <v>-6.0143080000000002E-2</v>
      </c>
      <c r="Z2048">
        <v>1.6690029999999901E-3</v>
      </c>
      <c r="AA2048">
        <v>0.99818839999999998</v>
      </c>
      <c r="AB2048">
        <v>35</v>
      </c>
      <c r="AC2048">
        <v>18.570599999999999</v>
      </c>
      <c r="AD2048">
        <v>-1.105180377995</v>
      </c>
      <c r="AE2048">
        <v>1.16763999999999</v>
      </c>
      <c r="AF2048">
        <v>-1.13677441354443</v>
      </c>
      <c r="AG2048">
        <v>-1.105180377995</v>
      </c>
      <c r="AH2048">
        <v>18.506980583418802</v>
      </c>
      <c r="AI2048">
        <v>93.411056979905695</v>
      </c>
      <c r="AJ2048">
        <v>93.514924962589603</v>
      </c>
      <c r="AK2048">
        <v>18.574768102192699</v>
      </c>
    </row>
    <row r="2049" spans="1:37" x14ac:dyDescent="0.2">
      <c r="A2049" t="str">
        <f>"20200111150631644"</f>
        <v>20200111150631644</v>
      </c>
      <c r="B2049" t="str">
        <f>"1578726391638640"</f>
        <v>1578726391638640</v>
      </c>
      <c r="C2049" t="s">
        <v>37</v>
      </c>
      <c r="D2049">
        <v>6.0657559999999897</v>
      </c>
      <c r="E2049">
        <v>0.48050979999999999</v>
      </c>
      <c r="F2049" t="s">
        <v>38</v>
      </c>
      <c r="G2049">
        <v>-355.85559999999998</v>
      </c>
      <c r="H2049">
        <v>0.93050469999999896</v>
      </c>
      <c r="I2049">
        <v>20.68422</v>
      </c>
      <c r="J2049">
        <v>-356.34480000000002</v>
      </c>
      <c r="K2049">
        <v>1.105173</v>
      </c>
      <c r="L2049">
        <v>20.638279999999899</v>
      </c>
      <c r="M2049">
        <v>0.99991450000000004</v>
      </c>
      <c r="N2049">
        <v>0</v>
      </c>
      <c r="O2049">
        <v>3.155209E-3</v>
      </c>
      <c r="P2049">
        <v>0.98571620000000004</v>
      </c>
      <c r="Q2049">
        <v>0.15774730000000001</v>
      </c>
      <c r="R2049">
        <v>5.8990349999999997E-2</v>
      </c>
      <c r="S2049">
        <v>3.1413570000000002</v>
      </c>
      <c r="T2049">
        <v>-0.670574</v>
      </c>
      <c r="U2049">
        <v>0.185577399999999</v>
      </c>
      <c r="V2049">
        <v>-5.658908E-2</v>
      </c>
      <c r="W2049">
        <v>0.17002300000000001</v>
      </c>
      <c r="X2049">
        <v>0.98381390000000002</v>
      </c>
      <c r="Y2049">
        <v>-5.4665970000000001E-2</v>
      </c>
      <c r="Z2049">
        <v>5.0993109999999996E-3</v>
      </c>
      <c r="AA2049">
        <v>0.99849169999999998</v>
      </c>
      <c r="AB2049">
        <v>35</v>
      </c>
      <c r="AC2049">
        <v>0.48920000000003899</v>
      </c>
      <c r="AD2049">
        <v>-0.1746683</v>
      </c>
      <c r="AE2049">
        <v>4.5940000000001598E-2</v>
      </c>
      <c r="AF2049">
        <v>-3.9415236615701302E-2</v>
      </c>
      <c r="AG2049">
        <v>-0.1746683</v>
      </c>
      <c r="AH2049">
        <v>0.434442289374107</v>
      </c>
      <c r="AI2049">
        <v>111.821521795707</v>
      </c>
      <c r="AJ2049">
        <v>95.184027717737493</v>
      </c>
      <c r="AK2049">
        <v>0.46989645529518198</v>
      </c>
    </row>
    <row r="2050" spans="1:37" x14ac:dyDescent="0.2">
      <c r="A2050" t="str">
        <f>"20200111150631666"</f>
        <v>20200111150631666</v>
      </c>
      <c r="B2050" t="str">
        <f>"1578726391659136"</f>
        <v>1578726391659136</v>
      </c>
      <c r="C2050" t="s">
        <v>37</v>
      </c>
      <c r="D2050">
        <v>5.5762879999999999</v>
      </c>
      <c r="E2050">
        <v>0.484730099999999</v>
      </c>
      <c r="F2050" t="s">
        <v>38</v>
      </c>
      <c r="G2050">
        <v>-355.52960000000002</v>
      </c>
      <c r="H2050">
        <v>0.95627629999999997</v>
      </c>
      <c r="I2050">
        <v>20.717500000000001</v>
      </c>
      <c r="J2050">
        <v>-355.98950000000002</v>
      </c>
      <c r="K2050">
        <v>1.1051660000000001</v>
      </c>
      <c r="L2050">
        <v>20.641200000000001</v>
      </c>
      <c r="M2050">
        <v>0.99990689999999904</v>
      </c>
      <c r="N2050">
        <v>0</v>
      </c>
      <c r="O2050">
        <v>4.99942099999999E-3</v>
      </c>
      <c r="P2050">
        <v>0.98557929999999905</v>
      </c>
      <c r="Q2050">
        <v>0.15791540000000001</v>
      </c>
      <c r="R2050">
        <v>6.0797619999999997E-2</v>
      </c>
      <c r="S2050">
        <v>3.1163939999999899</v>
      </c>
      <c r="T2050">
        <v>-0.56932119999999997</v>
      </c>
      <c r="U2050">
        <v>0.3034058</v>
      </c>
      <c r="V2050">
        <v>-5.657852E-2</v>
      </c>
      <c r="W2050">
        <v>0.17019020000000001</v>
      </c>
      <c r="X2050">
        <v>0.98378559999999904</v>
      </c>
      <c r="Y2050">
        <v>-9.0520310000000007E-2</v>
      </c>
      <c r="Z2050">
        <v>7.277899E-3</v>
      </c>
      <c r="AA2050">
        <v>0.99586799999999998</v>
      </c>
      <c r="AB2050">
        <v>35</v>
      </c>
      <c r="AC2050">
        <v>0.45990000000000397</v>
      </c>
      <c r="AD2050">
        <v>-0.14888970000000001</v>
      </c>
      <c r="AE2050">
        <v>7.6299999999999799E-2</v>
      </c>
      <c r="AF2050">
        <v>-6.7150153028117804E-2</v>
      </c>
      <c r="AG2050">
        <v>-0.14888970000000001</v>
      </c>
      <c r="AH2050">
        <v>0.41767218837007603</v>
      </c>
      <c r="AI2050">
        <v>109.389795098889</v>
      </c>
      <c r="AJ2050">
        <v>99.133421367612101</v>
      </c>
      <c r="AK2050">
        <v>0.44847223186685498</v>
      </c>
    </row>
    <row r="2051" spans="1:37" x14ac:dyDescent="0.2">
      <c r="A2051" t="str">
        <f>"20200111150631689"</f>
        <v>20200111150631689</v>
      </c>
      <c r="B2051" t="str">
        <f>"1578726391678656"</f>
        <v>1578726391678656</v>
      </c>
      <c r="C2051" t="s">
        <v>37</v>
      </c>
      <c r="D2051">
        <v>4.7209949999999896</v>
      </c>
      <c r="E2051">
        <v>0.50850249999999997</v>
      </c>
      <c r="F2051" t="s">
        <v>38</v>
      </c>
      <c r="G2051">
        <v>-355.20530000000002</v>
      </c>
      <c r="H2051">
        <v>0.98076739999999996</v>
      </c>
      <c r="I2051">
        <v>20.710989999999999</v>
      </c>
      <c r="J2051">
        <v>-355.6293</v>
      </c>
      <c r="K2051">
        <v>1.1051660000000001</v>
      </c>
      <c r="L2051">
        <v>20.644839999999999</v>
      </c>
      <c r="M2051">
        <v>0.9998958</v>
      </c>
      <c r="N2051">
        <v>0</v>
      </c>
      <c r="O2051">
        <v>6.8696199999999999E-3</v>
      </c>
      <c r="P2051">
        <v>0.98531650000000004</v>
      </c>
      <c r="Q2051">
        <v>0.15857109999999999</v>
      </c>
      <c r="R2051">
        <v>6.330094E-2</v>
      </c>
      <c r="S2051">
        <v>3.1057429999999999</v>
      </c>
      <c r="T2051">
        <v>-0.49273359999999899</v>
      </c>
      <c r="U2051">
        <v>0.27706909999999901</v>
      </c>
      <c r="V2051">
        <v>-5.7241849999999997E-2</v>
      </c>
      <c r="W2051">
        <v>0.17084009999999999</v>
      </c>
      <c r="X2051">
        <v>0.98363459999999903</v>
      </c>
      <c r="Y2051">
        <v>-8.1092979999999995E-2</v>
      </c>
      <c r="Z2051">
        <v>5.2993830000000004E-3</v>
      </c>
      <c r="AA2051">
        <v>0.99669249999999998</v>
      </c>
      <c r="AB2051">
        <v>35</v>
      </c>
      <c r="AC2051">
        <v>0.42399999999997801</v>
      </c>
      <c r="AD2051">
        <v>-0.1243986</v>
      </c>
      <c r="AE2051">
        <v>6.6150000000000306E-2</v>
      </c>
      <c r="AF2051">
        <v>-5.8333489548678903E-2</v>
      </c>
      <c r="AG2051">
        <v>-0.1243986</v>
      </c>
      <c r="AH2051">
        <v>0.39154165006894198</v>
      </c>
      <c r="AI2051">
        <v>107.445140962358</v>
      </c>
      <c r="AJ2051">
        <v>98.473832512212397</v>
      </c>
      <c r="AK2051">
        <v>0.41494899858126599</v>
      </c>
    </row>
    <row r="2052" spans="1:37" x14ac:dyDescent="0.2">
      <c r="A2052" t="str">
        <f>"20200111150631713"</f>
        <v>20200111150631713</v>
      </c>
      <c r="B2052" t="str">
        <f>"1578726391708912"</f>
        <v>1578726391708912</v>
      </c>
      <c r="C2052" t="s">
        <v>37</v>
      </c>
      <c r="D2052">
        <v>4.7067309999999898</v>
      </c>
      <c r="E2052">
        <v>0.50523379999999996</v>
      </c>
      <c r="F2052" t="s">
        <v>94</v>
      </c>
      <c r="G2052">
        <v>-279.68</v>
      </c>
      <c r="H2052">
        <v>0.82104140000000003</v>
      </c>
      <c r="I2052">
        <v>23.36178</v>
      </c>
      <c r="J2052">
        <v>-355.27170000000001</v>
      </c>
      <c r="K2052">
        <v>1.105162</v>
      </c>
      <c r="L2052">
        <v>20.649139999999999</v>
      </c>
      <c r="M2052">
        <v>0.99988129999999997</v>
      </c>
      <c r="N2052">
        <v>0</v>
      </c>
      <c r="O2052">
        <v>8.726648E-3</v>
      </c>
      <c r="P2052">
        <v>0.9851683</v>
      </c>
      <c r="Q2052">
        <v>0.1585172</v>
      </c>
      <c r="R2052">
        <v>6.5692899999999999E-2</v>
      </c>
      <c r="S2052">
        <v>3.0395509999999999</v>
      </c>
      <c r="T2052">
        <v>-1.137078E-2</v>
      </c>
      <c r="U2052">
        <v>0.1087341</v>
      </c>
      <c r="V2052">
        <v>-5.7803380000000001E-2</v>
      </c>
      <c r="W2052">
        <v>0.1707832</v>
      </c>
      <c r="X2052">
        <v>0.98361160000000003</v>
      </c>
      <c r="Y2052">
        <v>-2.7026959999999999E-2</v>
      </c>
      <c r="Z2052" s="1">
        <v>1.790042E-5</v>
      </c>
      <c r="AA2052">
        <v>0.99963469999999999</v>
      </c>
      <c r="AB2052">
        <v>35</v>
      </c>
      <c r="AC2052">
        <v>75.591700000000003</v>
      </c>
      <c r="AD2052">
        <v>-0.284120599999999</v>
      </c>
      <c r="AE2052">
        <v>2.7126399999999999</v>
      </c>
      <c r="AF2052">
        <v>-2.0527923854533201</v>
      </c>
      <c r="AG2052">
        <v>-0.284120599999999</v>
      </c>
      <c r="AH2052">
        <v>75.611428517572094</v>
      </c>
      <c r="AI2052">
        <v>90.215216653294803</v>
      </c>
      <c r="AJ2052">
        <v>91.555154523528401</v>
      </c>
      <c r="AK2052">
        <v>75.639822868387398</v>
      </c>
    </row>
    <row r="2053" spans="1:37" x14ac:dyDescent="0.2">
      <c r="A2053" t="str">
        <f>"20200111150631734"</f>
        <v>20200111150631734</v>
      </c>
      <c r="B2053" t="str">
        <f>"1578726391728432"</f>
        <v>1578726391728432</v>
      </c>
      <c r="C2053" t="s">
        <v>37</v>
      </c>
      <c r="D2053">
        <v>8.6310789999999997</v>
      </c>
      <c r="E2053">
        <v>0.43549729999999998</v>
      </c>
      <c r="F2053" t="s">
        <v>95</v>
      </c>
      <c r="G2053">
        <v>-276.49259999999998</v>
      </c>
      <c r="H2053">
        <v>3.280087</v>
      </c>
      <c r="I2053">
        <v>24.42625</v>
      </c>
      <c r="J2053">
        <v>-354.9409</v>
      </c>
      <c r="K2053">
        <v>1.1051679999999999</v>
      </c>
      <c r="L2053">
        <v>20.653749999999999</v>
      </c>
      <c r="M2053">
        <v>0.99986489999999995</v>
      </c>
      <c r="N2053">
        <v>0</v>
      </c>
      <c r="O2053">
        <v>1.044373E-2</v>
      </c>
      <c r="P2053">
        <v>0.98513619999999902</v>
      </c>
      <c r="Q2053">
        <v>0.15803229999999999</v>
      </c>
      <c r="R2053">
        <v>6.7326230000000001E-2</v>
      </c>
      <c r="S2053">
        <v>3.0220639999999999</v>
      </c>
      <c r="T2053">
        <v>8.3432790000000007E-2</v>
      </c>
      <c r="U2053">
        <v>0.14489749999999901</v>
      </c>
      <c r="V2053">
        <v>-5.7742160000000001E-2</v>
      </c>
      <c r="W2053">
        <v>0.17029929999999999</v>
      </c>
      <c r="X2053">
        <v>0.98369910000000005</v>
      </c>
      <c r="Y2053">
        <v>-3.7446050000000002E-2</v>
      </c>
      <c r="Z2053">
        <v>-2.28397799999999E-4</v>
      </c>
      <c r="AA2053">
        <v>0.99929859999999904</v>
      </c>
      <c r="AB2053">
        <v>35</v>
      </c>
      <c r="AC2053">
        <v>78.448300000000003</v>
      </c>
      <c r="AD2053">
        <v>2.174919</v>
      </c>
      <c r="AE2053">
        <v>3.7725</v>
      </c>
      <c r="AF2053">
        <v>-2.9506726027570398</v>
      </c>
      <c r="AG2053">
        <v>2.174919</v>
      </c>
      <c r="AH2053">
        <v>78.423283444833501</v>
      </c>
      <c r="AI2053">
        <v>88.412541552792305</v>
      </c>
      <c r="AJ2053">
        <v>92.1547348024379</v>
      </c>
      <c r="AK2053">
        <v>78.508904767127703</v>
      </c>
    </row>
    <row r="2054" spans="1:37" x14ac:dyDescent="0.2">
      <c r="A2054" t="str">
        <f>"20200111150631756"</f>
        <v>20200111150631756</v>
      </c>
      <c r="B2054" t="str">
        <f>"1578726391748927"</f>
        <v>1578726391748927</v>
      </c>
      <c r="C2054" t="s">
        <v>37</v>
      </c>
      <c r="D2054">
        <v>7.3015350000000003</v>
      </c>
      <c r="E2054">
        <v>0.43955719999999998</v>
      </c>
      <c r="F2054" t="s">
        <v>96</v>
      </c>
      <c r="G2054">
        <v>-280.04239999999999</v>
      </c>
      <c r="H2054">
        <v>14.481619999999999</v>
      </c>
      <c r="I2054">
        <v>39.083529999999897</v>
      </c>
      <c r="J2054">
        <v>-354.5804</v>
      </c>
      <c r="K2054">
        <v>1.1051660000000001</v>
      </c>
      <c r="L2054">
        <v>20.659389999999998</v>
      </c>
      <c r="M2054">
        <v>0.9998437</v>
      </c>
      <c r="N2054">
        <v>0</v>
      </c>
      <c r="O2054">
        <v>1.2316199999999999E-2</v>
      </c>
      <c r="P2054">
        <v>0.98500399999999999</v>
      </c>
      <c r="Q2054">
        <v>0.15784879999999901</v>
      </c>
      <c r="R2054">
        <v>6.9650989999999996E-2</v>
      </c>
      <c r="S2054">
        <v>2.912811</v>
      </c>
      <c r="T2054">
        <v>0.52021170000000005</v>
      </c>
      <c r="U2054">
        <v>0.71673580000000003</v>
      </c>
      <c r="V2054">
        <v>-5.8220620000000001E-2</v>
      </c>
      <c r="W2054">
        <v>0.17011270000000001</v>
      </c>
      <c r="X2054">
        <v>0.983703199999999</v>
      </c>
      <c r="Y2054">
        <v>-0.22380329999999901</v>
      </c>
      <c r="Z2054">
        <v>-1.7392999999999999E-2</v>
      </c>
      <c r="AA2054">
        <v>0.97447909999999904</v>
      </c>
      <c r="AB2054">
        <v>35</v>
      </c>
      <c r="AC2054">
        <v>74.537999999999997</v>
      </c>
      <c r="AD2054">
        <v>13.376454000000001</v>
      </c>
      <c r="AE2054">
        <v>18.424139999999898</v>
      </c>
      <c r="AF2054">
        <v>-16.989011873807002</v>
      </c>
      <c r="AG2054">
        <v>13.376454000000001</v>
      </c>
      <c r="AH2054">
        <v>72.557106161184706</v>
      </c>
      <c r="AI2054">
        <v>79.823629612367597</v>
      </c>
      <c r="AJ2054">
        <v>103.178214253645</v>
      </c>
      <c r="AK2054">
        <v>75.710565316525603</v>
      </c>
    </row>
    <row r="2055" spans="1:37" x14ac:dyDescent="0.2">
      <c r="A2055" t="str">
        <f>"20200111150631780"</f>
        <v>20200111150631780</v>
      </c>
      <c r="B2055" t="str">
        <f>"1578726391768448"</f>
        <v>1578726391768448</v>
      </c>
      <c r="C2055" t="s">
        <v>37</v>
      </c>
      <c r="D2055">
        <v>5.1539359999999999</v>
      </c>
      <c r="E2055">
        <v>0.5037741</v>
      </c>
      <c r="F2055" t="s">
        <v>96</v>
      </c>
      <c r="G2055">
        <v>-280.04239999999999</v>
      </c>
      <c r="H2055">
        <v>15.13992</v>
      </c>
      <c r="I2055">
        <v>38.393470000000001</v>
      </c>
      <c r="J2055">
        <v>-354.21420000000001</v>
      </c>
      <c r="K2055">
        <v>1.1051679999999999</v>
      </c>
      <c r="L2055">
        <v>20.66583</v>
      </c>
      <c r="M2055">
        <v>0.99981830000000005</v>
      </c>
      <c r="N2055">
        <v>0</v>
      </c>
      <c r="O2055">
        <v>1.4217870000000001E-2</v>
      </c>
      <c r="P2055">
        <v>0.98484130000000003</v>
      </c>
      <c r="Q2055">
        <v>0.157938</v>
      </c>
      <c r="R2055">
        <v>7.1719530000000004E-2</v>
      </c>
      <c r="S2055">
        <v>2.9089969999999998</v>
      </c>
      <c r="T2055">
        <v>0.54773470000000002</v>
      </c>
      <c r="U2055">
        <v>0.69210819999999995</v>
      </c>
      <c r="V2055">
        <v>-5.8416269999999999E-2</v>
      </c>
      <c r="W2055">
        <v>0.17020009999999999</v>
      </c>
      <c r="X2055">
        <v>0.98367649999999995</v>
      </c>
      <c r="Y2055">
        <v>-0.214277</v>
      </c>
      <c r="Z2055">
        <v>-1.711182E-2</v>
      </c>
      <c r="AA2055">
        <v>0.97662309999999997</v>
      </c>
      <c r="AB2055">
        <v>35</v>
      </c>
      <c r="AC2055">
        <v>74.171800000000005</v>
      </c>
      <c r="AD2055">
        <v>14.034751999999999</v>
      </c>
      <c r="AE2055">
        <v>17.727640000000001</v>
      </c>
      <c r="AF2055">
        <v>-16.125054254295598</v>
      </c>
      <c r="AG2055">
        <v>14.034751999999999</v>
      </c>
      <c r="AH2055">
        <v>71.978512748400604</v>
      </c>
      <c r="AI2055">
        <v>79.227148629198695</v>
      </c>
      <c r="AJ2055">
        <v>102.62725232167099</v>
      </c>
      <c r="AK2055">
        <v>75.085937004722496</v>
      </c>
    </row>
    <row r="2056" spans="1:37" x14ac:dyDescent="0.2">
      <c r="A2056" t="str">
        <f>"20200111150631800"</f>
        <v>20200111150631800</v>
      </c>
      <c r="B2056" t="str">
        <f>"1578726391798704"</f>
        <v>1578726391798704</v>
      </c>
      <c r="C2056" t="s">
        <v>37</v>
      </c>
      <c r="D2056">
        <v>5.1641659999999998</v>
      </c>
      <c r="E2056">
        <v>0.51182059999999996</v>
      </c>
      <c r="F2056" t="s">
        <v>72</v>
      </c>
      <c r="G2056">
        <v>-274.99380000000002</v>
      </c>
      <c r="H2056">
        <v>10.407550000000001</v>
      </c>
      <c r="I2056">
        <v>25.505379999999999</v>
      </c>
      <c r="J2056">
        <v>-353.89460000000003</v>
      </c>
      <c r="K2056">
        <v>1.1051679999999999</v>
      </c>
      <c r="L2056">
        <v>20.671999999999901</v>
      </c>
      <c r="M2056">
        <v>0.99979340000000005</v>
      </c>
      <c r="N2056">
        <v>0</v>
      </c>
      <c r="O2056">
        <v>1.587767E-2</v>
      </c>
      <c r="P2056">
        <v>0.98470279999999999</v>
      </c>
      <c r="Q2056">
        <v>0.15796729999999901</v>
      </c>
      <c r="R2056">
        <v>7.3530910000000005E-2</v>
      </c>
      <c r="S2056">
        <v>2.97683699999999</v>
      </c>
      <c r="T2056">
        <v>0.3495528</v>
      </c>
      <c r="U2056">
        <v>0.18185419999999999</v>
      </c>
      <c r="V2056">
        <v>-5.8592819999999997E-2</v>
      </c>
      <c r="W2056">
        <v>0.17022789999999999</v>
      </c>
      <c r="X2056">
        <v>0.98366119999999901</v>
      </c>
      <c r="Y2056">
        <v>-4.492024E-2</v>
      </c>
      <c r="Z2056">
        <v>-7.6971579999999997E-4</v>
      </c>
      <c r="AA2056">
        <v>0.9989903</v>
      </c>
      <c r="AB2056">
        <v>35</v>
      </c>
      <c r="AC2056">
        <v>78.900800000000004</v>
      </c>
      <c r="AD2056">
        <v>9.3023819999999997</v>
      </c>
      <c r="AE2056">
        <v>4.83338</v>
      </c>
      <c r="AF2056">
        <v>-3.5310101024220999</v>
      </c>
      <c r="AG2056">
        <v>9.3023819999999997</v>
      </c>
      <c r="AH2056">
        <v>77.888965691687901</v>
      </c>
      <c r="AI2056">
        <v>83.196271353621995</v>
      </c>
      <c r="AJ2056">
        <v>92.595663590056006</v>
      </c>
      <c r="AK2056">
        <v>78.521928909943796</v>
      </c>
    </row>
    <row r="2057" spans="1:37" x14ac:dyDescent="0.2">
      <c r="A2057" t="str">
        <f>"20200111150631824"</f>
        <v>20200111150631824</v>
      </c>
      <c r="B2057" t="str">
        <f>"1578726391818223"</f>
        <v>1578726391818223</v>
      </c>
      <c r="C2057" t="s">
        <v>37</v>
      </c>
      <c r="D2057">
        <v>9.0707629999999995</v>
      </c>
      <c r="E2057">
        <v>0.5106522</v>
      </c>
      <c r="F2057" t="s">
        <v>72</v>
      </c>
      <c r="G2057">
        <v>-274.99380000000002</v>
      </c>
      <c r="H2057">
        <v>10.99569</v>
      </c>
      <c r="I2057">
        <v>23.956910000000001</v>
      </c>
      <c r="J2057">
        <v>-353.53820000000002</v>
      </c>
      <c r="K2057">
        <v>1.105165</v>
      </c>
      <c r="L2057">
        <v>20.679500000000001</v>
      </c>
      <c r="M2057">
        <v>0.99976239999999905</v>
      </c>
      <c r="N2057">
        <v>0</v>
      </c>
      <c r="O2057">
        <v>1.7728799999999999E-2</v>
      </c>
      <c r="P2057">
        <v>0.98466989999999999</v>
      </c>
      <c r="Q2057">
        <v>0.157642</v>
      </c>
      <c r="R2057">
        <v>7.466064E-2</v>
      </c>
      <c r="S2057">
        <v>2.9774780000000001</v>
      </c>
      <c r="T2057">
        <v>0.37323879999999998</v>
      </c>
      <c r="U2057">
        <v>0.1239624</v>
      </c>
      <c r="V2057">
        <v>-5.7895780000000001E-2</v>
      </c>
      <c r="W2057">
        <v>0.169906</v>
      </c>
      <c r="X2057">
        <v>0.98375820000000003</v>
      </c>
      <c r="Y2057">
        <v>-2.382826E-2</v>
      </c>
      <c r="Z2057">
        <v>7.2562869999999999E-4</v>
      </c>
      <c r="AA2057">
        <v>0.99971580000000004</v>
      </c>
      <c r="AB2057">
        <v>35</v>
      </c>
      <c r="AC2057">
        <v>78.544399999999996</v>
      </c>
      <c r="AD2057">
        <v>9.8905250000000002</v>
      </c>
      <c r="AE2057">
        <v>3.2774099999999899</v>
      </c>
      <c r="AF2057">
        <v>-1.85492333165027</v>
      </c>
      <c r="AG2057">
        <v>9.8905250000000002</v>
      </c>
      <c r="AH2057">
        <v>77.365545492592105</v>
      </c>
      <c r="AI2057">
        <v>82.716811193564595</v>
      </c>
      <c r="AJ2057">
        <v>91.373465663351993</v>
      </c>
      <c r="AK2057">
        <v>78.017247161818403</v>
      </c>
    </row>
    <row r="2058" spans="1:37" x14ac:dyDescent="0.2">
      <c r="A2058" t="str">
        <f>"20200111150631845"</f>
        <v>20200111150631845</v>
      </c>
      <c r="B2058" t="str">
        <f>"1578726391838720"</f>
        <v>1578726391838720</v>
      </c>
      <c r="C2058" t="s">
        <v>37</v>
      </c>
      <c r="D2058">
        <v>5.1404719999999999</v>
      </c>
      <c r="E2058">
        <v>0.51328940000000001</v>
      </c>
      <c r="F2058" t="s">
        <v>72</v>
      </c>
      <c r="G2058">
        <v>-274.99380000000002</v>
      </c>
      <c r="H2058">
        <v>11.26984</v>
      </c>
      <c r="I2058">
        <v>24.299139999999898</v>
      </c>
      <c r="J2058">
        <v>-353.18849999999998</v>
      </c>
      <c r="K2058">
        <v>1.1051629999999999</v>
      </c>
      <c r="L2058">
        <v>20.6875</v>
      </c>
      <c r="M2058">
        <v>0.99972839999999996</v>
      </c>
      <c r="N2058">
        <v>0</v>
      </c>
      <c r="O2058">
        <v>1.9545070000000001E-2</v>
      </c>
      <c r="P2058">
        <v>0.98466149999999997</v>
      </c>
      <c r="Q2058">
        <v>0.15724929999999901</v>
      </c>
      <c r="R2058">
        <v>7.5597730000000002E-2</v>
      </c>
      <c r="S2058">
        <v>2.9746700000000001</v>
      </c>
      <c r="T2058">
        <v>0.38496170000000002</v>
      </c>
      <c r="U2058">
        <v>0.13708499999999901</v>
      </c>
      <c r="V2058">
        <v>-5.7040269999999997E-2</v>
      </c>
      <c r="W2058">
        <v>0.1695169</v>
      </c>
      <c r="X2058">
        <v>0.98387519999999995</v>
      </c>
      <c r="Y2058">
        <v>-2.6443120000000001E-2</v>
      </c>
      <c r="Z2058">
        <v>8.1432009999999895E-4</v>
      </c>
      <c r="AA2058">
        <v>0.99965000000000004</v>
      </c>
      <c r="AB2058">
        <v>35</v>
      </c>
      <c r="AC2058">
        <v>78.194699999999898</v>
      </c>
      <c r="AD2058">
        <v>10.164676999999999</v>
      </c>
      <c r="AE2058">
        <v>3.6116399999999902</v>
      </c>
      <c r="AF2058">
        <v>-2.0479732023663102</v>
      </c>
      <c r="AG2058">
        <v>10.164676999999999</v>
      </c>
      <c r="AH2058">
        <v>76.952784327093497</v>
      </c>
      <c r="AI2058">
        <v>82.478006161862297</v>
      </c>
      <c r="AJ2058">
        <v>91.524474142507998</v>
      </c>
      <c r="AK2058">
        <v>77.648218707476502</v>
      </c>
    </row>
    <row r="2059" spans="1:37" x14ac:dyDescent="0.2">
      <c r="A2059" t="str">
        <f>"20200111150631868"</f>
        <v>20200111150631868</v>
      </c>
      <c r="B2059" t="str">
        <f>"1578726391859216"</f>
        <v>1578726391859216</v>
      </c>
      <c r="C2059" t="s">
        <v>37</v>
      </c>
      <c r="D2059">
        <v>5.605137</v>
      </c>
      <c r="E2059">
        <v>0.51732999999999996</v>
      </c>
      <c r="F2059" t="s">
        <v>72</v>
      </c>
      <c r="G2059">
        <v>-274.99380000000002</v>
      </c>
      <c r="H2059">
        <v>12.11054</v>
      </c>
      <c r="I2059">
        <v>23.839549999999999</v>
      </c>
      <c r="J2059">
        <v>-352.83440000000002</v>
      </c>
      <c r="K2059">
        <v>1.1051580000000001</v>
      </c>
      <c r="L2059">
        <v>20.69623</v>
      </c>
      <c r="M2059">
        <v>0.99969079999999999</v>
      </c>
      <c r="N2059">
        <v>0</v>
      </c>
      <c r="O2059">
        <v>2.1384219999999999E-2</v>
      </c>
      <c r="P2059">
        <v>0.98465000000000003</v>
      </c>
      <c r="Q2059">
        <v>0.15682689999999999</v>
      </c>
      <c r="R2059">
        <v>7.6613630000000002E-2</v>
      </c>
      <c r="S2059">
        <v>2.9707340000000002</v>
      </c>
      <c r="T2059">
        <v>0.41811120000000002</v>
      </c>
      <c r="U2059">
        <v>0.119751</v>
      </c>
      <c r="V2059">
        <v>-5.624022E-2</v>
      </c>
      <c r="W2059">
        <v>0.1690991</v>
      </c>
      <c r="X2059">
        <v>0.98399319999999901</v>
      </c>
      <c r="Y2059">
        <v>-1.8923929999999999E-2</v>
      </c>
      <c r="Z2059">
        <v>1.668831E-3</v>
      </c>
      <c r="AA2059">
        <v>0.99981949999999997</v>
      </c>
      <c r="AB2059">
        <v>35</v>
      </c>
      <c r="AC2059">
        <v>77.840599999999995</v>
      </c>
      <c r="AD2059">
        <v>11.005382000000001</v>
      </c>
      <c r="AE2059">
        <v>3.1433199999999899</v>
      </c>
      <c r="AF2059">
        <v>-1.44898941047815</v>
      </c>
      <c r="AG2059">
        <v>11.005382000000001</v>
      </c>
      <c r="AH2059">
        <v>76.366001462866507</v>
      </c>
      <c r="AI2059">
        <v>81.800814016160999</v>
      </c>
      <c r="AJ2059">
        <v>91.087015362667898</v>
      </c>
      <c r="AK2059">
        <v>77.168543997564996</v>
      </c>
    </row>
    <row r="2060" spans="1:37" x14ac:dyDescent="0.2">
      <c r="A2060" t="str">
        <f>"20200111150631891"</f>
        <v>20200111150631891</v>
      </c>
      <c r="B2060" t="str">
        <f>"1578726391888496"</f>
        <v>1578726391888496</v>
      </c>
      <c r="C2060" t="s">
        <v>37</v>
      </c>
      <c r="D2060">
        <v>5.1436469999999996</v>
      </c>
      <c r="E2060">
        <v>0.51532339999999999</v>
      </c>
      <c r="F2060" t="s">
        <v>90</v>
      </c>
      <c r="G2060">
        <v>-241.07</v>
      </c>
      <c r="H2060">
        <v>18.540050000000001</v>
      </c>
      <c r="I2060">
        <v>24.154150000000001</v>
      </c>
      <c r="J2060">
        <v>-352.48599999999999</v>
      </c>
      <c r="K2060">
        <v>1.1051580000000001</v>
      </c>
      <c r="L2060">
        <v>20.705469999999998</v>
      </c>
      <c r="M2060">
        <v>0.999650499999999</v>
      </c>
      <c r="N2060">
        <v>0</v>
      </c>
      <c r="O2060">
        <v>2.3194159999999998E-2</v>
      </c>
      <c r="P2060">
        <v>0.98460749999999997</v>
      </c>
      <c r="Q2060">
        <v>0.15655759999999999</v>
      </c>
      <c r="R2060">
        <v>7.7705739999999995E-2</v>
      </c>
      <c r="S2060">
        <v>2.96600299999999</v>
      </c>
      <c r="T2060">
        <v>0.46268710000000002</v>
      </c>
      <c r="U2060">
        <v>9.1766360000000005E-2</v>
      </c>
      <c r="V2060">
        <v>-5.5545999999999998E-2</v>
      </c>
      <c r="W2060">
        <v>0.16883310000000001</v>
      </c>
      <c r="X2060">
        <v>0.98407829999999996</v>
      </c>
      <c r="Y2060">
        <v>-7.9159050000000009E-3</v>
      </c>
      <c r="Z2060">
        <v>2.9817749999999999E-3</v>
      </c>
      <c r="AA2060">
        <v>0.99996419999999997</v>
      </c>
      <c r="AB2060">
        <v>35</v>
      </c>
      <c r="AC2060">
        <v>111.416</v>
      </c>
      <c r="AD2060">
        <v>17.434892000000001</v>
      </c>
      <c r="AE2060">
        <v>3.4486799999999902</v>
      </c>
      <c r="AF2060">
        <v>-0.84272714010927396</v>
      </c>
      <c r="AG2060">
        <v>17.434892000000001</v>
      </c>
      <c r="AH2060">
        <v>108.804230741246</v>
      </c>
      <c r="AI2060">
        <v>80.896531914873293</v>
      </c>
      <c r="AJ2060">
        <v>90.443767145579898</v>
      </c>
      <c r="AK2060">
        <v>110.195491174905</v>
      </c>
    </row>
    <row r="2061" spans="1:37" x14ac:dyDescent="0.2">
      <c r="A2061" t="str">
        <f>"20200111150631913"</f>
        <v>20200111150631913</v>
      </c>
      <c r="B2061" t="str">
        <f>"1578726391908991"</f>
        <v>1578726391908991</v>
      </c>
      <c r="C2061" t="s">
        <v>37</v>
      </c>
      <c r="D2061">
        <v>5.1672630000000002</v>
      </c>
      <c r="E2061">
        <v>0.51388319999999998</v>
      </c>
      <c r="F2061" t="s">
        <v>90</v>
      </c>
      <c r="G2061">
        <v>-241.07</v>
      </c>
      <c r="H2061">
        <v>17.66178</v>
      </c>
      <c r="I2061">
        <v>24.853670000000001</v>
      </c>
      <c r="J2061">
        <v>-352.1379</v>
      </c>
      <c r="K2061">
        <v>1.105156</v>
      </c>
      <c r="L2061">
        <v>20.715329999999899</v>
      </c>
      <c r="M2061">
        <v>0.99960680000000002</v>
      </c>
      <c r="N2061">
        <v>0</v>
      </c>
      <c r="O2061">
        <v>2.500256E-2</v>
      </c>
      <c r="P2061">
        <v>0.98451259999999996</v>
      </c>
      <c r="Q2061">
        <v>0.15637789999999999</v>
      </c>
      <c r="R2061">
        <v>7.9252649999999994E-2</v>
      </c>
      <c r="S2061">
        <v>2.9680179999999998</v>
      </c>
      <c r="T2061">
        <v>0.44105280000000002</v>
      </c>
      <c r="U2061">
        <v>0.1105042</v>
      </c>
      <c r="V2061">
        <v>-5.5309810000000001E-2</v>
      </c>
      <c r="W2061">
        <v>0.168654</v>
      </c>
      <c r="X2061">
        <v>0.98412230000000001</v>
      </c>
      <c r="Y2061">
        <v>-1.2345709999999999E-2</v>
      </c>
      <c r="Z2061">
        <v>2.7814799999999998E-3</v>
      </c>
      <c r="AA2061">
        <v>0.99991989999999997</v>
      </c>
      <c r="AB2061">
        <v>35</v>
      </c>
      <c r="AC2061">
        <v>111.06789999999999</v>
      </c>
      <c r="AD2061">
        <v>16.556623999999999</v>
      </c>
      <c r="AE2061">
        <v>4.1383400000000004</v>
      </c>
      <c r="AF2061">
        <v>-1.33032026380169</v>
      </c>
      <c r="AG2061">
        <v>16.556623999999999</v>
      </c>
      <c r="AH2061">
        <v>108.724027483714</v>
      </c>
      <c r="AI2061">
        <v>81.342089306257904</v>
      </c>
      <c r="AJ2061">
        <v>90.7010219802481</v>
      </c>
      <c r="AK2061">
        <v>109.985479507802</v>
      </c>
    </row>
    <row r="2062" spans="1:37" x14ac:dyDescent="0.2">
      <c r="A2062" t="str">
        <f>"20200111150631936"</f>
        <v>20200111150631936</v>
      </c>
      <c r="B2062" t="str">
        <f>"1578726391928512"</f>
        <v>1578726391928512</v>
      </c>
      <c r="C2062" t="s">
        <v>37</v>
      </c>
      <c r="D2062">
        <v>9.0007629999999992</v>
      </c>
      <c r="E2062">
        <v>0.51388319999999998</v>
      </c>
      <c r="F2062" t="s">
        <v>90</v>
      </c>
      <c r="G2062">
        <v>-241.07</v>
      </c>
      <c r="H2062">
        <v>17.81521</v>
      </c>
      <c r="I2062">
        <v>25.462389999999999</v>
      </c>
      <c r="J2062">
        <v>-351.78620000000001</v>
      </c>
      <c r="K2062">
        <v>1.1051549999999899</v>
      </c>
      <c r="L2062">
        <v>20.725950000000001</v>
      </c>
      <c r="M2062">
        <v>0.99955959999999999</v>
      </c>
      <c r="N2062">
        <v>0</v>
      </c>
      <c r="O2062">
        <v>2.682973E-2</v>
      </c>
      <c r="P2062">
        <v>0.98442609999999997</v>
      </c>
      <c r="Q2062">
        <v>0.15623919999999999</v>
      </c>
      <c r="R2062">
        <v>8.0591309999999999E-2</v>
      </c>
      <c r="S2062">
        <v>2.9660639999999998</v>
      </c>
      <c r="T2062">
        <v>0.44624150000000001</v>
      </c>
      <c r="U2062">
        <v>0.12676999999999999</v>
      </c>
      <c r="V2062">
        <v>-5.4847010000000002E-2</v>
      </c>
      <c r="W2062">
        <v>0.16851669999999999</v>
      </c>
      <c r="X2062">
        <v>0.98417169999999898</v>
      </c>
      <c r="Y2062">
        <v>-1.5999969999999999E-2</v>
      </c>
      <c r="Z2062">
        <v>2.8151879999999902E-3</v>
      </c>
      <c r="AA2062">
        <v>0.99986799999999998</v>
      </c>
      <c r="AB2062">
        <v>35</v>
      </c>
      <c r="AC2062">
        <v>110.7162</v>
      </c>
      <c r="AD2062">
        <v>16.710055000000001</v>
      </c>
      <c r="AE2062">
        <v>4.7364399999999902</v>
      </c>
      <c r="AF2062">
        <v>-1.7247929522121599</v>
      </c>
      <c r="AG2062">
        <v>16.710055000000001</v>
      </c>
      <c r="AH2062">
        <v>108.340062405015</v>
      </c>
      <c r="AI2062">
        <v>81.233052089687504</v>
      </c>
      <c r="AJ2062">
        <v>90.912081890835495</v>
      </c>
      <c r="AK2062">
        <v>109.634711523101</v>
      </c>
    </row>
    <row r="2063" spans="1:37" x14ac:dyDescent="0.2">
      <c r="A2063" t="str">
        <f>"20200111150631958"</f>
        <v>20200111150631958</v>
      </c>
      <c r="B2063" t="str">
        <f>"1578726391949008"</f>
        <v>1578726391949008</v>
      </c>
      <c r="C2063" t="s">
        <v>37</v>
      </c>
      <c r="D2063">
        <v>4.189165</v>
      </c>
      <c r="E2063">
        <v>0.51532849999999997</v>
      </c>
      <c r="F2063" t="s">
        <v>90</v>
      </c>
      <c r="G2063">
        <v>-241.07</v>
      </c>
      <c r="H2063">
        <v>17.745239999999999</v>
      </c>
      <c r="I2063">
        <v>25.610679999999999</v>
      </c>
      <c r="J2063">
        <v>-351.42849999999999</v>
      </c>
      <c r="K2063">
        <v>1.105151</v>
      </c>
      <c r="L2063">
        <v>20.73743</v>
      </c>
      <c r="M2063">
        <v>0.9995079</v>
      </c>
      <c r="N2063">
        <v>0</v>
      </c>
      <c r="O2063">
        <v>2.8688479999999999E-2</v>
      </c>
      <c r="P2063">
        <v>0.98438969999999903</v>
      </c>
      <c r="Q2063">
        <v>0.15595110000000001</v>
      </c>
      <c r="R2063">
        <v>8.1585030000000003E-2</v>
      </c>
      <c r="S2063">
        <v>2.9660340000000001</v>
      </c>
      <c r="T2063">
        <v>0.4457798</v>
      </c>
      <c r="U2063">
        <v>0.13085939999999999</v>
      </c>
      <c r="V2063">
        <v>-5.4005399999999898E-2</v>
      </c>
      <c r="W2063">
        <v>0.16823289999999999</v>
      </c>
      <c r="X2063">
        <v>0.9842668</v>
      </c>
      <c r="Y2063">
        <v>-1.554266E-2</v>
      </c>
      <c r="Z2063">
        <v>3.1239200000000001E-3</v>
      </c>
      <c r="AA2063">
        <v>0.99987440000000005</v>
      </c>
      <c r="AB2063">
        <v>35</v>
      </c>
      <c r="AC2063">
        <v>110.35850000000001</v>
      </c>
      <c r="AD2063">
        <v>16.640089</v>
      </c>
      <c r="AE2063">
        <v>4.8732499999999899</v>
      </c>
      <c r="AF2063">
        <v>-1.6671423186060099</v>
      </c>
      <c r="AG2063">
        <v>16.640089</v>
      </c>
      <c r="AH2063">
        <v>108.002208255393</v>
      </c>
      <c r="AI2063">
        <v>81.242238579534899</v>
      </c>
      <c r="AJ2063">
        <v>90.884358149798203</v>
      </c>
      <c r="AK2063">
        <v>109.289290021849</v>
      </c>
    </row>
    <row r="2064" spans="1:37" x14ac:dyDescent="0.2">
      <c r="A2064" t="str">
        <f>"20200111150631981"</f>
        <v>20200111150631981</v>
      </c>
      <c r="B2064" t="str">
        <f>"1578726391978288"</f>
        <v>1578726391978288</v>
      </c>
      <c r="C2064" t="s">
        <v>37</v>
      </c>
      <c r="D2064">
        <v>5.1406609999999997</v>
      </c>
      <c r="E2064">
        <v>0.51339089999999998</v>
      </c>
      <c r="F2064" t="s">
        <v>90</v>
      </c>
      <c r="G2064">
        <v>-241.07</v>
      </c>
      <c r="H2064">
        <v>18.022559999999999</v>
      </c>
      <c r="I2064">
        <v>25.298500000000001</v>
      </c>
      <c r="J2064">
        <v>-351.07659999999998</v>
      </c>
      <c r="K2064">
        <v>1.1051489999999999</v>
      </c>
      <c r="L2064">
        <v>20.749359999999999</v>
      </c>
      <c r="M2064">
        <v>0.9994537</v>
      </c>
      <c r="N2064">
        <v>0</v>
      </c>
      <c r="O2064">
        <v>3.051684E-2</v>
      </c>
      <c r="P2064">
        <v>0.98435039999999996</v>
      </c>
      <c r="Q2064">
        <v>0.15581600000000001</v>
      </c>
      <c r="R2064">
        <v>8.2314540000000005E-2</v>
      </c>
      <c r="S2064">
        <v>2.9653930000000002</v>
      </c>
      <c r="T2064">
        <v>0.45457969999999998</v>
      </c>
      <c r="U2064">
        <v>0.1225586</v>
      </c>
      <c r="V2064">
        <v>-5.2930369999999997E-2</v>
      </c>
      <c r="W2064">
        <v>0.16810259999999999</v>
      </c>
      <c r="X2064">
        <v>0.98434750000000004</v>
      </c>
      <c r="Y2064">
        <v>-1.100924E-2</v>
      </c>
      <c r="Z2064">
        <v>3.8094859999999999E-3</v>
      </c>
      <c r="AA2064">
        <v>0.99993209999999999</v>
      </c>
      <c r="AB2064">
        <v>35</v>
      </c>
      <c r="AC2064">
        <v>110.00660000000001</v>
      </c>
      <c r="AD2064">
        <v>16.917410999999898</v>
      </c>
      <c r="AE2064">
        <v>4.5491400000000004</v>
      </c>
      <c r="AF2064">
        <v>-1.16225639682237</v>
      </c>
      <c r="AG2064">
        <v>16.917410999999898</v>
      </c>
      <c r="AH2064">
        <v>107.55486775975299</v>
      </c>
      <c r="AI2064">
        <v>81.061641002189106</v>
      </c>
      <c r="AJ2064">
        <v>90.619123948051097</v>
      </c>
      <c r="AK2064">
        <v>108.883420288366</v>
      </c>
    </row>
    <row r="2065" spans="1:37" x14ac:dyDescent="0.2">
      <c r="A2065" t="str">
        <f>"20200111150632001"</f>
        <v>20200111150632001</v>
      </c>
      <c r="B2065" t="str">
        <f>"1578726391998784"</f>
        <v>1578726391998784</v>
      </c>
      <c r="C2065" t="s">
        <v>37</v>
      </c>
      <c r="D2065">
        <v>5.1599919999999999</v>
      </c>
      <c r="E2065">
        <v>0.51411470000000004</v>
      </c>
      <c r="F2065" t="s">
        <v>90</v>
      </c>
      <c r="G2065">
        <v>-241.07</v>
      </c>
      <c r="H2065">
        <v>18.604310000000002</v>
      </c>
      <c r="I2065">
        <v>25.969850000000001</v>
      </c>
      <c r="J2065">
        <v>-350.75259999999997</v>
      </c>
      <c r="K2065">
        <v>1.105148</v>
      </c>
      <c r="L2065">
        <v>20.760929999999998</v>
      </c>
      <c r="M2065">
        <v>0.99940099999999998</v>
      </c>
      <c r="N2065">
        <v>0</v>
      </c>
      <c r="O2065">
        <v>3.2200369999999999E-2</v>
      </c>
      <c r="P2065">
        <v>0.98438780000000004</v>
      </c>
      <c r="Q2065">
        <v>0.1554005</v>
      </c>
      <c r="R2065">
        <v>8.2653519999999994E-2</v>
      </c>
      <c r="S2065">
        <v>2.9613339999999999</v>
      </c>
      <c r="T2065">
        <v>0.47107019999999999</v>
      </c>
      <c r="U2065">
        <v>0.140533399999999</v>
      </c>
      <c r="V2065">
        <v>-5.1604230000000001E-2</v>
      </c>
      <c r="W2065">
        <v>0.1676937</v>
      </c>
      <c r="X2065">
        <v>0.98448760000000002</v>
      </c>
      <c r="Y2065">
        <v>-1.542177E-2</v>
      </c>
      <c r="Z2065">
        <v>3.8679370000000001E-3</v>
      </c>
      <c r="AA2065">
        <v>0.99987359999999903</v>
      </c>
      <c r="AB2065">
        <v>35</v>
      </c>
      <c r="AC2065">
        <v>109.682599999999</v>
      </c>
      <c r="AD2065">
        <v>17.499161999999998</v>
      </c>
      <c r="AE2065">
        <v>5.20892</v>
      </c>
      <c r="AF2065">
        <v>-1.63264990056493</v>
      </c>
      <c r="AG2065">
        <v>17.499161999999998</v>
      </c>
      <c r="AH2065">
        <v>107.074105893923</v>
      </c>
      <c r="AI2065">
        <v>80.719245931242099</v>
      </c>
      <c r="AJ2065">
        <v>90.873569752413999</v>
      </c>
      <c r="AK2065">
        <v>108.506913924335</v>
      </c>
    </row>
    <row r="2066" spans="1:37" x14ac:dyDescent="0.2">
      <c r="A2066" t="str">
        <f>"20200111150632024"</f>
        <v>20200111150632024</v>
      </c>
      <c r="B2066" t="str">
        <f>"1578726392018304"</f>
        <v>1578726392018304</v>
      </c>
      <c r="C2066" t="s">
        <v>37</v>
      </c>
      <c r="D2066">
        <v>5.1490609999999997</v>
      </c>
      <c r="E2066">
        <v>0.51513560000000003</v>
      </c>
      <c r="F2066" t="s">
        <v>90</v>
      </c>
      <c r="G2066">
        <v>-241.07</v>
      </c>
      <c r="H2066">
        <v>19.019449999999999</v>
      </c>
      <c r="I2066">
        <v>25.804790000000001</v>
      </c>
      <c r="J2066">
        <v>-350.40120000000002</v>
      </c>
      <c r="K2066">
        <v>1.105146</v>
      </c>
      <c r="L2066">
        <v>20.774049999999999</v>
      </c>
      <c r="M2066">
        <v>0.99934049999999996</v>
      </c>
      <c r="N2066">
        <v>0</v>
      </c>
      <c r="O2066">
        <v>3.4024430000000001E-2</v>
      </c>
      <c r="P2066">
        <v>0.984384499999999</v>
      </c>
      <c r="Q2066">
        <v>0.15493760000000001</v>
      </c>
      <c r="R2066">
        <v>8.3556770000000002E-2</v>
      </c>
      <c r="S2066">
        <v>2.959778</v>
      </c>
      <c r="T2066">
        <v>0.48341629999999902</v>
      </c>
      <c r="U2066">
        <v>0.13610839999999999</v>
      </c>
      <c r="V2066">
        <v>-5.0704069999999997E-2</v>
      </c>
      <c r="W2066">
        <v>0.16723540000000001</v>
      </c>
      <c r="X2066">
        <v>0.9846123</v>
      </c>
      <c r="Y2066">
        <v>-1.2207890000000001E-2</v>
      </c>
      <c r="Z2066">
        <v>4.5264220000000004E-3</v>
      </c>
      <c r="AA2066">
        <v>0.9999152</v>
      </c>
      <c r="AB2066">
        <v>35</v>
      </c>
      <c r="AC2066">
        <v>109.3312</v>
      </c>
      <c r="AD2066">
        <v>17.914303999999898</v>
      </c>
      <c r="AE2066">
        <v>5.0307399999999998</v>
      </c>
      <c r="AF2066">
        <v>-1.27347760134</v>
      </c>
      <c r="AG2066">
        <v>17.914303999999898</v>
      </c>
      <c r="AH2066">
        <v>106.583561359846</v>
      </c>
      <c r="AI2066">
        <v>80.459711338775406</v>
      </c>
      <c r="AJ2066">
        <v>90.684546651535101</v>
      </c>
      <c r="AK2066">
        <v>108.086074890125</v>
      </c>
    </row>
    <row r="2067" spans="1:37" x14ac:dyDescent="0.2">
      <c r="A2067" t="str">
        <f>"20200111150632047"</f>
        <v>20200111150632047</v>
      </c>
      <c r="B2067" t="str">
        <f>"1578726392038802"</f>
        <v>1578726392038802</v>
      </c>
      <c r="C2067" t="s">
        <v>37</v>
      </c>
      <c r="D2067">
        <v>5.5841440000000002</v>
      </c>
      <c r="E2067">
        <v>0.51565459999999996</v>
      </c>
      <c r="F2067" t="s">
        <v>90</v>
      </c>
      <c r="G2067">
        <v>-241.07</v>
      </c>
      <c r="H2067">
        <v>18.64687</v>
      </c>
      <c r="I2067">
        <v>25.593409999999999</v>
      </c>
      <c r="J2067">
        <v>-350.04469999999998</v>
      </c>
      <c r="K2067">
        <v>1.105143</v>
      </c>
      <c r="L2067">
        <v>20.788019999999999</v>
      </c>
      <c r="M2067">
        <v>0.99927589999999999</v>
      </c>
      <c r="N2067">
        <v>0</v>
      </c>
      <c r="O2067">
        <v>3.5870760000000002E-2</v>
      </c>
      <c r="P2067">
        <v>0.98425659999999904</v>
      </c>
      <c r="Q2067">
        <v>0.15488879999999999</v>
      </c>
      <c r="R2067">
        <v>8.5136039999999996E-2</v>
      </c>
      <c r="S2067">
        <v>2.9617309999999999</v>
      </c>
      <c r="T2067">
        <v>0.47519679999999997</v>
      </c>
      <c r="U2067">
        <v>0.13055419999999901</v>
      </c>
      <c r="V2067">
        <v>-5.0462229999999997E-2</v>
      </c>
      <c r="W2067">
        <v>0.16718740000000001</v>
      </c>
      <c r="X2067">
        <v>0.98463289999999903</v>
      </c>
      <c r="Y2067">
        <v>-8.5193049999999996E-3</v>
      </c>
      <c r="Z2067">
        <v>5.03565099999999E-3</v>
      </c>
      <c r="AA2067">
        <v>0.99995100000000003</v>
      </c>
      <c r="AB2067">
        <v>35</v>
      </c>
      <c r="AC2067">
        <v>108.974699999999</v>
      </c>
      <c r="AD2067">
        <v>17.541726999999899</v>
      </c>
      <c r="AE2067">
        <v>4.8053900000000001</v>
      </c>
      <c r="AF2067">
        <v>-0.87046564119859404</v>
      </c>
      <c r="AG2067">
        <v>17.541726999999899</v>
      </c>
      <c r="AH2067">
        <v>106.327188509968</v>
      </c>
      <c r="AI2067">
        <v>80.632108346263294</v>
      </c>
      <c r="AJ2067">
        <v>90.469051180456105</v>
      </c>
      <c r="AK2067">
        <v>107.767995773371</v>
      </c>
    </row>
    <row r="2068" spans="1:37" x14ac:dyDescent="0.2">
      <c r="A2068" t="str">
        <f>"20200111150632069"</f>
        <v>20200111150632069</v>
      </c>
      <c r="B2068" t="str">
        <f>"1578726392058320"</f>
        <v>1578726392058320</v>
      </c>
      <c r="C2068" t="s">
        <v>37</v>
      </c>
      <c r="D2068">
        <v>4.7163209999999998</v>
      </c>
      <c r="E2068">
        <v>0.51732590000000001</v>
      </c>
      <c r="F2068" t="s">
        <v>90</v>
      </c>
      <c r="G2068">
        <v>-241.07</v>
      </c>
      <c r="H2068">
        <v>18.997969999999999</v>
      </c>
      <c r="I2068">
        <v>25.626829999999899</v>
      </c>
      <c r="J2068">
        <v>-349.68950000000001</v>
      </c>
      <c r="K2068">
        <v>1.105132</v>
      </c>
      <c r="L2068">
        <v>20.802579999999999</v>
      </c>
      <c r="M2068">
        <v>0.999208599999999</v>
      </c>
      <c r="N2068">
        <v>0</v>
      </c>
      <c r="O2068">
        <v>3.7702050000000001E-2</v>
      </c>
      <c r="P2068">
        <v>0.98406009999999999</v>
      </c>
      <c r="Q2068">
        <v>0.155143899999999</v>
      </c>
      <c r="R2068">
        <v>8.6926420000000004E-2</v>
      </c>
      <c r="S2068">
        <v>2.9601439999999899</v>
      </c>
      <c r="T2068">
        <v>0.4860331</v>
      </c>
      <c r="U2068">
        <v>0.13143920000000001</v>
      </c>
      <c r="V2068">
        <v>-5.0449210000000001E-2</v>
      </c>
      <c r="W2068">
        <v>0.1674417</v>
      </c>
      <c r="X2068">
        <v>0.98459039999999998</v>
      </c>
      <c r="Y2068">
        <v>-7.0688209999999899E-3</v>
      </c>
      <c r="Z2068">
        <v>5.568183E-3</v>
      </c>
      <c r="AA2068">
        <v>0.999959499999999</v>
      </c>
      <c r="AB2068">
        <v>35</v>
      </c>
      <c r="AC2068">
        <v>108.6195</v>
      </c>
      <c r="AD2068">
        <v>17.892838000000001</v>
      </c>
      <c r="AE2068">
        <v>4.8242499999999904</v>
      </c>
      <c r="AF2068">
        <v>-0.70618731915400701</v>
      </c>
      <c r="AG2068">
        <v>17.892838000000001</v>
      </c>
      <c r="AH2068">
        <v>105.857291977594</v>
      </c>
      <c r="AI2068">
        <v>80.406304484274898</v>
      </c>
      <c r="AJ2068">
        <v>90.382221686959397</v>
      </c>
      <c r="AK2068">
        <v>107.361159722935</v>
      </c>
    </row>
    <row r="2069" spans="1:37" x14ac:dyDescent="0.2">
      <c r="A2069" t="str">
        <f>"20200111150632504"</f>
        <v>20200111150632504</v>
      </c>
      <c r="B2069" t="str">
        <f>"1578726392498897"</f>
        <v>1578726392498897</v>
      </c>
      <c r="C2069" t="s">
        <v>37</v>
      </c>
      <c r="D2069">
        <v>5.6804239999999897</v>
      </c>
      <c r="E2069">
        <v>0.81165619999999905</v>
      </c>
      <c r="F2069" t="s">
        <v>90</v>
      </c>
      <c r="G2069">
        <v>-241.07</v>
      </c>
      <c r="H2069">
        <v>18.639500000000002</v>
      </c>
      <c r="I2069">
        <v>25.32555</v>
      </c>
      <c r="J2069">
        <v>-342.93889999999999</v>
      </c>
      <c r="K2069">
        <v>1.1042809999999901</v>
      </c>
      <c r="L2069">
        <v>21.180730000000001</v>
      </c>
      <c r="M2069">
        <v>0.99784949999999994</v>
      </c>
      <c r="N2069">
        <v>0</v>
      </c>
      <c r="O2069">
        <v>6.4313990000000001E-2</v>
      </c>
      <c r="P2069">
        <v>0.98488829999999905</v>
      </c>
      <c r="Q2069">
        <v>0.14842759999999999</v>
      </c>
      <c r="R2069">
        <v>8.9242799999999997E-2</v>
      </c>
      <c r="S2069">
        <v>2.9623110000000001</v>
      </c>
      <c r="T2069">
        <v>0.4782035</v>
      </c>
      <c r="U2069">
        <v>0.12335209999999899</v>
      </c>
      <c r="V2069">
        <v>-2.6052579999999999E-2</v>
      </c>
      <c r="W2069">
        <v>0.1608697</v>
      </c>
      <c r="X2069">
        <v>0.98663179999999995</v>
      </c>
      <c r="Y2069">
        <v>2.1635939999999999E-2</v>
      </c>
      <c r="Z2069">
        <v>1.20374E-2</v>
      </c>
      <c r="AA2069">
        <v>0.99969349999999901</v>
      </c>
      <c r="AB2069">
        <v>35</v>
      </c>
      <c r="AC2069">
        <v>101.8689</v>
      </c>
      <c r="AD2069">
        <v>17.535219000000001</v>
      </c>
      <c r="AE2069">
        <v>4.1448199999999904</v>
      </c>
      <c r="AF2069">
        <v>2.3464700367061</v>
      </c>
      <c r="AG2069">
        <v>17.535219000000001</v>
      </c>
      <c r="AH2069">
        <v>98.996102372734498</v>
      </c>
      <c r="AI2069">
        <v>79.958124794627096</v>
      </c>
      <c r="AJ2069">
        <v>88.642192391850998</v>
      </c>
      <c r="AK2069">
        <v>100.56449727415701</v>
      </c>
    </row>
    <row r="2070" spans="1:37" x14ac:dyDescent="0.2">
      <c r="A2070" t="str">
        <f>"20200111150632528"</f>
        <v>20200111150632528</v>
      </c>
      <c r="B2070" t="str">
        <f>"1578726392518417"</f>
        <v>1578726392518417</v>
      </c>
      <c r="C2070" t="s">
        <v>37</v>
      </c>
      <c r="D2070">
        <v>5.5470350000000002</v>
      </c>
      <c r="E2070">
        <v>0.81025199999999997</v>
      </c>
      <c r="F2070" t="s">
        <v>77</v>
      </c>
      <c r="G2070">
        <v>-203.7824</v>
      </c>
      <c r="H2070">
        <v>82.51455</v>
      </c>
      <c r="I2070">
        <v>-80.975999999999999</v>
      </c>
      <c r="J2070">
        <v>-342.57069999999999</v>
      </c>
      <c r="K2070">
        <v>1.1041920000000001</v>
      </c>
      <c r="L2070">
        <v>21.205289999999898</v>
      </c>
      <c r="M2070">
        <v>0.99779929999999994</v>
      </c>
      <c r="N2070">
        <v>0</v>
      </c>
      <c r="O2070">
        <v>6.5090659999999995E-2</v>
      </c>
      <c r="P2070">
        <v>0.98502979999999996</v>
      </c>
      <c r="Q2070">
        <v>0.14799000000000001</v>
      </c>
      <c r="R2070">
        <v>8.8405440000000002E-2</v>
      </c>
      <c r="S2070">
        <v>2.9814449999999999</v>
      </c>
      <c r="T2070">
        <v>1.7442259999999901</v>
      </c>
      <c r="U2070">
        <v>-2.1887209999999899</v>
      </c>
      <c r="V2070">
        <v>-2.4402940000000001E-2</v>
      </c>
      <c r="W2070">
        <v>0.16044049999999899</v>
      </c>
      <c r="X2070">
        <v>0.98674379999999995</v>
      </c>
      <c r="Y2070">
        <v>0.57458379999999998</v>
      </c>
      <c r="Z2070">
        <v>0.1740024</v>
      </c>
      <c r="AA2070">
        <v>0.79973530000000004</v>
      </c>
      <c r="AB2070">
        <v>35</v>
      </c>
      <c r="AC2070">
        <v>138.78829999999999</v>
      </c>
      <c r="AD2070">
        <v>81.410358000000002</v>
      </c>
      <c r="AE2070">
        <v>-102.18129</v>
      </c>
      <c r="AF2070">
        <v>90.750126221756105</v>
      </c>
      <c r="AG2070">
        <v>81.410358000000002</v>
      </c>
      <c r="AH2070">
        <v>107.79104732862299</v>
      </c>
      <c r="AI2070">
        <v>59.982238077142902</v>
      </c>
      <c r="AJ2070">
        <v>49.905711841010103</v>
      </c>
      <c r="AK2070">
        <v>162.733345332646</v>
      </c>
    </row>
    <row r="2071" spans="1:37" x14ac:dyDescent="0.2">
      <c r="A2071" t="str">
        <f>"20200111150632550"</f>
        <v>20200111150632550</v>
      </c>
      <c r="B2071" t="str">
        <f>"1578726392538912"</f>
        <v>1578726392538912</v>
      </c>
      <c r="C2071" t="s">
        <v>37</v>
      </c>
      <c r="D2071">
        <v>5.5591839999999904</v>
      </c>
      <c r="E2071">
        <v>0.81638569999999999</v>
      </c>
      <c r="F2071" t="s">
        <v>77</v>
      </c>
      <c r="G2071">
        <v>-201.63749999999999</v>
      </c>
      <c r="H2071">
        <v>83.005069999999904</v>
      </c>
      <c r="I2071">
        <v>-81.842699999999994</v>
      </c>
      <c r="J2071">
        <v>-342.22559999999999</v>
      </c>
      <c r="K2071">
        <v>1.104088</v>
      </c>
      <c r="L2071">
        <v>21.228490000000001</v>
      </c>
      <c r="M2071">
        <v>0.99775970000000003</v>
      </c>
      <c r="N2071">
        <v>0</v>
      </c>
      <c r="O2071">
        <v>6.5694649999999993E-2</v>
      </c>
      <c r="P2071">
        <v>0.98520110000000005</v>
      </c>
      <c r="Q2071">
        <v>0.14766889999999999</v>
      </c>
      <c r="R2071">
        <v>8.7023020000000006E-2</v>
      </c>
      <c r="S2071">
        <v>2.9809570000000001</v>
      </c>
      <c r="T2071">
        <v>1.732332</v>
      </c>
      <c r="U2071">
        <v>-2.1796259999999998</v>
      </c>
      <c r="V2071">
        <v>-2.237424E-2</v>
      </c>
      <c r="W2071">
        <v>0.16012799999999999</v>
      </c>
      <c r="X2071">
        <v>0.98684259999999902</v>
      </c>
      <c r="Y2071">
        <v>0.57423950000000001</v>
      </c>
      <c r="Z2071">
        <v>0.17329359999999999</v>
      </c>
      <c r="AA2071">
        <v>0.80013639999999997</v>
      </c>
      <c r="AB2071">
        <v>35</v>
      </c>
      <c r="AC2071">
        <v>140.5881</v>
      </c>
      <c r="AD2071">
        <v>81.9009819999999</v>
      </c>
      <c r="AE2071">
        <v>-103.07119</v>
      </c>
      <c r="AF2071">
        <v>91.817920230706207</v>
      </c>
      <c r="AG2071">
        <v>81.9009819999999</v>
      </c>
      <c r="AH2071">
        <v>109.370873704083</v>
      </c>
      <c r="AI2071">
        <v>60.164575779067</v>
      </c>
      <c r="AJ2071">
        <v>49.9862118900122</v>
      </c>
      <c r="AK2071">
        <v>164.621655145522</v>
      </c>
    </row>
    <row r="2072" spans="1:37" x14ac:dyDescent="0.2">
      <c r="A2072" t="str">
        <f>"20200111150632950"</f>
        <v>20200111150632950</v>
      </c>
      <c r="B2072" t="str">
        <f>"1578726392938606"</f>
        <v>1578726392938606</v>
      </c>
      <c r="C2072" t="s">
        <v>37</v>
      </c>
      <c r="D2072">
        <v>5.2012559999999999</v>
      </c>
      <c r="E2072">
        <v>0.82418069999999899</v>
      </c>
      <c r="F2072" t="s">
        <v>77</v>
      </c>
      <c r="G2072">
        <v>-205.67410000000001</v>
      </c>
      <c r="H2072">
        <v>80.837490000000003</v>
      </c>
      <c r="I2072">
        <v>-80.975440000000006</v>
      </c>
      <c r="J2072">
        <v>-336.01690000000002</v>
      </c>
      <c r="K2072">
        <v>1.100406</v>
      </c>
      <c r="L2072">
        <v>21.59018</v>
      </c>
      <c r="M2072">
        <v>0.99902489999999999</v>
      </c>
      <c r="N2072">
        <v>0</v>
      </c>
      <c r="O2072">
        <v>4.2253270000000002E-2</v>
      </c>
      <c r="P2072">
        <v>0.98848380000000002</v>
      </c>
      <c r="Q2072">
        <v>0.151119899999999</v>
      </c>
      <c r="R2072">
        <v>7.9071880000000008E-3</v>
      </c>
      <c r="S2072">
        <v>2.981201</v>
      </c>
      <c r="T2072">
        <v>1.740745</v>
      </c>
      <c r="U2072">
        <v>-2.2313230000000002</v>
      </c>
      <c r="V2072">
        <v>3.5086159999999998E-2</v>
      </c>
      <c r="W2072">
        <v>0.16349759999999999</v>
      </c>
      <c r="X2072">
        <v>0.98591960000000001</v>
      </c>
      <c r="Y2072">
        <v>0.56854209999999905</v>
      </c>
      <c r="Z2072">
        <v>0.16036410000000001</v>
      </c>
      <c r="AA2072">
        <v>0.80687249999999999</v>
      </c>
      <c r="AB2072">
        <v>35</v>
      </c>
      <c r="AC2072">
        <v>130.34280000000001</v>
      </c>
      <c r="AD2072">
        <v>79.737083999999996</v>
      </c>
      <c r="AE2072">
        <v>-102.56562</v>
      </c>
      <c r="AF2072">
        <v>87.709924179855506</v>
      </c>
      <c r="AG2072">
        <v>79.737083999999996</v>
      </c>
      <c r="AH2072">
        <v>102.25793686378501</v>
      </c>
      <c r="AI2072">
        <v>59.3800351396388</v>
      </c>
      <c r="AJ2072">
        <v>49.379245736191201</v>
      </c>
      <c r="AK2072">
        <v>156.54941397557801</v>
      </c>
    </row>
    <row r="2073" spans="1:37" x14ac:dyDescent="0.2">
      <c r="A2073" t="str">
        <f>"20200111150633040"</f>
        <v>20200111150633040</v>
      </c>
      <c r="B2073" t="str">
        <f>"1578726393028397"</f>
        <v>1578726393028397</v>
      </c>
      <c r="C2073" t="s">
        <v>37</v>
      </c>
      <c r="D2073">
        <v>5.538691</v>
      </c>
      <c r="E2073">
        <v>0.43880219999999998</v>
      </c>
      <c r="F2073" t="s">
        <v>77</v>
      </c>
      <c r="G2073">
        <v>-221.74760000000001</v>
      </c>
      <c r="H2073">
        <v>73.766229999999993</v>
      </c>
      <c r="I2073">
        <v>-81.839619999999996</v>
      </c>
      <c r="J2073">
        <v>-334.61720000000003</v>
      </c>
      <c r="K2073">
        <v>1.0996330000000001</v>
      </c>
      <c r="L2073">
        <v>21.624420000000001</v>
      </c>
      <c r="M2073">
        <v>0.99959959999999903</v>
      </c>
      <c r="N2073">
        <v>0</v>
      </c>
      <c r="O2073">
        <v>2.521292E-2</v>
      </c>
      <c r="P2073">
        <v>0.98761069999999995</v>
      </c>
      <c r="Q2073">
        <v>0.15692159999999999</v>
      </c>
      <c r="R2073">
        <v>9.0598779999999997E-4</v>
      </c>
      <c r="S2073">
        <v>2.784424</v>
      </c>
      <c r="T2073">
        <v>1.770662</v>
      </c>
      <c r="U2073">
        <v>-2.5202939999999998</v>
      </c>
      <c r="V2073">
        <v>2.5581639999999999E-2</v>
      </c>
      <c r="W2073">
        <v>0.16935420000000001</v>
      </c>
      <c r="X2073">
        <v>0.98522319999999997</v>
      </c>
      <c r="Y2073">
        <v>0.62093549999999997</v>
      </c>
      <c r="Z2073">
        <v>0.171405</v>
      </c>
      <c r="AA2073">
        <v>0.76489169999999995</v>
      </c>
      <c r="AB2073">
        <v>35</v>
      </c>
      <c r="AC2073">
        <v>112.86960000000001</v>
      </c>
      <c r="AD2073">
        <v>72.666596999999996</v>
      </c>
      <c r="AE2073">
        <v>-103.46404</v>
      </c>
      <c r="AF2073">
        <v>86.740383193922796</v>
      </c>
      <c r="AG2073">
        <v>72.666596999999996</v>
      </c>
      <c r="AH2073">
        <v>89.962397243199803</v>
      </c>
      <c r="AI2073">
        <v>59.822885626193099</v>
      </c>
      <c r="AJ2073">
        <v>46.044620523743397</v>
      </c>
      <c r="AK2073">
        <v>144.559888329827</v>
      </c>
    </row>
    <row r="2074" spans="1:37" x14ac:dyDescent="0.2">
      <c r="A2074" t="str">
        <f>"20200111150633063"</f>
        <v>20200111150633063</v>
      </c>
      <c r="B2074" t="str">
        <f>"1578726393058654"</f>
        <v>1578726393058654</v>
      </c>
      <c r="C2074" t="s">
        <v>37</v>
      </c>
      <c r="D2074">
        <v>5.4139210000000002</v>
      </c>
      <c r="E2074">
        <v>0.4330196</v>
      </c>
      <c r="F2074" t="s">
        <v>39</v>
      </c>
      <c r="G2074">
        <v>-325.42579999999998</v>
      </c>
      <c r="H2074" s="1">
        <v>-3.0396099999999999E-6</v>
      </c>
      <c r="I2074">
        <v>22.987130000000001</v>
      </c>
      <c r="J2074">
        <v>-334.26729999999998</v>
      </c>
      <c r="K2074">
        <v>1.0994930000000001</v>
      </c>
      <c r="L2074">
        <v>21.628879999999999</v>
      </c>
      <c r="M2074">
        <v>0.99970559999999997</v>
      </c>
      <c r="N2074">
        <v>0</v>
      </c>
      <c r="O2074">
        <v>2.058376E-2</v>
      </c>
      <c r="P2074">
        <v>0.9874058</v>
      </c>
      <c r="Q2074">
        <v>0.15820789999999901</v>
      </c>
      <c r="R2074">
        <v>2.0861209999999901E-4</v>
      </c>
      <c r="S2074">
        <v>3.09603899999999</v>
      </c>
      <c r="T2074">
        <v>-0.37040109999999998</v>
      </c>
      <c r="U2074">
        <v>0.4590149</v>
      </c>
      <c r="V2074">
        <v>2.1773669999999998E-2</v>
      </c>
      <c r="W2074">
        <v>0.17067560000000001</v>
      </c>
      <c r="X2074">
        <v>0.98508669999999998</v>
      </c>
      <c r="Y2074">
        <v>-0.12553</v>
      </c>
      <c r="Z2074">
        <v>5.002317E-3</v>
      </c>
      <c r="AA2074">
        <v>0.99207719999999899</v>
      </c>
      <c r="AB2074">
        <v>35</v>
      </c>
      <c r="AC2074">
        <v>8.8414999999999893</v>
      </c>
      <c r="AD2074">
        <v>-1.09949603961</v>
      </c>
      <c r="AE2074">
        <v>1.35825</v>
      </c>
      <c r="AF2074">
        <v>-1.15845399663534</v>
      </c>
      <c r="AG2074">
        <v>-1.09949603961</v>
      </c>
      <c r="AH2074">
        <v>8.7356095898849997</v>
      </c>
      <c r="AI2074">
        <v>97.112116562659693</v>
      </c>
      <c r="AJ2074">
        <v>97.554079387570198</v>
      </c>
      <c r="AK2074">
        <v>8.8804156496376496</v>
      </c>
    </row>
    <row r="2075" spans="1:37" x14ac:dyDescent="0.2">
      <c r="A2075" t="str">
        <f>"20200111150633085"</f>
        <v>20200111150633085</v>
      </c>
      <c r="B2075" t="str">
        <f>"1578726393079149"</f>
        <v>1578726393079149</v>
      </c>
      <c r="C2075" t="s">
        <v>37</v>
      </c>
      <c r="D2075">
        <v>5.4012169999999999</v>
      </c>
      <c r="E2075">
        <v>0.43124459999999998</v>
      </c>
      <c r="F2075" t="s">
        <v>39</v>
      </c>
      <c r="G2075">
        <v>-321.91149999999999</v>
      </c>
      <c r="H2075" s="1">
        <v>-4.6938540000000001E-6</v>
      </c>
      <c r="I2075">
        <v>23.656210000000002</v>
      </c>
      <c r="J2075">
        <v>-333.92290000000003</v>
      </c>
      <c r="K2075">
        <v>1.0993599999999999</v>
      </c>
      <c r="L2075">
        <v>21.631529999999898</v>
      </c>
      <c r="M2075">
        <v>0.99979089999999904</v>
      </c>
      <c r="N2075">
        <v>0</v>
      </c>
      <c r="O2075">
        <v>1.5906770000000001E-2</v>
      </c>
      <c r="P2075">
        <v>0.98745110000000003</v>
      </c>
      <c r="Q2075">
        <v>0.15791279999999999</v>
      </c>
      <c r="R2075">
        <v>-1.9572000000000001E-3</v>
      </c>
      <c r="S2075">
        <v>3.0820919999999998</v>
      </c>
      <c r="T2075">
        <v>-0.27426329999999999</v>
      </c>
      <c r="U2075">
        <v>0.50570680000000001</v>
      </c>
      <c r="V2075">
        <v>1.937351E-2</v>
      </c>
      <c r="W2075">
        <v>0.17040729999999901</v>
      </c>
      <c r="X2075">
        <v>0.98518320000000004</v>
      </c>
      <c r="Y2075">
        <v>-0.1456962</v>
      </c>
      <c r="Z2075">
        <v>5.0239880000000001E-3</v>
      </c>
      <c r="AA2075">
        <v>0.98931659999999899</v>
      </c>
      <c r="AB2075">
        <v>35</v>
      </c>
      <c r="AC2075">
        <v>12.0114</v>
      </c>
      <c r="AD2075">
        <v>-1.099364693854</v>
      </c>
      <c r="AE2075">
        <v>2.02468</v>
      </c>
      <c r="AF2075">
        <v>-1.8185322179165</v>
      </c>
      <c r="AG2075">
        <v>-1.099364693854</v>
      </c>
      <c r="AH2075">
        <v>11.944790135756801</v>
      </c>
      <c r="AI2075">
        <v>95.1989539782695</v>
      </c>
      <c r="AJ2075">
        <v>98.656511502157699</v>
      </c>
      <c r="AK2075">
        <v>12.1323399863738</v>
      </c>
    </row>
    <row r="2076" spans="1:37" x14ac:dyDescent="0.2">
      <c r="A2076" t="str">
        <f>"20200111150633107"</f>
        <v>20200111150633107</v>
      </c>
      <c r="B2076" t="str">
        <f>"1578726393098670"</f>
        <v>1578726393098670</v>
      </c>
      <c r="C2076" t="s">
        <v>37</v>
      </c>
      <c r="D2076">
        <v>5.3144629999999999</v>
      </c>
      <c r="E2076">
        <v>0.43029309999999998</v>
      </c>
      <c r="F2076" t="s">
        <v>39</v>
      </c>
      <c r="G2076">
        <v>-320.62020000000001</v>
      </c>
      <c r="H2076" s="1">
        <v>-5.224296E-6</v>
      </c>
      <c r="I2076">
        <v>23.851040000000001</v>
      </c>
      <c r="J2076">
        <v>-333.57049999999998</v>
      </c>
      <c r="K2076">
        <v>1.0992189999999999</v>
      </c>
      <c r="L2076">
        <v>21.63251</v>
      </c>
      <c r="M2076">
        <v>0.99985679999999999</v>
      </c>
      <c r="N2076">
        <v>0</v>
      </c>
      <c r="O2076">
        <v>1.0996199999999999E-2</v>
      </c>
      <c r="P2076">
        <v>0.98776090000000005</v>
      </c>
      <c r="Q2076">
        <v>0.15583640000000001</v>
      </c>
      <c r="R2076">
        <v>-6.6000099999999999E-3</v>
      </c>
      <c r="S2076">
        <v>3.0798030000000001</v>
      </c>
      <c r="T2076">
        <v>-0.25452199999999903</v>
      </c>
      <c r="U2076">
        <v>0.51385499999999995</v>
      </c>
      <c r="V2076">
        <v>1.9204860000000001E-2</v>
      </c>
      <c r="W2076">
        <v>0.16833960000000001</v>
      </c>
      <c r="X2076">
        <v>0.98554189999999997</v>
      </c>
      <c r="Y2076">
        <v>-0.15324299999999999</v>
      </c>
      <c r="Z2076">
        <v>5.3773619999999897E-3</v>
      </c>
      <c r="AA2076">
        <v>0.98817389999999905</v>
      </c>
      <c r="AB2076">
        <v>35</v>
      </c>
      <c r="AC2076">
        <v>12.950299999999899</v>
      </c>
      <c r="AD2076">
        <v>-1.099224224296</v>
      </c>
      <c r="AE2076">
        <v>2.2185299999999999</v>
      </c>
      <c r="AF2076">
        <v>-2.0615506848272398</v>
      </c>
      <c r="AG2076">
        <v>-1.099224224296</v>
      </c>
      <c r="AH2076">
        <v>12.883737933256301</v>
      </c>
      <c r="AI2076">
        <v>94.815627669642097</v>
      </c>
      <c r="AJ2076">
        <v>99.0909386809506</v>
      </c>
      <c r="AK2076">
        <v>13.093853071354401</v>
      </c>
    </row>
    <row r="2077" spans="1:37" x14ac:dyDescent="0.2">
      <c r="A2077" t="str">
        <f>"20200111150633130"</f>
        <v>20200111150633130</v>
      </c>
      <c r="B2077" t="str">
        <f>"1578726393128926"</f>
        <v>1578726393128926</v>
      </c>
      <c r="C2077" t="s">
        <v>37</v>
      </c>
      <c r="D2077">
        <v>5.1908849999999997</v>
      </c>
      <c r="E2077">
        <v>0.4293093</v>
      </c>
      <c r="F2077" t="s">
        <v>39</v>
      </c>
      <c r="G2077">
        <v>-320.42899999999997</v>
      </c>
      <c r="H2077" s="1">
        <v>-5.2875099999999996E-6</v>
      </c>
      <c r="I2077">
        <v>23.793420000000001</v>
      </c>
      <c r="J2077">
        <v>-333.2063</v>
      </c>
      <c r="K2077">
        <v>1.0990739999999899</v>
      </c>
      <c r="L2077">
        <v>21.631620000000002</v>
      </c>
      <c r="M2077">
        <v>0.99990040000000002</v>
      </c>
      <c r="N2077">
        <v>0</v>
      </c>
      <c r="O2077">
        <v>5.7736530000000001E-3</v>
      </c>
      <c r="P2077">
        <v>0.987654699999999</v>
      </c>
      <c r="Q2077">
        <v>0.15619839999999999</v>
      </c>
      <c r="R2077">
        <v>-1.18473E-2</v>
      </c>
      <c r="S2077">
        <v>3.081207</v>
      </c>
      <c r="T2077">
        <v>-0.25772699999999998</v>
      </c>
      <c r="U2077">
        <v>0.50665280000000001</v>
      </c>
      <c r="V2077">
        <v>1.935688E-2</v>
      </c>
      <c r="W2077">
        <v>0.1687024</v>
      </c>
      <c r="X2077">
        <v>0.98547700000000005</v>
      </c>
      <c r="Y2077">
        <v>-0.15604319999999999</v>
      </c>
      <c r="Z2077">
        <v>5.9926210000000001E-3</v>
      </c>
      <c r="AA2077">
        <v>0.9877321</v>
      </c>
      <c r="AB2077">
        <v>35</v>
      </c>
      <c r="AC2077">
        <v>12.777299999999901</v>
      </c>
      <c r="AD2077">
        <v>-1.0990792875099999</v>
      </c>
      <c r="AE2077">
        <v>2.1617999999999902</v>
      </c>
      <c r="AF2077">
        <v>-2.0730740949386099</v>
      </c>
      <c r="AG2077">
        <v>-1.0990792875099999</v>
      </c>
      <c r="AH2077">
        <v>12.698228523384</v>
      </c>
      <c r="AI2077">
        <v>94.882516050837197</v>
      </c>
      <c r="AJ2077">
        <v>99.272135593959803</v>
      </c>
      <c r="AK2077">
        <v>12.9131955423676</v>
      </c>
    </row>
    <row r="2078" spans="1:37" x14ac:dyDescent="0.2">
      <c r="A2078" t="str">
        <f>"20200111150633153"</f>
        <v>20200111150633153</v>
      </c>
      <c r="B2078" t="str">
        <f>"1578726393148446"</f>
        <v>1578726393148446</v>
      </c>
      <c r="C2078" t="s">
        <v>37</v>
      </c>
      <c r="D2078">
        <v>5.1388429999999996</v>
      </c>
      <c r="E2078">
        <v>0.4290313</v>
      </c>
      <c r="F2078" t="s">
        <v>39</v>
      </c>
      <c r="G2078">
        <v>-320.07310000000001</v>
      </c>
      <c r="H2078" s="1">
        <v>-5.4161999999999999E-6</v>
      </c>
      <c r="I2078">
        <v>23.748439999999999</v>
      </c>
      <c r="J2078">
        <v>-332.87540000000001</v>
      </c>
      <c r="K2078">
        <v>1.098932</v>
      </c>
      <c r="L2078">
        <v>21.628969999999999</v>
      </c>
      <c r="M2078">
        <v>0.99991669999999999</v>
      </c>
      <c r="N2078">
        <v>0</v>
      </c>
      <c r="O2078">
        <v>8.6956220000000001E-4</v>
      </c>
      <c r="P2078">
        <v>0.98727129999999996</v>
      </c>
      <c r="Q2078">
        <v>0.15818650000000001</v>
      </c>
      <c r="R2078">
        <v>-1.650749E-2</v>
      </c>
      <c r="S2078">
        <v>3.08432</v>
      </c>
      <c r="T2078">
        <v>-0.25811780000000001</v>
      </c>
      <c r="U2078">
        <v>0.4971313</v>
      </c>
      <c r="V2078">
        <v>1.9256019999999999E-2</v>
      </c>
      <c r="W2078">
        <v>0.1706916</v>
      </c>
      <c r="X2078">
        <v>0.98513629999999996</v>
      </c>
      <c r="Y2078">
        <v>-0.1577334</v>
      </c>
      <c r="Z2078">
        <v>6.4743969999999998E-3</v>
      </c>
      <c r="AA2078">
        <v>0.98746049999999996</v>
      </c>
      <c r="AB2078">
        <v>35</v>
      </c>
      <c r="AC2078">
        <v>12.802300000000001</v>
      </c>
      <c r="AD2078">
        <v>-1.0989374162000001</v>
      </c>
      <c r="AE2078">
        <v>2.11946999999999</v>
      </c>
      <c r="AF2078">
        <v>-2.0933230274428198</v>
      </c>
      <c r="AG2078">
        <v>-1.0989374162000001</v>
      </c>
      <c r="AH2078">
        <v>12.712963746489001</v>
      </c>
      <c r="AI2078">
        <v>94.875170316920105</v>
      </c>
      <c r="AJ2078">
        <v>99.350447955424201</v>
      </c>
      <c r="AK2078">
        <v>12.9309362368504</v>
      </c>
    </row>
    <row r="2079" spans="1:37" x14ac:dyDescent="0.2">
      <c r="A2079" t="str">
        <f>"20200111150633174"</f>
        <v>20200111150633174</v>
      </c>
      <c r="B2079" t="str">
        <f>"1578726393168941"</f>
        <v>1578726393168941</v>
      </c>
      <c r="C2079" t="s">
        <v>37</v>
      </c>
      <c r="D2079">
        <v>5.0637249999999998</v>
      </c>
      <c r="E2079">
        <v>0.4287917</v>
      </c>
      <c r="F2079" t="s">
        <v>46</v>
      </c>
      <c r="G2079">
        <v>-318.78230000000002</v>
      </c>
      <c r="H2079">
        <v>-0.05</v>
      </c>
      <c r="I2079">
        <v>23.835909999999998</v>
      </c>
      <c r="J2079">
        <v>-332.53190000000001</v>
      </c>
      <c r="K2079">
        <v>1.0987629999999999</v>
      </c>
      <c r="L2079">
        <v>21.624210000000001</v>
      </c>
      <c r="M2079">
        <v>0.99990709999999905</v>
      </c>
      <c r="N2079">
        <v>0</v>
      </c>
      <c r="O2079">
        <v>-4.4231440000000004E-3</v>
      </c>
      <c r="P2079">
        <v>0.98701059999999996</v>
      </c>
      <c r="Q2079">
        <v>0.15927820000000001</v>
      </c>
      <c r="R2079">
        <v>-2.0997869999999998E-2</v>
      </c>
      <c r="S2079">
        <v>3.0870669999999998</v>
      </c>
      <c r="T2079">
        <v>-0.2516718</v>
      </c>
      <c r="U2079">
        <v>0.483429</v>
      </c>
      <c r="V2079">
        <v>1.8606580000000001E-2</v>
      </c>
      <c r="W2079">
        <v>0.17179420000000001</v>
      </c>
      <c r="X2079">
        <v>0.98495719999999998</v>
      </c>
      <c r="Y2079">
        <v>-0.15855350000000001</v>
      </c>
      <c r="Z2079">
        <v>6.7713000000000001E-3</v>
      </c>
      <c r="AA2079">
        <v>0.98732719999999896</v>
      </c>
      <c r="AB2079">
        <v>35</v>
      </c>
      <c r="AC2079">
        <v>13.7495999999999</v>
      </c>
      <c r="AD2079">
        <v>-1.148763</v>
      </c>
      <c r="AE2079">
        <v>2.2117</v>
      </c>
      <c r="AF2079">
        <v>-2.25714150136392</v>
      </c>
      <c r="AG2079">
        <v>-1.148763</v>
      </c>
      <c r="AH2079">
        <v>13.646824257042599</v>
      </c>
      <c r="AI2079">
        <v>94.747505309777694</v>
      </c>
      <c r="AJ2079">
        <v>99.391517889669402</v>
      </c>
      <c r="AK2079">
        <v>13.8798471349635</v>
      </c>
    </row>
    <row r="2080" spans="1:37" x14ac:dyDescent="0.2">
      <c r="A2080" t="str">
        <f>"20200111150633197"</f>
        <v>20200111150633197</v>
      </c>
      <c r="B2080" t="str">
        <f>"1578726393188462"</f>
        <v>1578726393188462</v>
      </c>
      <c r="C2080" t="s">
        <v>37</v>
      </c>
      <c r="D2080">
        <v>5.0567289999999998</v>
      </c>
      <c r="E2080">
        <v>0.42826750000000002</v>
      </c>
      <c r="F2080" t="s">
        <v>46</v>
      </c>
      <c r="G2080">
        <v>-318.29759999999999</v>
      </c>
      <c r="H2080">
        <v>-0.05</v>
      </c>
      <c r="I2080">
        <v>23.793009999999999</v>
      </c>
      <c r="J2080">
        <v>-332.18720000000002</v>
      </c>
      <c r="K2080">
        <v>1.098576</v>
      </c>
      <c r="L2080">
        <v>21.617370000000001</v>
      </c>
      <c r="M2080">
        <v>0.99986710000000001</v>
      </c>
      <c r="N2080">
        <v>0</v>
      </c>
      <c r="O2080">
        <v>-9.9566189999999999E-3</v>
      </c>
      <c r="P2080">
        <v>0.98701689999999997</v>
      </c>
      <c r="Q2080">
        <v>0.1584217</v>
      </c>
      <c r="R2080">
        <v>-2.646548E-2</v>
      </c>
      <c r="S2080">
        <v>3.0897220000000001</v>
      </c>
      <c r="T2080">
        <v>-0.2493522</v>
      </c>
      <c r="U2080">
        <v>0.47076419999999902</v>
      </c>
      <c r="V2080">
        <v>1.8682109999999998E-2</v>
      </c>
      <c r="W2080">
        <v>0.17094619999999999</v>
      </c>
      <c r="X2080">
        <v>0.98510319999999996</v>
      </c>
      <c r="Y2080">
        <v>-0.1599226</v>
      </c>
      <c r="Z2080">
        <v>7.2037769999999998E-3</v>
      </c>
      <c r="AA2080">
        <v>0.98710330000000002</v>
      </c>
      <c r="AB2080">
        <v>35</v>
      </c>
      <c r="AC2080">
        <v>13.8896</v>
      </c>
      <c r="AD2080">
        <v>-1.148576</v>
      </c>
      <c r="AE2080">
        <v>2.1756399999999898</v>
      </c>
      <c r="AF2080">
        <v>-2.2984960102802101</v>
      </c>
      <c r="AG2080">
        <v>-1.148576</v>
      </c>
      <c r="AH2080">
        <v>13.775305516211199</v>
      </c>
      <c r="AI2080">
        <v>94.701558623355595</v>
      </c>
      <c r="AJ2080">
        <v>99.472891397307706</v>
      </c>
      <c r="AK2080">
        <v>14.0128995144477</v>
      </c>
    </row>
    <row r="2081" spans="1:37" x14ac:dyDescent="0.2">
      <c r="A2081" t="str">
        <f>"20200111150633219"</f>
        <v>20200111150633219</v>
      </c>
      <c r="B2081" t="str">
        <f>"1578726393208957"</f>
        <v>1578726393208957</v>
      </c>
      <c r="C2081" t="s">
        <v>37</v>
      </c>
      <c r="D2081">
        <v>5.0263660000000003</v>
      </c>
      <c r="E2081">
        <v>0.42767509999999997</v>
      </c>
      <c r="F2081" t="s">
        <v>46</v>
      </c>
      <c r="G2081">
        <v>-317.94819999999999</v>
      </c>
      <c r="H2081">
        <v>-0.05</v>
      </c>
      <c r="I2081">
        <v>23.723199999999999</v>
      </c>
      <c r="J2081">
        <v>-331.8297</v>
      </c>
      <c r="K2081">
        <v>1.0983769999999999</v>
      </c>
      <c r="L2081">
        <v>21.608059999999998</v>
      </c>
      <c r="M2081">
        <v>0.99978979999999995</v>
      </c>
      <c r="N2081">
        <v>0</v>
      </c>
      <c r="O2081">
        <v>-1.5913670000000001E-2</v>
      </c>
      <c r="P2081">
        <v>0.98690879999999903</v>
      </c>
      <c r="Q2081">
        <v>0.15809819999999999</v>
      </c>
      <c r="R2081">
        <v>-3.1878120000000003E-2</v>
      </c>
      <c r="S2081">
        <v>3.091736</v>
      </c>
      <c r="T2081">
        <v>-0.249392</v>
      </c>
      <c r="U2081">
        <v>0.45724490000000001</v>
      </c>
      <c r="V2081">
        <v>1.8293460000000001E-2</v>
      </c>
      <c r="W2081">
        <v>0.1706376</v>
      </c>
      <c r="X2081">
        <v>0.98516399999999904</v>
      </c>
      <c r="Y2081">
        <v>-0.16146240000000001</v>
      </c>
      <c r="Z2081">
        <v>7.74167E-3</v>
      </c>
      <c r="AA2081">
        <v>0.98684850000000002</v>
      </c>
      <c r="AB2081">
        <v>34</v>
      </c>
      <c r="AC2081">
        <v>13.881500000000001</v>
      </c>
      <c r="AD2081">
        <v>-1.148377</v>
      </c>
      <c r="AE2081">
        <v>2.11513999999999</v>
      </c>
      <c r="AF2081">
        <v>-2.3202770217487299</v>
      </c>
      <c r="AG2081">
        <v>-1.148377</v>
      </c>
      <c r="AH2081">
        <v>13.7540852938971</v>
      </c>
      <c r="AI2081">
        <v>94.706559743975305</v>
      </c>
      <c r="AJ2081">
        <v>99.575486883587203</v>
      </c>
      <c r="AK2081">
        <v>13.995617794994899</v>
      </c>
    </row>
    <row r="2082" spans="1:37" x14ac:dyDescent="0.2">
      <c r="A2082" t="str">
        <f>"20200111150633241"</f>
        <v>20200111150633241</v>
      </c>
      <c r="B2082" t="str">
        <f>"1578726393238239"</f>
        <v>1578726393238239</v>
      </c>
      <c r="C2082" t="s">
        <v>37</v>
      </c>
      <c r="D2082">
        <v>4.9843919999999997</v>
      </c>
      <c r="E2082">
        <v>0.4265853</v>
      </c>
      <c r="F2082" t="s">
        <v>46</v>
      </c>
      <c r="G2082">
        <v>-317.58749999999998</v>
      </c>
      <c r="H2082">
        <v>-0.05</v>
      </c>
      <c r="I2082">
        <v>23.64873</v>
      </c>
      <c r="J2082">
        <v>-331.49979999999999</v>
      </c>
      <c r="K2082">
        <v>1.0981939999999999</v>
      </c>
      <c r="L2082">
        <v>21.59741</v>
      </c>
      <c r="M2082">
        <v>0.99968210000000002</v>
      </c>
      <c r="N2082">
        <v>0</v>
      </c>
      <c r="O2082">
        <v>-2.1637090000000001E-2</v>
      </c>
      <c r="P2082">
        <v>0.98643169999999902</v>
      </c>
      <c r="Q2082">
        <v>0.16006429999999999</v>
      </c>
      <c r="R2082">
        <v>-3.6498290000000003E-2</v>
      </c>
      <c r="S2082">
        <v>3.0940859999999999</v>
      </c>
      <c r="T2082">
        <v>-0.2494835</v>
      </c>
      <c r="U2082">
        <v>0.44332890000000003</v>
      </c>
      <c r="V2082">
        <v>1.7376119999999998E-2</v>
      </c>
      <c r="W2082">
        <v>0.17261989999999999</v>
      </c>
      <c r="X2082">
        <v>0.98483519999999902</v>
      </c>
      <c r="Y2082">
        <v>-0.16263459999999999</v>
      </c>
      <c r="Z2082">
        <v>8.2468139999999999E-3</v>
      </c>
      <c r="AA2082">
        <v>0.98665190000000003</v>
      </c>
      <c r="AB2082">
        <v>34</v>
      </c>
      <c r="AC2082">
        <v>13.9123</v>
      </c>
      <c r="AD2082">
        <v>-1.1481939999999999</v>
      </c>
      <c r="AE2082">
        <v>2.05132</v>
      </c>
      <c r="AF2082">
        <v>-2.3363117784100802</v>
      </c>
      <c r="AG2082">
        <v>-1.1481939999999999</v>
      </c>
      <c r="AH2082">
        <v>13.7728387394592</v>
      </c>
      <c r="AI2082">
        <v>94.698715290636699</v>
      </c>
      <c r="AJ2082">
        <v>99.627541744909095</v>
      </c>
      <c r="AK2082">
        <v>14.0166967981305</v>
      </c>
    </row>
    <row r="2083" spans="1:37" x14ac:dyDescent="0.2">
      <c r="A2083" t="str">
        <f>"20200111150633263"</f>
        <v>20200111150633263</v>
      </c>
      <c r="B2083" t="str">
        <f>"1578726393258737"</f>
        <v>1578726393258737</v>
      </c>
      <c r="C2083" t="s">
        <v>37</v>
      </c>
      <c r="D2083">
        <v>4.6164579999999997</v>
      </c>
      <c r="E2083">
        <v>0.426564099999999</v>
      </c>
      <c r="F2083" t="s">
        <v>46</v>
      </c>
      <c r="G2083">
        <v>-316.80090000000001</v>
      </c>
      <c r="H2083">
        <v>-0.05</v>
      </c>
      <c r="I2083">
        <v>23.667729999999999</v>
      </c>
      <c r="J2083">
        <v>-331.15839999999997</v>
      </c>
      <c r="K2083">
        <v>1.09799</v>
      </c>
      <c r="L2083">
        <v>21.58417</v>
      </c>
      <c r="M2083">
        <v>0.99952830000000004</v>
      </c>
      <c r="N2083">
        <v>0</v>
      </c>
      <c r="O2083">
        <v>-2.783712E-2</v>
      </c>
      <c r="P2083">
        <v>0.98554129999999995</v>
      </c>
      <c r="Q2083">
        <v>0.1642409</v>
      </c>
      <c r="R2083">
        <v>-4.1630479999999997E-2</v>
      </c>
      <c r="S2083">
        <v>3.0966490000000002</v>
      </c>
      <c r="T2083">
        <v>-0.2418931</v>
      </c>
      <c r="U2083">
        <v>0.43615720000000002</v>
      </c>
      <c r="V2083">
        <v>1.6558050000000001E-2</v>
      </c>
      <c r="W2083">
        <v>0.17680979999999999</v>
      </c>
      <c r="X2083">
        <v>0.98410580000000003</v>
      </c>
      <c r="Y2083">
        <v>-0.166404</v>
      </c>
      <c r="Z2083">
        <v>8.6192530000000003E-3</v>
      </c>
      <c r="AA2083">
        <v>0.98602000000000001</v>
      </c>
      <c r="AB2083">
        <v>34</v>
      </c>
      <c r="AC2083">
        <v>14.3574999999999</v>
      </c>
      <c r="AD2083">
        <v>-1.1479900000000001</v>
      </c>
      <c r="AE2083">
        <v>2.0835599999999901</v>
      </c>
      <c r="AF2083">
        <v>-2.4670107121593401</v>
      </c>
      <c r="AG2083">
        <v>-1.1479900000000001</v>
      </c>
      <c r="AH2083">
        <v>14.2049876676148</v>
      </c>
      <c r="AI2083">
        <v>94.552519489990203</v>
      </c>
      <c r="AJ2083">
        <v>99.852409276428503</v>
      </c>
      <c r="AK2083">
        <v>14.463253352240599</v>
      </c>
    </row>
    <row r="2084" spans="1:37" x14ac:dyDescent="0.2">
      <c r="A2084" t="str">
        <f>"20200111150633286"</f>
        <v>20200111150633286</v>
      </c>
      <c r="B2084" t="str">
        <f>"1578726393278254"</f>
        <v>1578726393278254</v>
      </c>
      <c r="C2084" t="s">
        <v>37</v>
      </c>
      <c r="D2084">
        <v>5.642207</v>
      </c>
      <c r="E2084">
        <v>0.42848629999999999</v>
      </c>
      <c r="F2084" t="s">
        <v>46</v>
      </c>
      <c r="G2084">
        <v>-315.6388</v>
      </c>
      <c r="H2084">
        <v>-0.05</v>
      </c>
      <c r="I2084">
        <v>23.686109999999999</v>
      </c>
      <c r="J2084">
        <v>-330.803</v>
      </c>
      <c r="K2084">
        <v>1.0977379999999901</v>
      </c>
      <c r="L2084">
        <v>21.56784</v>
      </c>
      <c r="M2084">
        <v>0.99931599999999998</v>
      </c>
      <c r="N2084">
        <v>0</v>
      </c>
      <c r="O2084">
        <v>-3.4623229999999998E-2</v>
      </c>
      <c r="P2084">
        <v>0.98486640000000003</v>
      </c>
      <c r="Q2084">
        <v>0.1666204</v>
      </c>
      <c r="R2084">
        <v>-4.7707579999999999E-2</v>
      </c>
      <c r="S2084">
        <v>3.100006</v>
      </c>
      <c r="T2084">
        <v>-0.2293094</v>
      </c>
      <c r="U2084">
        <v>0.41986079999999998</v>
      </c>
      <c r="V2084">
        <v>1.61032999999999E-2</v>
      </c>
      <c r="W2084">
        <v>0.17920610000000001</v>
      </c>
      <c r="X2084">
        <v>0.98367979999999999</v>
      </c>
      <c r="Y2084">
        <v>-0.16790169999999999</v>
      </c>
      <c r="Z2084">
        <v>8.7207099999999996E-3</v>
      </c>
      <c r="AA2084">
        <v>0.98576520000000001</v>
      </c>
      <c r="AB2084">
        <v>34</v>
      </c>
      <c r="AC2084">
        <v>15.164199999999999</v>
      </c>
      <c r="AD2084">
        <v>-1.1477379999999999</v>
      </c>
      <c r="AE2084">
        <v>2.1182699999999901</v>
      </c>
      <c r="AF2084">
        <v>-2.62731493777612</v>
      </c>
      <c r="AG2084">
        <v>-1.1477379999999999</v>
      </c>
      <c r="AH2084">
        <v>14.9974891536912</v>
      </c>
      <c r="AI2084">
        <v>94.310844707502994</v>
      </c>
      <c r="AJ2084">
        <v>99.936455060285695</v>
      </c>
      <c r="AK2084">
        <v>15.269078793888999</v>
      </c>
    </row>
    <row r="2085" spans="1:37" x14ac:dyDescent="0.2">
      <c r="A2085" t="str">
        <f>"20200111150633308"</f>
        <v>20200111150633308</v>
      </c>
      <c r="B2085" t="str">
        <f>"1578726393298749"</f>
        <v>1578726393298749</v>
      </c>
      <c r="C2085" t="s">
        <v>37</v>
      </c>
      <c r="D2085">
        <v>4.9784940000000004</v>
      </c>
      <c r="E2085">
        <v>0.53220049999999997</v>
      </c>
      <c r="F2085" t="s">
        <v>46</v>
      </c>
      <c r="G2085">
        <v>-312.95310000000001</v>
      </c>
      <c r="H2085">
        <v>-0.05</v>
      </c>
      <c r="I2085">
        <v>23.78951</v>
      </c>
      <c r="J2085">
        <v>-330.45429999999999</v>
      </c>
      <c r="K2085">
        <v>1.0974549999999901</v>
      </c>
      <c r="L2085">
        <v>21.549160000000001</v>
      </c>
      <c r="M2085">
        <v>0.99904819999999905</v>
      </c>
      <c r="N2085">
        <v>0</v>
      </c>
      <c r="O2085">
        <v>-4.1632599999999999E-2</v>
      </c>
      <c r="P2085">
        <v>0.98460340000000002</v>
      </c>
      <c r="Q2085">
        <v>0.1661203</v>
      </c>
      <c r="R2085">
        <v>-5.4407650000000002E-2</v>
      </c>
      <c r="S2085">
        <v>3.0985109999999998</v>
      </c>
      <c r="T2085">
        <v>-0.1992321</v>
      </c>
      <c r="U2085">
        <v>0.38565060000000001</v>
      </c>
      <c r="V2085">
        <v>1.600905E-2</v>
      </c>
      <c r="W2085">
        <v>0.17872759999999999</v>
      </c>
      <c r="X2085">
        <v>0.98376830000000004</v>
      </c>
      <c r="Y2085">
        <v>-0.16430120000000001</v>
      </c>
      <c r="Z2085">
        <v>7.9218680000000003E-3</v>
      </c>
      <c r="AA2085">
        <v>0.98637839999999999</v>
      </c>
      <c r="AB2085">
        <v>34</v>
      </c>
      <c r="AC2085">
        <v>17.501199999999901</v>
      </c>
      <c r="AD2085">
        <v>-1.1474549999999999</v>
      </c>
      <c r="AE2085">
        <v>2.2403499999999901</v>
      </c>
      <c r="AF2085">
        <v>-2.9545933522232302</v>
      </c>
      <c r="AG2085">
        <v>-1.1474549999999999</v>
      </c>
      <c r="AH2085">
        <v>17.3194934652754</v>
      </c>
      <c r="AI2085">
        <v>93.736608085736904</v>
      </c>
      <c r="AJ2085">
        <v>99.681093079828798</v>
      </c>
      <c r="AK2085">
        <v>17.607132894021799</v>
      </c>
    </row>
    <row r="2086" spans="1:37" x14ac:dyDescent="0.2">
      <c r="A2086" t="str">
        <f>"20200111150633329"</f>
        <v>20200111150633329</v>
      </c>
      <c r="B2086" t="str">
        <f>"1578726393318269"</f>
        <v>1578726393318269</v>
      </c>
      <c r="C2086" t="s">
        <v>37</v>
      </c>
      <c r="D2086">
        <v>4.8428849999999999</v>
      </c>
      <c r="E2086">
        <v>0.53856800000000005</v>
      </c>
      <c r="F2086" t="s">
        <v>72</v>
      </c>
      <c r="G2086">
        <v>-274.49669999999998</v>
      </c>
      <c r="H2086">
        <v>2.872509</v>
      </c>
      <c r="I2086">
        <v>13.265689999999999</v>
      </c>
      <c r="J2086">
        <v>-330.11790000000002</v>
      </c>
      <c r="K2086">
        <v>1.0971580000000001</v>
      </c>
      <c r="L2086">
        <v>21.52853</v>
      </c>
      <c r="M2086">
        <v>0.998726</v>
      </c>
      <c r="N2086">
        <v>0</v>
      </c>
      <c r="O2086">
        <v>-4.8746730000000002E-2</v>
      </c>
      <c r="P2086">
        <v>0.98439889999999997</v>
      </c>
      <c r="Q2086">
        <v>0.16448409999999999</v>
      </c>
      <c r="R2086">
        <v>-6.2481429999999998E-2</v>
      </c>
      <c r="S2086">
        <v>3.0061650000000002</v>
      </c>
      <c r="T2086">
        <v>9.5360039999999993E-2</v>
      </c>
      <c r="U2086">
        <v>-0.44500729999999999</v>
      </c>
      <c r="V2086">
        <v>1.7164579999999999E-2</v>
      </c>
      <c r="W2086">
        <v>0.17709749999999999</v>
      </c>
      <c r="X2086">
        <v>0.98404369999999997</v>
      </c>
      <c r="Y2086">
        <v>9.8012160000000001E-2</v>
      </c>
      <c r="Z2086" s="1">
        <v>9.8838940000000006E-6</v>
      </c>
      <c r="AA2086">
        <v>0.99518519999999899</v>
      </c>
      <c r="AB2086">
        <v>34</v>
      </c>
      <c r="AC2086">
        <v>55.621200000000002</v>
      </c>
      <c r="AD2086">
        <v>1.7753509999999999</v>
      </c>
      <c r="AE2086">
        <v>-8.26283999999999</v>
      </c>
      <c r="AF2086">
        <v>5.5359147393848902</v>
      </c>
      <c r="AG2086">
        <v>1.7753509999999999</v>
      </c>
      <c r="AH2086">
        <v>55.9021621477482</v>
      </c>
      <c r="AI2086">
        <v>88.189849804003103</v>
      </c>
      <c r="AJ2086">
        <v>84.344516292490098</v>
      </c>
      <c r="AK2086">
        <v>56.203647176745299</v>
      </c>
    </row>
    <row r="2087" spans="1:37" x14ac:dyDescent="0.2">
      <c r="A2087" t="str">
        <f>"20200111150633364"</f>
        <v>20200111150633364</v>
      </c>
      <c r="B2087" t="str">
        <f>"1578726393358286"</f>
        <v>1578726393358286</v>
      </c>
      <c r="C2087" t="s">
        <v>37</v>
      </c>
      <c r="D2087">
        <v>4.2621929999999999</v>
      </c>
      <c r="E2087">
        <v>0.53713049999999996</v>
      </c>
      <c r="F2087" t="s">
        <v>97</v>
      </c>
      <c r="G2087">
        <v>-279.68</v>
      </c>
      <c r="H2087">
        <v>0.71062190000000003</v>
      </c>
      <c r="I2087">
        <v>12.709019999999899</v>
      </c>
      <c r="J2087">
        <v>-329.608</v>
      </c>
      <c r="K2087">
        <v>1.096678</v>
      </c>
      <c r="L2087">
        <v>21.49173</v>
      </c>
      <c r="M2087">
        <v>0.99809740000000002</v>
      </c>
      <c r="N2087">
        <v>0</v>
      </c>
      <c r="O2087">
        <v>-6.0251119999999998E-2</v>
      </c>
      <c r="P2087">
        <v>0.98350269999999995</v>
      </c>
      <c r="Q2087">
        <v>0.16360710000000001</v>
      </c>
      <c r="R2087">
        <v>-7.7172110000000002E-2</v>
      </c>
      <c r="S2087">
        <v>3.01791399999999</v>
      </c>
      <c r="T2087">
        <v>-2.312875E-2</v>
      </c>
      <c r="U2087">
        <v>-0.52771000000000001</v>
      </c>
      <c r="V2087">
        <v>2.0706820000000001E-2</v>
      </c>
      <c r="W2087">
        <v>0.17619960000000001</v>
      </c>
      <c r="X2087">
        <v>0.98413660000000003</v>
      </c>
      <c r="Y2087">
        <v>0.1125756</v>
      </c>
      <c r="Z2087" s="1">
        <v>2.9378539999999999E-5</v>
      </c>
      <c r="AA2087">
        <v>0.99364319999999895</v>
      </c>
      <c r="AB2087">
        <v>34</v>
      </c>
      <c r="AC2087">
        <v>49.927999999999997</v>
      </c>
      <c r="AD2087">
        <v>-0.38605610000000001</v>
      </c>
      <c r="AE2087">
        <v>-8.7827099999999998</v>
      </c>
      <c r="AF2087">
        <v>5.7579416300971404</v>
      </c>
      <c r="AG2087">
        <v>-0.38605610000000001</v>
      </c>
      <c r="AH2087">
        <v>50.363570509164902</v>
      </c>
      <c r="AI2087">
        <v>90.436343236994901</v>
      </c>
      <c r="AJ2087">
        <v>83.477834394727793</v>
      </c>
      <c r="AK2087">
        <v>50.693117536403101</v>
      </c>
    </row>
    <row r="2088" spans="1:37" x14ac:dyDescent="0.2">
      <c r="A2088" t="str">
        <f>"20200111150633386"</f>
        <v>20200111150633386</v>
      </c>
      <c r="B2088" t="str">
        <f>"1578726393378782"</f>
        <v>1578726393378782</v>
      </c>
      <c r="C2088" t="s">
        <v>37</v>
      </c>
      <c r="D2088">
        <v>4.1462329999999996</v>
      </c>
      <c r="E2088">
        <v>0.53427530000000001</v>
      </c>
      <c r="F2088" t="s">
        <v>46</v>
      </c>
      <c r="G2088">
        <v>-284.19060000000002</v>
      </c>
      <c r="H2088">
        <v>-0.05</v>
      </c>
      <c r="I2088">
        <v>13.002269999999999</v>
      </c>
      <c r="J2088">
        <v>-329.2527</v>
      </c>
      <c r="K2088">
        <v>1.0963529999999999</v>
      </c>
      <c r="L2088">
        <v>21.462250000000001</v>
      </c>
      <c r="M2088">
        <v>0.99754989999999999</v>
      </c>
      <c r="N2088">
        <v>0</v>
      </c>
      <c r="O2088">
        <v>-6.8712549999999997E-2</v>
      </c>
      <c r="P2088">
        <v>0.98244069999999994</v>
      </c>
      <c r="Q2088">
        <v>0.16448199999999999</v>
      </c>
      <c r="R2088">
        <v>-8.8069099999999997E-2</v>
      </c>
      <c r="S2088">
        <v>3.0187680000000001</v>
      </c>
      <c r="T2088">
        <v>-7.6216339999999994E-2</v>
      </c>
      <c r="U2088">
        <v>-0.56426999999999905</v>
      </c>
      <c r="V2088">
        <v>2.3439229999999998E-2</v>
      </c>
      <c r="W2088">
        <v>0.17704909999999999</v>
      </c>
      <c r="X2088">
        <v>0.98392279999999999</v>
      </c>
      <c r="Y2088">
        <v>0.115741</v>
      </c>
      <c r="Z2088">
        <v>2.6774520000000002E-4</v>
      </c>
      <c r="AA2088">
        <v>0.99327940000000003</v>
      </c>
      <c r="AB2088">
        <v>34</v>
      </c>
      <c r="AC2088">
        <v>45.062100000000001</v>
      </c>
      <c r="AD2088">
        <v>-1.146353</v>
      </c>
      <c r="AE2088">
        <v>-8.4599799999999998</v>
      </c>
      <c r="AF2088">
        <v>5.3400438250622404</v>
      </c>
      <c r="AG2088">
        <v>-1.146353</v>
      </c>
      <c r="AH2088">
        <v>45.508485604325003</v>
      </c>
      <c r="AI2088">
        <v>91.433139661284798</v>
      </c>
      <c r="AJ2088">
        <v>83.307419781287905</v>
      </c>
      <c r="AK2088">
        <v>45.8350570551979</v>
      </c>
    </row>
    <row r="2089" spans="1:37" x14ac:dyDescent="0.2">
      <c r="A2089" t="str">
        <f>"20200111150633410"</f>
        <v>20200111150633410</v>
      </c>
      <c r="B2089" t="str">
        <f>"1578726393399279"</f>
        <v>1578726393399279</v>
      </c>
      <c r="C2089" t="s">
        <v>37</v>
      </c>
      <c r="D2089">
        <v>4.7322059999999997</v>
      </c>
      <c r="E2089">
        <v>0.5351764</v>
      </c>
      <c r="F2089" t="s">
        <v>46</v>
      </c>
      <c r="G2089">
        <v>-291.2851</v>
      </c>
      <c r="H2089">
        <v>-0.05</v>
      </c>
      <c r="I2089">
        <v>14.2122799999999</v>
      </c>
      <c r="J2089">
        <v>-328.89569999999998</v>
      </c>
      <c r="K2089">
        <v>1.096031</v>
      </c>
      <c r="L2089">
        <v>21.429349999999999</v>
      </c>
      <c r="M2089">
        <v>0.99690029999999996</v>
      </c>
      <c r="N2089">
        <v>0</v>
      </c>
      <c r="O2089">
        <v>-7.7564729999999998E-2</v>
      </c>
      <c r="P2089">
        <v>0.98129959999999905</v>
      </c>
      <c r="Q2089">
        <v>0.165064299999999</v>
      </c>
      <c r="R2089">
        <v>-9.9020800000000006E-2</v>
      </c>
      <c r="S2089">
        <v>3.0172119999999998</v>
      </c>
      <c r="T2089">
        <v>-9.1098429999999994E-2</v>
      </c>
      <c r="U2089">
        <v>-0.57614140000000003</v>
      </c>
      <c r="V2089">
        <v>2.583326E-2</v>
      </c>
      <c r="W2089">
        <v>0.17760899999999999</v>
      </c>
      <c r="X2089">
        <v>0.98376200000000003</v>
      </c>
      <c r="Y2089">
        <v>0.1107881</v>
      </c>
      <c r="Z2089">
        <v>6.5746539999999903E-4</v>
      </c>
      <c r="AA2089">
        <v>0.9938439</v>
      </c>
      <c r="AB2089">
        <v>34</v>
      </c>
      <c r="AC2089">
        <v>37.610599999999899</v>
      </c>
      <c r="AD2089">
        <v>-1.146031</v>
      </c>
      <c r="AE2089">
        <v>-7.2170699999999997</v>
      </c>
      <c r="AF2089">
        <v>4.27398696165376</v>
      </c>
      <c r="AG2089">
        <v>-1.146031</v>
      </c>
      <c r="AH2089">
        <v>38.0230603360381</v>
      </c>
      <c r="AI2089">
        <v>91.715598513713005</v>
      </c>
      <c r="AJ2089">
        <v>83.586581158461698</v>
      </c>
      <c r="AK2089">
        <v>38.2796743575405</v>
      </c>
    </row>
    <row r="2090" spans="1:37" x14ac:dyDescent="0.2">
      <c r="A2090" t="str">
        <f>"20200111150633432"</f>
        <v>20200111150633432</v>
      </c>
      <c r="B2090" t="str">
        <f>"1578726393428558"</f>
        <v>1578726393428558</v>
      </c>
      <c r="C2090" t="s">
        <v>37</v>
      </c>
      <c r="D2090">
        <v>4.692882</v>
      </c>
      <c r="E2090">
        <v>0.53381639999999997</v>
      </c>
      <c r="F2090" t="s">
        <v>46</v>
      </c>
      <c r="G2090">
        <v>-292.76139999999998</v>
      </c>
      <c r="H2090">
        <v>-0.05</v>
      </c>
      <c r="I2090">
        <v>14.023239999999999</v>
      </c>
      <c r="J2090">
        <v>-328.55329999999998</v>
      </c>
      <c r="K2090">
        <v>1.095747</v>
      </c>
      <c r="L2090">
        <v>21.39453</v>
      </c>
      <c r="M2090">
        <v>0.99617369999999905</v>
      </c>
      <c r="N2090">
        <v>0</v>
      </c>
      <c r="O2090">
        <v>-8.6389679999999996E-2</v>
      </c>
      <c r="P2090">
        <v>0.98016479999999995</v>
      </c>
      <c r="Q2090">
        <v>0.16580139999999999</v>
      </c>
      <c r="R2090">
        <v>-0.108567699999999</v>
      </c>
      <c r="S2090">
        <v>3.0109560000000002</v>
      </c>
      <c r="T2090">
        <v>-9.5494990000000002E-2</v>
      </c>
      <c r="U2090">
        <v>-0.61712650000000002</v>
      </c>
      <c r="V2090">
        <v>2.6845379999999999E-2</v>
      </c>
      <c r="W2090">
        <v>0.17834520000000001</v>
      </c>
      <c r="X2090">
        <v>0.98360170000000002</v>
      </c>
      <c r="Y2090">
        <v>0.11538379999999999</v>
      </c>
      <c r="Z2090">
        <v>8.9237619999999905E-4</v>
      </c>
      <c r="AA2090">
        <v>0.9933206</v>
      </c>
      <c r="AB2090">
        <v>34</v>
      </c>
      <c r="AC2090">
        <v>35.791899999999998</v>
      </c>
      <c r="AD2090">
        <v>-1.1457469999999901</v>
      </c>
      <c r="AE2090">
        <v>-7.3712899999999903</v>
      </c>
      <c r="AF2090">
        <v>4.24723083648116</v>
      </c>
      <c r="AG2090">
        <v>-1.1457469999999901</v>
      </c>
      <c r="AH2090">
        <v>36.2592808262144</v>
      </c>
      <c r="AI2090">
        <v>91.797589447852999</v>
      </c>
      <c r="AJ2090">
        <v>83.319103225023497</v>
      </c>
      <c r="AK2090">
        <v>36.525157795698</v>
      </c>
    </row>
    <row r="2091" spans="1:37" x14ac:dyDescent="0.2">
      <c r="A2091" t="str">
        <f>"20200111150633452"</f>
        <v>20200111150633452</v>
      </c>
      <c r="B2091" t="str">
        <f>"1578726393449055"</f>
        <v>1578726393449055</v>
      </c>
      <c r="C2091" t="s">
        <v>37</v>
      </c>
      <c r="D2091">
        <v>4.7802049999999996</v>
      </c>
      <c r="E2091">
        <v>0.53344609999999903</v>
      </c>
      <c r="F2091" t="s">
        <v>46</v>
      </c>
      <c r="G2091">
        <v>-298.6807</v>
      </c>
      <c r="H2091">
        <v>-0.05</v>
      </c>
      <c r="I2091">
        <v>15.074769999999999</v>
      </c>
      <c r="J2091">
        <v>-328.23</v>
      </c>
      <c r="K2091">
        <v>1.09548</v>
      </c>
      <c r="L2091">
        <v>21.358519999999999</v>
      </c>
      <c r="M2091">
        <v>0.99538760000000004</v>
      </c>
      <c r="N2091">
        <v>0</v>
      </c>
      <c r="O2091">
        <v>-9.5016489999999995E-2</v>
      </c>
      <c r="P2091">
        <v>0.97925499999999899</v>
      </c>
      <c r="Q2091">
        <v>0.1652016</v>
      </c>
      <c r="R2091">
        <v>-0.1173386</v>
      </c>
      <c r="S2091">
        <v>3.009674</v>
      </c>
      <c r="T2091">
        <v>-0.1154343</v>
      </c>
      <c r="U2091">
        <v>-0.63671880000000003</v>
      </c>
      <c r="V2091">
        <v>2.722223E-2</v>
      </c>
      <c r="W2091">
        <v>0.17775869999999999</v>
      </c>
      <c r="X2091">
        <v>0.9836975</v>
      </c>
      <c r="Y2091">
        <v>0.1130598</v>
      </c>
      <c r="Z2091">
        <v>1.446775E-3</v>
      </c>
      <c r="AA2091">
        <v>0.99358709999999995</v>
      </c>
      <c r="AB2091">
        <v>34</v>
      </c>
      <c r="AC2091">
        <v>29.549299999999999</v>
      </c>
      <c r="AD2091">
        <v>-1.1454799999999901</v>
      </c>
      <c r="AE2091">
        <v>-6.2837500000000004</v>
      </c>
      <c r="AF2091">
        <v>3.44244914481312</v>
      </c>
      <c r="AG2091">
        <v>-1.1454799999999901</v>
      </c>
      <c r="AH2091">
        <v>29.969611077305199</v>
      </c>
      <c r="AI2091">
        <v>92.174573825215106</v>
      </c>
      <c r="AJ2091">
        <v>83.447456993297905</v>
      </c>
      <c r="AK2091">
        <v>30.188411165047398</v>
      </c>
    </row>
    <row r="2092" spans="1:37" x14ac:dyDescent="0.2">
      <c r="A2092" t="str">
        <f>"20200111150633476"</f>
        <v>20200111150633476</v>
      </c>
      <c r="B2092" t="str">
        <f>"1578726393468574"</f>
        <v>1578726393468574</v>
      </c>
      <c r="C2092" t="s">
        <v>37</v>
      </c>
      <c r="D2092">
        <v>5.131189</v>
      </c>
      <c r="E2092">
        <v>0.53271899999999905</v>
      </c>
      <c r="F2092" t="s">
        <v>46</v>
      </c>
      <c r="G2092">
        <v>-302.67070000000001</v>
      </c>
      <c r="H2092">
        <v>-0.05</v>
      </c>
      <c r="I2092">
        <v>15.737</v>
      </c>
      <c r="J2092">
        <v>-327.86989999999997</v>
      </c>
      <c r="K2092">
        <v>1.0951850000000001</v>
      </c>
      <c r="L2092">
        <v>21.314640000000001</v>
      </c>
      <c r="M2092">
        <v>0.99438969999999904</v>
      </c>
      <c r="N2092">
        <v>0</v>
      </c>
      <c r="O2092">
        <v>-0.1049404</v>
      </c>
      <c r="P2092">
        <v>0.97836350000000005</v>
      </c>
      <c r="Q2092">
        <v>0.16358059999999999</v>
      </c>
      <c r="R2092">
        <v>-0.12667390000000001</v>
      </c>
      <c r="S2092">
        <v>3.00707999999999</v>
      </c>
      <c r="T2092">
        <v>-0.1347671</v>
      </c>
      <c r="U2092">
        <v>-0.66137699999999999</v>
      </c>
      <c r="V2092">
        <v>2.685098E-2</v>
      </c>
      <c r="W2092">
        <v>0.17617240000000001</v>
      </c>
      <c r="X2092">
        <v>0.98399309999999995</v>
      </c>
      <c r="Y2092">
        <v>0.11111359999999899</v>
      </c>
      <c r="Z2092">
        <v>2.166823E-3</v>
      </c>
      <c r="AA2092">
        <v>0.9938053</v>
      </c>
      <c r="AB2092">
        <v>34</v>
      </c>
      <c r="AC2092">
        <v>25.199199999999902</v>
      </c>
      <c r="AD2092">
        <v>-1.1451849999999999</v>
      </c>
      <c r="AE2092">
        <v>-5.5776399999999997</v>
      </c>
      <c r="AF2092">
        <v>2.8964873114079599</v>
      </c>
      <c r="AG2092">
        <v>-1.1451849999999999</v>
      </c>
      <c r="AH2092">
        <v>25.5950178398496</v>
      </c>
      <c r="AI2092">
        <v>92.545620738124697</v>
      </c>
      <c r="AJ2092">
        <v>83.543530622444493</v>
      </c>
      <c r="AK2092">
        <v>25.783832640854399</v>
      </c>
    </row>
    <row r="2093" spans="1:37" x14ac:dyDescent="0.2">
      <c r="A2093" t="str">
        <f>"20200111150633498"</f>
        <v>20200111150633498</v>
      </c>
      <c r="B2093" t="str">
        <f>"1578726393489069"</f>
        <v>1578726393489069</v>
      </c>
      <c r="C2093" t="s">
        <v>37</v>
      </c>
      <c r="D2093">
        <v>4.8093469999999998</v>
      </c>
      <c r="E2093">
        <v>0.53189560000000002</v>
      </c>
      <c r="F2093" t="s">
        <v>46</v>
      </c>
      <c r="G2093">
        <v>-303.68119999999999</v>
      </c>
      <c r="H2093">
        <v>-0.05</v>
      </c>
      <c r="I2093">
        <v>15.79904</v>
      </c>
      <c r="J2093">
        <v>-327.51949999999999</v>
      </c>
      <c r="K2093">
        <v>1.0949260000000001</v>
      </c>
      <c r="L2093">
        <v>21.268249999999998</v>
      </c>
      <c r="M2093">
        <v>0.99329239999999996</v>
      </c>
      <c r="N2093">
        <v>0</v>
      </c>
      <c r="O2093">
        <v>-0.114860199999999</v>
      </c>
      <c r="P2093">
        <v>0.97711499999999996</v>
      </c>
      <c r="Q2093">
        <v>0.16311120000000001</v>
      </c>
      <c r="R2093">
        <v>-0.136533399999999</v>
      </c>
      <c r="S2093">
        <v>3.0015259999999899</v>
      </c>
      <c r="T2093">
        <v>-0.1421036</v>
      </c>
      <c r="U2093">
        <v>-0.68441770000000002</v>
      </c>
      <c r="V2093">
        <v>2.704231E-2</v>
      </c>
      <c r="W2093">
        <v>0.17572370000000001</v>
      </c>
      <c r="X2093">
        <v>0.98406800000000005</v>
      </c>
      <c r="Y2093">
        <v>0.10885549999999999</v>
      </c>
      <c r="Z2093">
        <v>2.7976579999999902E-3</v>
      </c>
      <c r="AA2093">
        <v>0.99405370000000004</v>
      </c>
      <c r="AB2093">
        <v>34</v>
      </c>
      <c r="AC2093">
        <v>23.8383</v>
      </c>
      <c r="AD2093">
        <v>-1.1449260000000001</v>
      </c>
      <c r="AE2093">
        <v>-5.4692099999999897</v>
      </c>
      <c r="AF2093">
        <v>2.6887994895298002</v>
      </c>
      <c r="AG2093">
        <v>-1.1449260000000001</v>
      </c>
      <c r="AH2093">
        <v>24.255598197419101</v>
      </c>
      <c r="AI2093">
        <v>92.686071795889205</v>
      </c>
      <c r="AJ2093">
        <v>83.674431783605897</v>
      </c>
      <c r="AK2093">
        <v>24.4310159869583</v>
      </c>
    </row>
    <row r="2094" spans="1:37" x14ac:dyDescent="0.2">
      <c r="A2094" t="str">
        <f>"20200111150633520"</f>
        <v>20200111150633520</v>
      </c>
      <c r="B2094" t="str">
        <f>"1578726393508589"</f>
        <v>1578726393508589</v>
      </c>
      <c r="C2094" t="s">
        <v>37</v>
      </c>
      <c r="D2094">
        <v>4.926615</v>
      </c>
      <c r="E2094">
        <v>0.53167189999999998</v>
      </c>
      <c r="F2094" t="s">
        <v>46</v>
      </c>
      <c r="G2094">
        <v>-302.31119999999999</v>
      </c>
      <c r="H2094">
        <v>-0.05</v>
      </c>
      <c r="I2094">
        <v>15.306950000000001</v>
      </c>
      <c r="J2094">
        <v>-327.19409999999999</v>
      </c>
      <c r="K2094">
        <v>1.094716</v>
      </c>
      <c r="L2094">
        <v>21.22186</v>
      </c>
      <c r="M2094">
        <v>0.99215940000000002</v>
      </c>
      <c r="N2094">
        <v>0</v>
      </c>
      <c r="O2094">
        <v>-0.12426329999999999</v>
      </c>
      <c r="P2094">
        <v>0.97543049999999998</v>
      </c>
      <c r="Q2094">
        <v>0.16357939999999899</v>
      </c>
      <c r="R2094">
        <v>-0.14757120000000001</v>
      </c>
      <c r="S2094">
        <v>2.994049</v>
      </c>
      <c r="T2094">
        <v>-0.13598560000000001</v>
      </c>
      <c r="U2094">
        <v>-0.70803830000000001</v>
      </c>
      <c r="V2094">
        <v>2.896031E-2</v>
      </c>
      <c r="W2094">
        <v>0.17616960000000001</v>
      </c>
      <c r="X2094">
        <v>0.98393369999999902</v>
      </c>
      <c r="Y2094">
        <v>0.1074276</v>
      </c>
      <c r="Z2094">
        <v>3.1287680000000001E-3</v>
      </c>
      <c r="AA2094">
        <v>0.99420799999999998</v>
      </c>
      <c r="AB2094">
        <v>34</v>
      </c>
      <c r="AC2094">
        <v>24.882899999999999</v>
      </c>
      <c r="AD2094">
        <v>-1.1447160000000001</v>
      </c>
      <c r="AE2094">
        <v>-5.9149099999999901</v>
      </c>
      <c r="AF2094">
        <v>2.7711986967706399</v>
      </c>
      <c r="AG2094">
        <v>-1.1447160000000001</v>
      </c>
      <c r="AH2094">
        <v>25.374247473719901</v>
      </c>
      <c r="AI2094">
        <v>92.567802498401306</v>
      </c>
      <c r="AJ2094">
        <v>83.767255755500898</v>
      </c>
      <c r="AK2094">
        <v>25.5507798666737</v>
      </c>
    </row>
    <row r="2095" spans="1:37" x14ac:dyDescent="0.2">
      <c r="A2095" t="str">
        <f>"20200111150633540"</f>
        <v>20200111150633540</v>
      </c>
      <c r="B2095" t="str">
        <f>"1578726393529086"</f>
        <v>1578726393529086</v>
      </c>
      <c r="C2095" t="s">
        <v>37</v>
      </c>
      <c r="D2095">
        <v>4.7602469999999997</v>
      </c>
      <c r="E2095">
        <v>0.53238079999999999</v>
      </c>
      <c r="F2095" t="s">
        <v>46</v>
      </c>
      <c r="G2095">
        <v>-302.42759999999998</v>
      </c>
      <c r="H2095">
        <v>-0.05</v>
      </c>
      <c r="I2095">
        <v>15.087429999999999</v>
      </c>
      <c r="J2095">
        <v>-326.8682</v>
      </c>
      <c r="K2095">
        <v>1.0945199999999999</v>
      </c>
      <c r="L2095">
        <v>21.172149999999998</v>
      </c>
      <c r="M2095">
        <v>0.99091039999999997</v>
      </c>
      <c r="N2095">
        <v>0</v>
      </c>
      <c r="O2095">
        <v>-0.13385569999999999</v>
      </c>
      <c r="P2095">
        <v>0.97358319999999998</v>
      </c>
      <c r="Q2095">
        <v>0.16376270000000001</v>
      </c>
      <c r="R2095">
        <v>-0.1591157</v>
      </c>
      <c r="S2095">
        <v>2.9868160000000001</v>
      </c>
      <c r="T2095">
        <v>-0.138051799999999</v>
      </c>
      <c r="U2095">
        <v>-0.73980709999999905</v>
      </c>
      <c r="V2095">
        <v>3.119137E-2</v>
      </c>
      <c r="W2095">
        <v>0.1763207</v>
      </c>
      <c r="X2095">
        <v>0.9838384</v>
      </c>
      <c r="Y2095">
        <v>0.10834529999999901</v>
      </c>
      <c r="Z2095">
        <v>3.588422E-3</v>
      </c>
      <c r="AA2095">
        <v>0.99410679999999996</v>
      </c>
      <c r="AB2095">
        <v>34</v>
      </c>
      <c r="AC2095">
        <v>24.4406</v>
      </c>
      <c r="AD2095">
        <v>-1.14452</v>
      </c>
      <c r="AE2095">
        <v>-6.0847199999999901</v>
      </c>
      <c r="AF2095">
        <v>2.7524622357009698</v>
      </c>
      <c r="AG2095">
        <v>-1.14452</v>
      </c>
      <c r="AH2095">
        <v>24.983573360714601</v>
      </c>
      <c r="AI2095">
        <v>92.607184604976197</v>
      </c>
      <c r="AJ2095">
        <v>83.713028099695094</v>
      </c>
      <c r="AK2095">
        <v>25.1607812330931</v>
      </c>
    </row>
    <row r="2096" spans="1:37" x14ac:dyDescent="0.2">
      <c r="A2096" t="str">
        <f>"20200111150633565"</f>
        <v>20200111150633565</v>
      </c>
      <c r="B2096" t="str">
        <f>"1578726393558366"</f>
        <v>1578726393558366</v>
      </c>
      <c r="C2096" t="s">
        <v>37</v>
      </c>
      <c r="D2096">
        <v>4.5561280000000002</v>
      </c>
      <c r="E2096">
        <v>0.53238079999999999</v>
      </c>
      <c r="F2096" t="s">
        <v>46</v>
      </c>
      <c r="G2096">
        <v>-300.71469999999999</v>
      </c>
      <c r="H2096">
        <v>-0.05</v>
      </c>
      <c r="I2096">
        <v>14.323270000000001</v>
      </c>
      <c r="J2096">
        <v>-326.50459999999998</v>
      </c>
      <c r="K2096">
        <v>1.094311</v>
      </c>
      <c r="L2096">
        <v>21.1127</v>
      </c>
      <c r="M2096">
        <v>0.98937659999999905</v>
      </c>
      <c r="N2096">
        <v>0</v>
      </c>
      <c r="O2096">
        <v>-0.14475460000000001</v>
      </c>
      <c r="P2096">
        <v>0.97158940000000005</v>
      </c>
      <c r="Q2096">
        <v>0.16336110000000001</v>
      </c>
      <c r="R2096">
        <v>-0.17125270000000001</v>
      </c>
      <c r="S2096">
        <v>2.9759829999999998</v>
      </c>
      <c r="T2096">
        <v>-0.13023370000000001</v>
      </c>
      <c r="U2096">
        <v>-0.7793274</v>
      </c>
      <c r="V2096">
        <v>3.2708210000000001E-2</v>
      </c>
      <c r="W2096">
        <v>0.17590349999999999</v>
      </c>
      <c r="X2096">
        <v>0.98386390000000001</v>
      </c>
      <c r="Y2096">
        <v>0.1106456</v>
      </c>
      <c r="Z2096">
        <v>3.8023620000000001E-3</v>
      </c>
      <c r="AA2096">
        <v>0.99385270000000003</v>
      </c>
      <c r="AB2096">
        <v>34</v>
      </c>
      <c r="AC2096">
        <v>25.7898999999999</v>
      </c>
      <c r="AD2096">
        <v>-1.1443110000000001</v>
      </c>
      <c r="AE2096">
        <v>-6.7894299999999896</v>
      </c>
      <c r="AF2096">
        <v>2.9788806497497999</v>
      </c>
      <c r="AG2096">
        <v>-1.1443110000000001</v>
      </c>
      <c r="AH2096">
        <v>26.452408045376998</v>
      </c>
      <c r="AI2096">
        <v>92.461487986883796</v>
      </c>
      <c r="AJ2096">
        <v>83.574829207593297</v>
      </c>
      <c r="AK2096">
        <v>26.644193907665901</v>
      </c>
    </row>
    <row r="2097" spans="1:37" x14ac:dyDescent="0.2">
      <c r="A2097" t="str">
        <f>"20200111150633586"</f>
        <v>20200111150633586</v>
      </c>
      <c r="B2097" t="str">
        <f>"1578726393578861"</f>
        <v>1578726393578861</v>
      </c>
      <c r="C2097" t="s">
        <v>37</v>
      </c>
      <c r="D2097">
        <v>4.5267480000000004</v>
      </c>
      <c r="E2097">
        <v>0.68797259999999905</v>
      </c>
      <c r="F2097" t="s">
        <v>46</v>
      </c>
      <c r="G2097">
        <v>-300.58190000000002</v>
      </c>
      <c r="H2097">
        <v>-0.05</v>
      </c>
      <c r="I2097">
        <v>13.9671799999999</v>
      </c>
      <c r="J2097">
        <v>-326.16649999999998</v>
      </c>
      <c r="K2097">
        <v>1.094131</v>
      </c>
      <c r="L2097">
        <v>21.05368</v>
      </c>
      <c r="M2097">
        <v>0.98781319999999995</v>
      </c>
      <c r="N2097">
        <v>0</v>
      </c>
      <c r="O2097">
        <v>-0.15506239999999999</v>
      </c>
      <c r="P2097">
        <v>0.96967289999999995</v>
      </c>
      <c r="Q2097">
        <v>0.16272339999999999</v>
      </c>
      <c r="R2097">
        <v>-0.18236140000000001</v>
      </c>
      <c r="S2097">
        <v>2.9656370000000001</v>
      </c>
      <c r="T2097">
        <v>-0.130913</v>
      </c>
      <c r="U2097">
        <v>-0.81747440000000005</v>
      </c>
      <c r="V2097">
        <v>3.3755380000000001E-2</v>
      </c>
      <c r="W2097">
        <v>0.17525940000000001</v>
      </c>
      <c r="X2097">
        <v>0.98394349999999997</v>
      </c>
      <c r="Y2097">
        <v>0.113059199999999</v>
      </c>
      <c r="Z2097">
        <v>4.2132799999999998E-3</v>
      </c>
      <c r="AA2097">
        <v>0.99357929999999905</v>
      </c>
      <c r="AB2097">
        <v>34</v>
      </c>
      <c r="AC2097">
        <v>25.584599999999899</v>
      </c>
      <c r="AD2097">
        <v>-1.144131</v>
      </c>
      <c r="AE2097">
        <v>-7.0865</v>
      </c>
      <c r="AF2097">
        <v>3.0275796291028199</v>
      </c>
      <c r="AG2097">
        <v>-1.144131</v>
      </c>
      <c r="AH2097">
        <v>26.325143978042899</v>
      </c>
      <c r="AI2097">
        <v>92.472319930816198</v>
      </c>
      <c r="AJ2097">
        <v>83.439399611013002</v>
      </c>
      <c r="AK2097">
        <v>26.523357246404601</v>
      </c>
    </row>
    <row r="2098" spans="1:37" x14ac:dyDescent="0.2">
      <c r="A2098" t="str">
        <f>"20200111150633609"</f>
        <v>20200111150633609</v>
      </c>
      <c r="B2098" t="str">
        <f>"1578726393598382"</f>
        <v>1578726393598382</v>
      </c>
      <c r="C2098" t="s">
        <v>37</v>
      </c>
      <c r="D2098">
        <v>4.548826</v>
      </c>
      <c r="E2098">
        <v>0.68796599999999997</v>
      </c>
      <c r="F2098" t="s">
        <v>39</v>
      </c>
      <c r="G2098">
        <v>-293.01179999999999</v>
      </c>
      <c r="H2098" s="1">
        <v>-3.7842759999999899E-6</v>
      </c>
      <c r="I2098">
        <v>-4.1788819999999998</v>
      </c>
      <c r="J2098">
        <v>-325.83269999999999</v>
      </c>
      <c r="K2098">
        <v>1.093961</v>
      </c>
      <c r="L2098">
        <v>20.991669999999999</v>
      </c>
      <c r="M2098">
        <v>0.98613320000000004</v>
      </c>
      <c r="N2098">
        <v>0</v>
      </c>
      <c r="O2098">
        <v>-0.16540679999999999</v>
      </c>
      <c r="P2098">
        <v>0.96746840000000001</v>
      </c>
      <c r="Q2098">
        <v>0.16232269999999999</v>
      </c>
      <c r="R2098">
        <v>-0.19405239999999899</v>
      </c>
      <c r="S2098">
        <v>2.7196349999999998</v>
      </c>
      <c r="T2098">
        <v>-8.9750410000000003E-2</v>
      </c>
      <c r="U2098">
        <v>-2.0697939999999999</v>
      </c>
      <c r="V2098">
        <v>3.5374040000000002E-2</v>
      </c>
      <c r="W2098">
        <v>0.17483779999999999</v>
      </c>
      <c r="X2098">
        <v>0.98396159999999999</v>
      </c>
      <c r="Y2098">
        <v>0.46553559999999999</v>
      </c>
      <c r="Z2098">
        <v>-2.0517090000000001E-3</v>
      </c>
      <c r="AA2098">
        <v>0.8850268</v>
      </c>
      <c r="AB2098">
        <v>34</v>
      </c>
      <c r="AC2098">
        <v>32.820899999999902</v>
      </c>
      <c r="AD2098">
        <v>-1.0939647842759901</v>
      </c>
      <c r="AE2098">
        <v>-25.170552000000001</v>
      </c>
      <c r="AF2098">
        <v>19.380923154937399</v>
      </c>
      <c r="AG2098">
        <v>-1.0939647842759901</v>
      </c>
      <c r="AH2098">
        <v>36.506944185696199</v>
      </c>
      <c r="AI2098">
        <v>91.516116995210297</v>
      </c>
      <c r="AJ2098">
        <v>62.036918653853398</v>
      </c>
      <c r="AK2098">
        <v>41.346994026946597</v>
      </c>
    </row>
    <row r="2099" spans="1:37" x14ac:dyDescent="0.2">
      <c r="A2099" t="str">
        <f>"20200111150633631"</f>
        <v>20200111150633631</v>
      </c>
      <c r="B2099" t="str">
        <f>"1578726393618878"</f>
        <v>1578726393618878</v>
      </c>
      <c r="C2099" t="s">
        <v>37</v>
      </c>
      <c r="D2099">
        <v>4.617998</v>
      </c>
      <c r="E2099">
        <v>0.68738069999999996</v>
      </c>
      <c r="F2099" t="s">
        <v>39</v>
      </c>
      <c r="G2099">
        <v>-292.2978</v>
      </c>
      <c r="H2099" s="1">
        <v>-3.596239E-6</v>
      </c>
      <c r="I2099">
        <v>-5.1633009999999997</v>
      </c>
      <c r="J2099">
        <v>-325.4975</v>
      </c>
      <c r="K2099">
        <v>1.093777</v>
      </c>
      <c r="L2099">
        <v>20.925719999999998</v>
      </c>
      <c r="M2099">
        <v>0.98430490000000004</v>
      </c>
      <c r="N2099">
        <v>0</v>
      </c>
      <c r="O2099">
        <v>-0.1759578</v>
      </c>
      <c r="P2099">
        <v>0.96486629999999995</v>
      </c>
      <c r="Q2099">
        <v>0.16264300000000001</v>
      </c>
      <c r="R2099">
        <v>-0.20634959999999999</v>
      </c>
      <c r="S2099">
        <v>2.694153</v>
      </c>
      <c r="T2099">
        <v>-8.7887759999999995E-2</v>
      </c>
      <c r="U2099">
        <v>-2.1012569999999999</v>
      </c>
      <c r="V2099">
        <v>3.745308E-2</v>
      </c>
      <c r="W2099">
        <v>0.17512420000000001</v>
      </c>
      <c r="X2099">
        <v>0.98383369999999903</v>
      </c>
      <c r="Y2099">
        <v>0.46654770000000001</v>
      </c>
      <c r="Z2099">
        <v>-1.74208E-3</v>
      </c>
      <c r="AA2099">
        <v>0.88449429999999996</v>
      </c>
      <c r="AB2099">
        <v>34</v>
      </c>
      <c r="AC2099">
        <v>33.1997</v>
      </c>
      <c r="AD2099">
        <v>-1.0937805962389999</v>
      </c>
      <c r="AE2099">
        <v>-26.089020999999999</v>
      </c>
      <c r="AF2099">
        <v>19.826313517791299</v>
      </c>
      <c r="AG2099">
        <v>-1.0937805962389999</v>
      </c>
      <c r="AH2099">
        <v>37.247605068882002</v>
      </c>
      <c r="AI2099">
        <v>91.484870790529996</v>
      </c>
      <c r="AJ2099">
        <v>61.974330382992001</v>
      </c>
      <c r="AK2099">
        <v>42.209751800571802</v>
      </c>
    </row>
    <row r="2100" spans="1:37" x14ac:dyDescent="0.2">
      <c r="A2100" t="str">
        <f>"20200111150633654"</f>
        <v>20200111150633654</v>
      </c>
      <c r="B2100" t="str">
        <f>"1578726393649134"</f>
        <v>1578726393649134</v>
      </c>
      <c r="C2100" t="s">
        <v>37</v>
      </c>
      <c r="D2100">
        <v>4.7175409999999998</v>
      </c>
      <c r="E2100">
        <v>0.68680580000000002</v>
      </c>
      <c r="F2100" t="s">
        <v>39</v>
      </c>
      <c r="G2100">
        <v>-294.85180000000003</v>
      </c>
      <c r="H2100" s="1">
        <v>-3.690926E-6</v>
      </c>
      <c r="I2100">
        <v>-3.5468609999999998</v>
      </c>
      <c r="J2100">
        <v>-325.15809999999999</v>
      </c>
      <c r="K2100">
        <v>1.093599</v>
      </c>
      <c r="L2100">
        <v>20.85492</v>
      </c>
      <c r="M2100">
        <v>0.98230030000000002</v>
      </c>
      <c r="N2100">
        <v>0</v>
      </c>
      <c r="O2100">
        <v>-0.18682299999999999</v>
      </c>
      <c r="P2100">
        <v>0.96216740000000001</v>
      </c>
      <c r="Q2100">
        <v>0.16248009999999999</v>
      </c>
      <c r="R2100">
        <v>-0.2187105</v>
      </c>
      <c r="S2100">
        <v>2.6694339999999999</v>
      </c>
      <c r="T2100">
        <v>-9.5275100000000001E-2</v>
      </c>
      <c r="U2100">
        <v>-2.1317140000000001</v>
      </c>
      <c r="V2100">
        <v>3.9272979999999999E-2</v>
      </c>
      <c r="W2100">
        <v>0.17493399999999901</v>
      </c>
      <c r="X2100">
        <v>0.98379660000000002</v>
      </c>
      <c r="Y2100">
        <v>0.46691640000000001</v>
      </c>
      <c r="Z2100">
        <v>-1.5779749999999999E-3</v>
      </c>
      <c r="AA2100">
        <v>0.88430010000000003</v>
      </c>
      <c r="AB2100">
        <v>34</v>
      </c>
      <c r="AC2100">
        <v>30.306299999999901</v>
      </c>
      <c r="AD2100">
        <v>-1.0936026909259999</v>
      </c>
      <c r="AE2100">
        <v>-24.401781</v>
      </c>
      <c r="AF2100">
        <v>18.295188102389599</v>
      </c>
      <c r="AG2100">
        <v>-1.0936026909259999</v>
      </c>
      <c r="AH2100">
        <v>34.304747858849097</v>
      </c>
      <c r="AI2100">
        <v>91.611236778741898</v>
      </c>
      <c r="AJ2100">
        <v>61.928393942921403</v>
      </c>
      <c r="AK2100">
        <v>38.893773283221499</v>
      </c>
    </row>
    <row r="2101" spans="1:37" x14ac:dyDescent="0.2">
      <c r="A2101" t="str">
        <f>"20200111150633676"</f>
        <v>20200111150633676</v>
      </c>
      <c r="B2101" t="str">
        <f>"1578726393668653"</f>
        <v>1578726393668653</v>
      </c>
      <c r="C2101" t="s">
        <v>37</v>
      </c>
      <c r="D2101">
        <v>4.7388110000000001</v>
      </c>
      <c r="E2101">
        <v>0.68712930000000005</v>
      </c>
      <c r="F2101" t="s">
        <v>39</v>
      </c>
      <c r="G2101">
        <v>-293.26060000000001</v>
      </c>
      <c r="H2101" s="1">
        <v>-3.3061439999999999E-6</v>
      </c>
      <c r="I2101">
        <v>-5.2515679999999998</v>
      </c>
      <c r="J2101">
        <v>-324.81270000000001</v>
      </c>
      <c r="K2101">
        <v>1.093405</v>
      </c>
      <c r="L2101">
        <v>20.778410000000001</v>
      </c>
      <c r="M2101">
        <v>0.98009190000000002</v>
      </c>
      <c r="N2101">
        <v>0</v>
      </c>
      <c r="O2101">
        <v>-0.1980797</v>
      </c>
      <c r="P2101">
        <v>0.95898629999999996</v>
      </c>
      <c r="Q2101">
        <v>0.16222320000000001</v>
      </c>
      <c r="R2101">
        <v>-0.2324416</v>
      </c>
      <c r="S2101">
        <v>2.641785</v>
      </c>
      <c r="T2101">
        <v>-9.0573429999999996E-2</v>
      </c>
      <c r="U2101">
        <v>-2.1621700000000001</v>
      </c>
      <c r="V2101">
        <v>4.2116979999999998E-2</v>
      </c>
      <c r="W2101">
        <v>0.17462610000000001</v>
      </c>
      <c r="X2101">
        <v>0.98373369999999905</v>
      </c>
      <c r="Y2101">
        <v>0.46741949999999999</v>
      </c>
      <c r="Z2101">
        <v>-1.1958589999999901E-3</v>
      </c>
      <c r="AA2101">
        <v>0.88403489999999996</v>
      </c>
      <c r="AB2101">
        <v>34</v>
      </c>
      <c r="AC2101">
        <v>31.552099999999999</v>
      </c>
      <c r="AD2101">
        <v>-1.0934083061440001</v>
      </c>
      <c r="AE2101">
        <v>-26.029978</v>
      </c>
      <c r="AF2101">
        <v>19.249959900417998</v>
      </c>
      <c r="AG2101">
        <v>-1.0934083061440001</v>
      </c>
      <c r="AH2101">
        <v>36.057527507117797</v>
      </c>
      <c r="AI2101">
        <v>91.532326783766905</v>
      </c>
      <c r="AJ2101">
        <v>61.903668488382799</v>
      </c>
      <c r="AK2101">
        <v>40.888895654177396</v>
      </c>
    </row>
    <row r="2102" spans="1:37" x14ac:dyDescent="0.2">
      <c r="A2102" t="str">
        <f>"20200111150633698"</f>
        <v>20200111150633698</v>
      </c>
      <c r="B2102" t="str">
        <f>"1578726393689149"</f>
        <v>1578726393689149</v>
      </c>
      <c r="C2102" t="s">
        <v>37</v>
      </c>
      <c r="D2102">
        <v>4.6717230000000001</v>
      </c>
      <c r="E2102">
        <v>0.68666729999999998</v>
      </c>
      <c r="F2102" t="s">
        <v>39</v>
      </c>
      <c r="G2102">
        <v>-295.25639999999999</v>
      </c>
      <c r="H2102" s="1">
        <v>-3.3345469999999998E-6</v>
      </c>
      <c r="I2102">
        <v>-4.1489390000000004</v>
      </c>
      <c r="J2102">
        <v>-324.4701</v>
      </c>
      <c r="K2102">
        <v>1.0932299999999999</v>
      </c>
      <c r="L2102">
        <v>20.6983</v>
      </c>
      <c r="M2102">
        <v>0.97773279999999996</v>
      </c>
      <c r="N2102">
        <v>0</v>
      </c>
      <c r="O2102">
        <v>-0.2094116</v>
      </c>
      <c r="P2102">
        <v>0.955932</v>
      </c>
      <c r="Q2102">
        <v>0.16075510000000001</v>
      </c>
      <c r="R2102">
        <v>-0.2456663</v>
      </c>
      <c r="S2102">
        <v>2.6109009999999899</v>
      </c>
      <c r="T2102">
        <v>-9.6587899999999893E-2</v>
      </c>
      <c r="U2102">
        <v>-2.2019959999999998</v>
      </c>
      <c r="V2102">
        <v>4.4306199999999997E-2</v>
      </c>
      <c r="W2102">
        <v>0.17312249999999901</v>
      </c>
      <c r="X2102">
        <v>0.98390319999999998</v>
      </c>
      <c r="Y2102">
        <v>0.47021459999999998</v>
      </c>
      <c r="Z2102">
        <v>-9.8408009999999897E-4</v>
      </c>
      <c r="AA2102">
        <v>0.88255159999999999</v>
      </c>
      <c r="AB2102">
        <v>34</v>
      </c>
      <c r="AC2102">
        <v>29.213699999999999</v>
      </c>
      <c r="AD2102">
        <v>-1.093233334547</v>
      </c>
      <c r="AE2102">
        <v>-24.847238999999998</v>
      </c>
      <c r="AF2102">
        <v>18.163198654937101</v>
      </c>
      <c r="AG2102">
        <v>-1.093233334547</v>
      </c>
      <c r="AH2102">
        <v>33.742204437621197</v>
      </c>
      <c r="AI2102">
        <v>91.634142356334394</v>
      </c>
      <c r="AJ2102">
        <v>61.706722631149603</v>
      </c>
      <c r="AK2102">
        <v>38.3357966502941</v>
      </c>
    </row>
    <row r="2103" spans="1:37" x14ac:dyDescent="0.2">
      <c r="A2103" t="str">
        <f>"20200111150633721"</f>
        <v>20200111150633721</v>
      </c>
      <c r="B2103" t="str">
        <f>"1578726393708670"</f>
        <v>1578726393708670</v>
      </c>
      <c r="C2103" t="s">
        <v>37</v>
      </c>
      <c r="D2103">
        <v>4.6964399999999999</v>
      </c>
      <c r="E2103">
        <v>0.68583179999999999</v>
      </c>
      <c r="F2103" t="s">
        <v>39</v>
      </c>
      <c r="G2103">
        <v>-297.3879</v>
      </c>
      <c r="H2103" s="1">
        <v>-3.62523599999999E-6</v>
      </c>
      <c r="I2103">
        <v>-2.7341439999999899</v>
      </c>
      <c r="J2103">
        <v>-324.14510000000001</v>
      </c>
      <c r="K2103">
        <v>1.093072</v>
      </c>
      <c r="L2103">
        <v>20.618320000000001</v>
      </c>
      <c r="M2103">
        <v>0.97533300000000001</v>
      </c>
      <c r="N2103">
        <v>0</v>
      </c>
      <c r="O2103">
        <v>-0.22031629999999999</v>
      </c>
      <c r="P2103">
        <v>0.95308890000000002</v>
      </c>
      <c r="Q2103">
        <v>0.16049749999999999</v>
      </c>
      <c r="R2103">
        <v>-0.25663619999999998</v>
      </c>
      <c r="S2103">
        <v>2.58172599999999</v>
      </c>
      <c r="T2103">
        <v>-0.10421709999999999</v>
      </c>
      <c r="U2103">
        <v>-2.2337950000000002</v>
      </c>
      <c r="V2103">
        <v>4.4676300000000002E-2</v>
      </c>
      <c r="W2103">
        <v>0.1728712</v>
      </c>
      <c r="X2103">
        <v>0.98393059999999999</v>
      </c>
      <c r="Y2103">
        <v>0.47149340000000001</v>
      </c>
      <c r="Z2103">
        <v>-7.3403819999999997E-4</v>
      </c>
      <c r="AA2103">
        <v>0.88186929999999997</v>
      </c>
      <c r="AB2103">
        <v>34</v>
      </c>
      <c r="AC2103">
        <v>26.757200000000001</v>
      </c>
      <c r="AD2103">
        <v>-1.0930756252360001</v>
      </c>
      <c r="AE2103">
        <v>-23.352464000000001</v>
      </c>
      <c r="AF2103">
        <v>16.866975841254</v>
      </c>
      <c r="AG2103">
        <v>-1.0930756252360001</v>
      </c>
      <c r="AH2103">
        <v>31.215448343606699</v>
      </c>
      <c r="AI2103">
        <v>91.764574681763307</v>
      </c>
      <c r="AJ2103">
        <v>61.615844243995603</v>
      </c>
      <c r="AK2103">
        <v>35.497801391696299</v>
      </c>
    </row>
    <row r="2104" spans="1:37" x14ac:dyDescent="0.2">
      <c r="A2104" t="str">
        <f>"20200111150633741"</f>
        <v>20200111150633741</v>
      </c>
      <c r="B2104" t="str">
        <f>"1578726393738927"</f>
        <v>1578726393738927</v>
      </c>
      <c r="C2104" t="s">
        <v>37</v>
      </c>
      <c r="D2104">
        <v>4.7283480000000004</v>
      </c>
      <c r="E2104">
        <v>0.68466159999999998</v>
      </c>
      <c r="F2104" t="s">
        <v>39</v>
      </c>
      <c r="G2104">
        <v>-297.11680000000001</v>
      </c>
      <c r="H2104" s="1">
        <v>-3.4338859999999999E-6</v>
      </c>
      <c r="I2104">
        <v>-3.2406769999999998</v>
      </c>
      <c r="J2104">
        <v>-323.81880000000001</v>
      </c>
      <c r="K2104">
        <v>1.0929219999999999</v>
      </c>
      <c r="L2104">
        <v>20.53406</v>
      </c>
      <c r="M2104">
        <v>0.97275519999999904</v>
      </c>
      <c r="N2104">
        <v>0</v>
      </c>
      <c r="O2104">
        <v>-0.23143150000000001</v>
      </c>
      <c r="P2104">
        <v>0.94991599999999998</v>
      </c>
      <c r="Q2104">
        <v>0.16153519999999999</v>
      </c>
      <c r="R2104">
        <v>-0.26751799999999998</v>
      </c>
      <c r="S2104">
        <v>2.5572509999999999</v>
      </c>
      <c r="T2104">
        <v>-0.10341980000000001</v>
      </c>
      <c r="U2104">
        <v>-2.25738499999999</v>
      </c>
      <c r="V2104">
        <v>4.4830259999999997E-2</v>
      </c>
      <c r="W2104">
        <v>0.17391799999999999</v>
      </c>
      <c r="X2104">
        <v>0.98373920000000004</v>
      </c>
      <c r="Y2104">
        <v>0.47018919999999997</v>
      </c>
      <c r="Z2104">
        <v>-3.4934050000000002E-4</v>
      </c>
      <c r="AA2104">
        <v>0.88256559999999995</v>
      </c>
      <c r="AB2104">
        <v>34</v>
      </c>
      <c r="AC2104">
        <v>26.701999999999899</v>
      </c>
      <c r="AD2104">
        <v>-1.0929254338859999</v>
      </c>
      <c r="AE2104">
        <v>-23.774736999999998</v>
      </c>
      <c r="AF2104">
        <v>16.933074445047598</v>
      </c>
      <c r="AG2104">
        <v>-1.0929254338859999</v>
      </c>
      <c r="AH2104">
        <v>31.450282761126601</v>
      </c>
      <c r="AI2104">
        <v>91.752580592002005</v>
      </c>
      <c r="AJ2104">
        <v>61.701635595144602</v>
      </c>
      <c r="AK2104">
        <v>35.735749354398301</v>
      </c>
    </row>
    <row r="2105" spans="1:37" x14ac:dyDescent="0.2">
      <c r="A2105" t="str">
        <f>"20200111150633765"</f>
        <v>20200111150633765</v>
      </c>
      <c r="B2105" t="str">
        <f>"1578726393758446"</f>
        <v>1578726393758446</v>
      </c>
      <c r="C2105" t="s">
        <v>37</v>
      </c>
      <c r="D2105">
        <v>4.7146520000000001</v>
      </c>
      <c r="E2105">
        <v>0.68358739999999996</v>
      </c>
      <c r="F2105" t="s">
        <v>39</v>
      </c>
      <c r="G2105">
        <v>-295.57659999999998</v>
      </c>
      <c r="H2105" s="1">
        <v>-2.93680799999999E-6</v>
      </c>
      <c r="I2105">
        <v>-4.8701930000000004</v>
      </c>
      <c r="J2105">
        <v>-323.47559999999999</v>
      </c>
      <c r="K2105">
        <v>1.0927639999999901</v>
      </c>
      <c r="L2105">
        <v>20.441009999999999</v>
      </c>
      <c r="M2105">
        <v>0.96985719999999997</v>
      </c>
      <c r="N2105">
        <v>0</v>
      </c>
      <c r="O2105">
        <v>-0.2432888</v>
      </c>
      <c r="P2105">
        <v>0.9463125</v>
      </c>
      <c r="Q2105">
        <v>0.162165</v>
      </c>
      <c r="R2105">
        <v>-0.2796341</v>
      </c>
      <c r="S2105">
        <v>2.5331730000000001</v>
      </c>
      <c r="T2105">
        <v>-9.8029489999999997E-2</v>
      </c>
      <c r="U2105">
        <v>-2.2786249999999999</v>
      </c>
      <c r="V2105">
        <v>4.550092E-2</v>
      </c>
      <c r="W2105">
        <v>0.174545799999999</v>
      </c>
      <c r="X2105">
        <v>0.98359719999999995</v>
      </c>
      <c r="Y2105">
        <v>0.46768199999999999</v>
      </c>
      <c r="Z2105" s="1">
        <v>7.2477390000000004E-5</v>
      </c>
      <c r="AA2105">
        <v>0.88389680000000004</v>
      </c>
      <c r="AB2105">
        <v>34</v>
      </c>
      <c r="AC2105">
        <v>27.899000000000001</v>
      </c>
      <c r="AD2105">
        <v>-1.09276693680799</v>
      </c>
      <c r="AE2105">
        <v>-25.311202999999999</v>
      </c>
      <c r="AF2105">
        <v>17.747469160397301</v>
      </c>
      <c r="AG2105">
        <v>-1.09276693680799</v>
      </c>
      <c r="AH2105">
        <v>33.191162511774898</v>
      </c>
      <c r="AI2105">
        <v>91.663031980241698</v>
      </c>
      <c r="AJ2105">
        <v>61.866376667540699</v>
      </c>
      <c r="AK2105">
        <v>37.653951586260902</v>
      </c>
    </row>
    <row r="2106" spans="1:37" x14ac:dyDescent="0.2">
      <c r="A2106" t="str">
        <f>"20200111150633787"</f>
        <v>20200111150633787</v>
      </c>
      <c r="B2106" t="str">
        <f>"1578726393778941"</f>
        <v>1578726393778941</v>
      </c>
      <c r="C2106" t="s">
        <v>37</v>
      </c>
      <c r="D2106">
        <v>4.7581489999999897</v>
      </c>
      <c r="E2106">
        <v>0.66206359999999997</v>
      </c>
      <c r="F2106" t="s">
        <v>39</v>
      </c>
      <c r="G2106">
        <v>-294.61020000000002</v>
      </c>
      <c r="H2106" s="1">
        <v>-2.6268730000000001E-6</v>
      </c>
      <c r="I2106">
        <v>-6.0853539999999997</v>
      </c>
      <c r="J2106">
        <v>-323.14609999999999</v>
      </c>
      <c r="K2106">
        <v>1.092614</v>
      </c>
      <c r="L2106">
        <v>20.347349999999999</v>
      </c>
      <c r="M2106">
        <v>0.96688719999999995</v>
      </c>
      <c r="N2106">
        <v>0</v>
      </c>
      <c r="O2106">
        <v>-0.25483449999999902</v>
      </c>
      <c r="P2106">
        <v>0.94236730000000002</v>
      </c>
      <c r="Q2106">
        <v>0.161994</v>
      </c>
      <c r="R2106">
        <v>-0.29274899999999998</v>
      </c>
      <c r="S2106">
        <v>2.5059200000000001</v>
      </c>
      <c r="T2106">
        <v>-9.4867350000000003E-2</v>
      </c>
      <c r="U2106">
        <v>-2.3028559999999998</v>
      </c>
      <c r="V2106">
        <v>4.7486830000000001E-2</v>
      </c>
      <c r="W2106">
        <v>0.1743392</v>
      </c>
      <c r="X2106">
        <v>0.98353989999999902</v>
      </c>
      <c r="Y2106">
        <v>0.46656579999999898</v>
      </c>
      <c r="Z2106">
        <v>4.3063010000000002E-4</v>
      </c>
      <c r="AA2106">
        <v>0.88448640000000001</v>
      </c>
      <c r="AB2106">
        <v>34</v>
      </c>
      <c r="AC2106">
        <v>28.535899999999899</v>
      </c>
      <c r="AD2106">
        <v>-1.092616626873</v>
      </c>
      <c r="AE2106">
        <v>-26.432703999999902</v>
      </c>
      <c r="AF2106">
        <v>18.272817142391499</v>
      </c>
      <c r="AG2106">
        <v>-1.092616626873</v>
      </c>
      <c r="AH2106">
        <v>34.303130819091699</v>
      </c>
      <c r="AI2106">
        <v>91.610279410035304</v>
      </c>
      <c r="AJ2106">
        <v>61.956371208753801</v>
      </c>
      <c r="AK2106">
        <v>38.881800902277099</v>
      </c>
    </row>
    <row r="2107" spans="1:37" x14ac:dyDescent="0.2">
      <c r="A2107" t="str">
        <f>"20200111150633809"</f>
        <v>20200111150633809</v>
      </c>
      <c r="B2107" t="str">
        <f>"1578726393798461"</f>
        <v>1578726393798461</v>
      </c>
      <c r="C2107" t="s">
        <v>37</v>
      </c>
      <c r="D2107">
        <v>4.6751370000000003</v>
      </c>
      <c r="E2107">
        <v>0.66471959999999997</v>
      </c>
      <c r="F2107" t="s">
        <v>87</v>
      </c>
      <c r="G2107">
        <v>-279.02</v>
      </c>
      <c r="H2107">
        <v>0.46965980000000002</v>
      </c>
      <c r="I2107">
        <v>-17.639939999999999</v>
      </c>
      <c r="J2107">
        <v>-322.82240000000002</v>
      </c>
      <c r="K2107">
        <v>1.092473</v>
      </c>
      <c r="L2107">
        <v>20.251100000000001</v>
      </c>
      <c r="M2107">
        <v>0.96378989999999998</v>
      </c>
      <c r="N2107">
        <v>0</v>
      </c>
      <c r="O2107">
        <v>-0.26630769999999998</v>
      </c>
      <c r="P2107">
        <v>0.93805629999999995</v>
      </c>
      <c r="Q2107">
        <v>0.16188749999999999</v>
      </c>
      <c r="R2107">
        <v>-0.3063382</v>
      </c>
      <c r="S2107">
        <v>2.5165410000000001</v>
      </c>
      <c r="T2107">
        <v>-3.5527469999999998E-2</v>
      </c>
      <c r="U2107">
        <v>-2.1664430000000001</v>
      </c>
      <c r="V2107">
        <v>5.0065940000000003E-2</v>
      </c>
      <c r="W2107">
        <v>0.1741791</v>
      </c>
      <c r="X2107">
        <v>0.98344039999999999</v>
      </c>
      <c r="Y2107">
        <v>0.42700759999999999</v>
      </c>
      <c r="Z2107">
        <v>5.3700109999999998E-4</v>
      </c>
      <c r="AA2107">
        <v>0.90424789999999899</v>
      </c>
      <c r="AB2107">
        <v>34</v>
      </c>
      <c r="AC2107">
        <v>43.802399999999999</v>
      </c>
      <c r="AD2107">
        <v>-0.62281319999999996</v>
      </c>
      <c r="AE2107">
        <v>-37.891039999999997</v>
      </c>
      <c r="AF2107">
        <v>24.853563217510199</v>
      </c>
      <c r="AG2107">
        <v>-0.62281319999999996</v>
      </c>
      <c r="AH2107">
        <v>52.305887770090997</v>
      </c>
      <c r="AI2107">
        <v>90.616180160306698</v>
      </c>
      <c r="AJ2107">
        <v>64.584894162746906</v>
      </c>
      <c r="AK2107">
        <v>57.913671929055099</v>
      </c>
    </row>
    <row r="2108" spans="1:37" x14ac:dyDescent="0.2">
      <c r="A2108" t="str">
        <f>"20200111150633830"</f>
        <v>20200111150633830</v>
      </c>
      <c r="B2108" t="str">
        <f>"1578726393818957"</f>
        <v>1578726393818957</v>
      </c>
      <c r="C2108" t="s">
        <v>37</v>
      </c>
      <c r="D2108">
        <v>5.0611360000000003</v>
      </c>
      <c r="E2108">
        <v>0.66328909999999996</v>
      </c>
      <c r="F2108" t="s">
        <v>39</v>
      </c>
      <c r="G2108">
        <v>-288.71969999999999</v>
      </c>
      <c r="H2108">
        <v>7.9985870000000001E-2</v>
      </c>
      <c r="I2108">
        <v>-10.30298</v>
      </c>
      <c r="J2108">
        <v>-322.50729999999999</v>
      </c>
      <c r="K2108">
        <v>1.0923479999999901</v>
      </c>
      <c r="L2108">
        <v>20.153199999999998</v>
      </c>
      <c r="M2108">
        <v>0.96060040000000002</v>
      </c>
      <c r="N2108">
        <v>0</v>
      </c>
      <c r="O2108">
        <v>-0.27759050000000002</v>
      </c>
      <c r="P2108">
        <v>0.93362690000000004</v>
      </c>
      <c r="Q2108">
        <v>0.1615617</v>
      </c>
      <c r="R2108">
        <v>-0.31974770000000002</v>
      </c>
      <c r="S2108">
        <v>2.4840390000000001</v>
      </c>
      <c r="T2108">
        <v>-7.3749419999999996E-2</v>
      </c>
      <c r="U2108">
        <v>-2.2255549999999999</v>
      </c>
      <c r="V2108">
        <v>5.2654989999999999E-2</v>
      </c>
      <c r="W2108">
        <v>0.17379729999999999</v>
      </c>
      <c r="X2108">
        <v>0.98337269999999899</v>
      </c>
      <c r="Y2108">
        <v>0.43425799999999998</v>
      </c>
      <c r="Z2108">
        <v>1.2853599999999999E-3</v>
      </c>
      <c r="AA2108">
        <v>0.90078769999999997</v>
      </c>
      <c r="AB2108">
        <v>34</v>
      </c>
      <c r="AC2108">
        <v>33.787599999999998</v>
      </c>
      <c r="AD2108">
        <v>-1.0123621300000001</v>
      </c>
      <c r="AE2108">
        <v>-30.45618</v>
      </c>
      <c r="AF2108">
        <v>19.869153037114799</v>
      </c>
      <c r="AG2108">
        <v>-1.0123621300000001</v>
      </c>
      <c r="AH2108">
        <v>40.894368062765302</v>
      </c>
      <c r="AI2108">
        <v>91.275565013147101</v>
      </c>
      <c r="AJ2108">
        <v>64.086493117167606</v>
      </c>
      <c r="AK2108">
        <v>45.476999227603699</v>
      </c>
    </row>
    <row r="2109" spans="1:37" x14ac:dyDescent="0.2">
      <c r="A2109" t="str">
        <f>"20200111150633854"</f>
        <v>20200111150633854</v>
      </c>
      <c r="B2109" t="str">
        <f>"1578726393849214"</f>
        <v>1578726393849214</v>
      </c>
      <c r="C2109" t="s">
        <v>37</v>
      </c>
      <c r="D2109">
        <v>4.6484069999999997</v>
      </c>
      <c r="E2109">
        <v>0.70168109999999995</v>
      </c>
      <c r="F2109" t="s">
        <v>87</v>
      </c>
      <c r="G2109">
        <v>-279.02</v>
      </c>
      <c r="H2109">
        <v>3.7220010000000001</v>
      </c>
      <c r="I2109">
        <v>-19.774470000000001</v>
      </c>
      <c r="J2109">
        <v>-322.17140000000001</v>
      </c>
      <c r="K2109">
        <v>1.0922419999999999</v>
      </c>
      <c r="L2109">
        <v>20.044309999999999</v>
      </c>
      <c r="M2109">
        <v>0.95701229999999904</v>
      </c>
      <c r="N2109">
        <v>0</v>
      </c>
      <c r="O2109">
        <v>-0.28971829999999998</v>
      </c>
      <c r="P2109">
        <v>0.92900930000000004</v>
      </c>
      <c r="Q2109">
        <v>0.16176470000000001</v>
      </c>
      <c r="R2109">
        <v>-0.3328276</v>
      </c>
      <c r="S2109">
        <v>2.425262</v>
      </c>
      <c r="T2109">
        <v>0.14665439999999999</v>
      </c>
      <c r="U2109">
        <v>-2.2267459999999999</v>
      </c>
      <c r="V2109">
        <v>5.4088780000000003E-2</v>
      </c>
      <c r="W2109">
        <v>0.17397290000000001</v>
      </c>
      <c r="X2109">
        <v>0.98326389999999997</v>
      </c>
      <c r="Y2109">
        <v>0.43373420000000001</v>
      </c>
      <c r="Z2109">
        <v>-3.1777209999999901E-3</v>
      </c>
      <c r="AA2109">
        <v>0.90103519999999904</v>
      </c>
      <c r="AB2109">
        <v>34</v>
      </c>
      <c r="AC2109">
        <v>43.151400000000002</v>
      </c>
      <c r="AD2109">
        <v>2.629759</v>
      </c>
      <c r="AE2109">
        <v>-39.818779999999997</v>
      </c>
      <c r="AF2109">
        <v>25.556489859004699</v>
      </c>
      <c r="AG2109">
        <v>2.629759</v>
      </c>
      <c r="AH2109">
        <v>52.731912822500902</v>
      </c>
      <c r="AI2109">
        <v>87.430429776717403</v>
      </c>
      <c r="AJ2109">
        <v>64.142879600901594</v>
      </c>
      <c r="AK2109">
        <v>58.657518156084002</v>
      </c>
    </row>
    <row r="2110" spans="1:37" x14ac:dyDescent="0.2">
      <c r="A2110" t="str">
        <f>"20200111150633876"</f>
        <v>20200111150633876</v>
      </c>
      <c r="B2110" t="str">
        <f>"1578726393868734"</f>
        <v>1578726393868734</v>
      </c>
      <c r="C2110" t="s">
        <v>37</v>
      </c>
      <c r="D2110">
        <v>4.6810599999999898</v>
      </c>
      <c r="E2110">
        <v>0.72686759999999995</v>
      </c>
      <c r="F2110" t="s">
        <v>52</v>
      </c>
      <c r="G2110">
        <v>-282.32900000000001</v>
      </c>
      <c r="H2110">
        <v>4.6921029999999897</v>
      </c>
      <c r="I2110">
        <v>-24.340479999999999</v>
      </c>
      <c r="J2110">
        <v>-321.83969999999999</v>
      </c>
      <c r="K2110">
        <v>1.0921540000000001</v>
      </c>
      <c r="L2110">
        <v>19.931850000000001</v>
      </c>
      <c r="M2110">
        <v>0.95327850000000003</v>
      </c>
      <c r="N2110">
        <v>0</v>
      </c>
      <c r="O2110">
        <v>-0.30177609999999999</v>
      </c>
      <c r="P2110">
        <v>0.92414219999999903</v>
      </c>
      <c r="Q2110">
        <v>0.1605916</v>
      </c>
      <c r="R2110">
        <v>-0.34665829999999997</v>
      </c>
      <c r="S2110">
        <v>2.28241</v>
      </c>
      <c r="T2110">
        <v>0.20622190000000001</v>
      </c>
      <c r="U2110">
        <v>-2.5426329999999999</v>
      </c>
      <c r="V2110">
        <v>5.6299710000000003E-2</v>
      </c>
      <c r="W2110">
        <v>0.17275190000000001</v>
      </c>
      <c r="X2110">
        <v>0.98335499999999998</v>
      </c>
      <c r="Y2110">
        <v>0.50749359999999999</v>
      </c>
      <c r="Z2110">
        <v>-2.5274849999999999E-3</v>
      </c>
      <c r="AA2110">
        <v>0.86165179999999997</v>
      </c>
      <c r="AB2110">
        <v>34</v>
      </c>
      <c r="AC2110">
        <v>39.5106999999999</v>
      </c>
      <c r="AD2110">
        <v>3.5999489999999899</v>
      </c>
      <c r="AE2110">
        <v>-44.272329999999997</v>
      </c>
      <c r="AF2110">
        <v>30.172321863987001</v>
      </c>
      <c r="AG2110">
        <v>3.5999489999999899</v>
      </c>
      <c r="AH2110">
        <v>50.842784558888901</v>
      </c>
      <c r="AI2110">
        <v>86.515525547297599</v>
      </c>
      <c r="AJ2110">
        <v>59.313261502187501</v>
      </c>
      <c r="AK2110">
        <v>59.231050819382098</v>
      </c>
    </row>
    <row r="2111" spans="1:37" x14ac:dyDescent="0.2">
      <c r="A2111" t="str">
        <f>"20200111150633898"</f>
        <v>20200111150633898</v>
      </c>
      <c r="B2111" t="str">
        <f>"1578726393889230"</f>
        <v>1578726393889230</v>
      </c>
      <c r="C2111" t="s">
        <v>37</v>
      </c>
      <c r="D2111">
        <v>4.6580690000000002</v>
      </c>
      <c r="E2111">
        <v>0.72938979999999998</v>
      </c>
      <c r="F2111" t="s">
        <v>39</v>
      </c>
      <c r="G2111">
        <v>-300.79050000000001</v>
      </c>
      <c r="H2111" s="1">
        <v>-1.5549139999999899E-6</v>
      </c>
      <c r="I2111">
        <v>-6.6182259999999902</v>
      </c>
      <c r="J2111">
        <v>-321.51409999999998</v>
      </c>
      <c r="K2111">
        <v>1.092079</v>
      </c>
      <c r="L2111">
        <v>19.816859999999998</v>
      </c>
      <c r="M2111">
        <v>0.94943029999999995</v>
      </c>
      <c r="N2111">
        <v>0</v>
      </c>
      <c r="O2111">
        <v>-0.31367109999999998</v>
      </c>
      <c r="P2111">
        <v>0.91945169999999998</v>
      </c>
      <c r="Q2111">
        <v>0.15954189999999999</v>
      </c>
      <c r="R2111">
        <v>-0.35938100000000001</v>
      </c>
      <c r="S2111">
        <v>2.2172239999999999</v>
      </c>
      <c r="T2111">
        <v>-0.11504259999999999</v>
      </c>
      <c r="U2111">
        <v>-2.7966609999999998</v>
      </c>
      <c r="V2111">
        <v>5.7521429999999998E-2</v>
      </c>
      <c r="W2111">
        <v>0.17168</v>
      </c>
      <c r="X2111">
        <v>0.98347199999999901</v>
      </c>
      <c r="Y2111">
        <v>0.54904909999999996</v>
      </c>
      <c r="Z2111">
        <v>9.5770139999999996E-4</v>
      </c>
      <c r="AA2111">
        <v>0.83578949999999996</v>
      </c>
      <c r="AB2111">
        <v>34</v>
      </c>
      <c r="AC2111">
        <v>20.723599999999902</v>
      </c>
      <c r="AD2111">
        <v>-1.092080554914</v>
      </c>
      <c r="AE2111">
        <v>-26.435085999999998</v>
      </c>
      <c r="AF2111">
        <v>18.580028103956199</v>
      </c>
      <c r="AG2111">
        <v>-1.092080554914</v>
      </c>
      <c r="AH2111">
        <v>27.940694716707799</v>
      </c>
      <c r="AI2111">
        <v>91.864121207753698</v>
      </c>
      <c r="AJ2111">
        <v>56.376852958173501</v>
      </c>
      <c r="AK2111">
        <v>33.5721984018695</v>
      </c>
    </row>
    <row r="2112" spans="1:37" x14ac:dyDescent="0.2">
      <c r="A2112" t="str">
        <f>"20200111150633921"</f>
        <v>20200111150633921</v>
      </c>
      <c r="B2112" t="str">
        <f>"1578726393908750"</f>
        <v>1578726393908750</v>
      </c>
      <c r="C2112" t="s">
        <v>37</v>
      </c>
      <c r="D2112">
        <v>4.7311540000000001</v>
      </c>
      <c r="E2112">
        <v>0.73052950000000005</v>
      </c>
      <c r="F2112" t="s">
        <v>39</v>
      </c>
      <c r="G2112">
        <v>-300.2174</v>
      </c>
      <c r="H2112" s="1">
        <v>-7.0367140000000005E-7</v>
      </c>
      <c r="I2112">
        <v>-8.0964469999999995</v>
      </c>
      <c r="J2112">
        <v>-321.19819999999999</v>
      </c>
      <c r="K2112">
        <v>1.0920209999999999</v>
      </c>
      <c r="L2112">
        <v>19.701170000000001</v>
      </c>
      <c r="M2112">
        <v>0.94538809999999995</v>
      </c>
      <c r="N2112">
        <v>0</v>
      </c>
      <c r="O2112">
        <v>-0.32566050000000002</v>
      </c>
      <c r="P2112">
        <v>0.91464419999999902</v>
      </c>
      <c r="Q2112">
        <v>0.15951750000000001</v>
      </c>
      <c r="R2112">
        <v>-0.37145699999999998</v>
      </c>
      <c r="S2112">
        <v>2.1702880000000002</v>
      </c>
      <c r="T2112">
        <v>-0.1112911</v>
      </c>
      <c r="U2112">
        <v>-2.8445740000000002</v>
      </c>
      <c r="V2112">
        <v>5.8020870000000002E-2</v>
      </c>
      <c r="W2112">
        <v>0.17144470000000001</v>
      </c>
      <c r="X2112">
        <v>0.98348369999999996</v>
      </c>
      <c r="Y2112">
        <v>0.55401990000000001</v>
      </c>
      <c r="Z2112">
        <v>1.2390979999999999E-3</v>
      </c>
      <c r="AA2112">
        <v>0.83250249999999903</v>
      </c>
      <c r="AB2112">
        <v>34</v>
      </c>
      <c r="AC2112">
        <v>20.980799999999899</v>
      </c>
      <c r="AD2112">
        <v>-1.0920217036713999</v>
      </c>
      <c r="AE2112">
        <v>-27.797616999999999</v>
      </c>
      <c r="AF2112">
        <v>19.429629951538299</v>
      </c>
      <c r="AG2112">
        <v>-1.0920217036713999</v>
      </c>
      <c r="AH2112">
        <v>28.8619030808666</v>
      </c>
      <c r="AI2112">
        <v>91.797733754556404</v>
      </c>
      <c r="AJ2112">
        <v>56.0518376942738</v>
      </c>
      <c r="AK2112">
        <v>34.809660741011903</v>
      </c>
    </row>
    <row r="2113" spans="1:37" x14ac:dyDescent="0.2">
      <c r="A2113" t="str">
        <f>"20200111150633943"</f>
        <v>20200111150633943</v>
      </c>
      <c r="B2113" t="str">
        <f>"1578726393939006"</f>
        <v>1578726393939006</v>
      </c>
      <c r="C2113" t="s">
        <v>37</v>
      </c>
      <c r="D2113">
        <v>4.7779069999999999</v>
      </c>
      <c r="E2113">
        <v>0.73011000000000004</v>
      </c>
      <c r="F2113" t="s">
        <v>39</v>
      </c>
      <c r="G2113">
        <v>-299.3664</v>
      </c>
      <c r="H2113" s="1">
        <v>8.4713289999999899E-8</v>
      </c>
      <c r="I2113">
        <v>-9.8510580000000001</v>
      </c>
      <c r="J2113">
        <v>-320.86619999999999</v>
      </c>
      <c r="K2113">
        <v>1.091858</v>
      </c>
      <c r="L2113">
        <v>19.57535</v>
      </c>
      <c r="M2113">
        <v>0.94059689999999996</v>
      </c>
      <c r="N2113">
        <v>0</v>
      </c>
      <c r="O2113">
        <v>-0.33927229999999903</v>
      </c>
      <c r="P2113">
        <v>0.90895879999999996</v>
      </c>
      <c r="Q2113">
        <v>0.16056819999999999</v>
      </c>
      <c r="R2113">
        <v>-0.38472289999999998</v>
      </c>
      <c r="S2113">
        <v>2.1284480000000001</v>
      </c>
      <c r="T2113">
        <v>-0.1064643</v>
      </c>
      <c r="U2113">
        <v>-2.8811339999999999</v>
      </c>
      <c r="V2113">
        <v>5.820529E-2</v>
      </c>
      <c r="W2113">
        <v>0.1719511</v>
      </c>
      <c r="X2113">
        <v>0.98338440000000005</v>
      </c>
      <c r="Y2113">
        <v>0.55490430000000002</v>
      </c>
      <c r="Z2113">
        <v>1.6153470000000001E-3</v>
      </c>
      <c r="AA2113">
        <v>0.8319126</v>
      </c>
      <c r="AB2113">
        <v>34</v>
      </c>
      <c r="AC2113">
        <v>21.4998</v>
      </c>
      <c r="AD2113">
        <v>-1.0918579152867101</v>
      </c>
      <c r="AE2113">
        <v>-29.426407999999999</v>
      </c>
      <c r="AF2113">
        <v>20.367570584561001</v>
      </c>
      <c r="AG2113">
        <v>-1.0918579152867101</v>
      </c>
      <c r="AH2113">
        <v>30.181713922338702</v>
      </c>
      <c r="AI2113">
        <v>91.717607475008506</v>
      </c>
      <c r="AJ2113">
        <v>55.9872838693814</v>
      </c>
      <c r="AK2113">
        <v>36.427543706845498</v>
      </c>
    </row>
    <row r="2114" spans="1:37" x14ac:dyDescent="0.2">
      <c r="A2114" t="str">
        <f>"20200111150633966"</f>
        <v>20200111150633966</v>
      </c>
      <c r="B2114" t="str">
        <f>"1578726393958525"</f>
        <v>1578726393958525</v>
      </c>
      <c r="C2114" t="s">
        <v>37</v>
      </c>
      <c r="D2114">
        <v>4.7808789999999997</v>
      </c>
      <c r="E2114">
        <v>0.729966</v>
      </c>
      <c r="F2114" t="s">
        <v>39</v>
      </c>
      <c r="G2114">
        <v>-299.07089999999999</v>
      </c>
      <c r="H2114" s="1">
        <v>-4.2721040000000003E-6</v>
      </c>
      <c r="I2114">
        <v>-10.793010000000001</v>
      </c>
      <c r="J2114">
        <v>-320.5292</v>
      </c>
      <c r="K2114">
        <v>1.091353</v>
      </c>
      <c r="L2114">
        <v>19.443079999999998</v>
      </c>
      <c r="M2114">
        <v>0.93552749999999996</v>
      </c>
      <c r="N2114">
        <v>0</v>
      </c>
      <c r="O2114">
        <v>-0.35302319999999998</v>
      </c>
      <c r="P2114">
        <v>0.90335769999999904</v>
      </c>
      <c r="Q2114">
        <v>0.1613646</v>
      </c>
      <c r="R2114">
        <v>-0.39737470000000003</v>
      </c>
      <c r="S2114">
        <v>2.0877379999999999</v>
      </c>
      <c r="T2114">
        <v>-0.10458769999999901</v>
      </c>
      <c r="U2114">
        <v>-2.9089360000000002</v>
      </c>
      <c r="V2114">
        <v>5.7692590000000002E-2</v>
      </c>
      <c r="W2114">
        <v>0.1723874</v>
      </c>
      <c r="X2114">
        <v>0.98333819999999905</v>
      </c>
      <c r="Y2114">
        <v>0.55416580000000004</v>
      </c>
      <c r="Z2114">
        <v>2.047222E-3</v>
      </c>
      <c r="AA2114">
        <v>0.83240380000000003</v>
      </c>
      <c r="AB2114">
        <v>34</v>
      </c>
      <c r="AC2114">
        <v>21.458300000000001</v>
      </c>
      <c r="AD2114">
        <v>-1.0913572721039999</v>
      </c>
      <c r="AE2114">
        <v>-30.236090000000001</v>
      </c>
      <c r="AF2114">
        <v>20.695172410521799</v>
      </c>
      <c r="AG2114">
        <v>-1.0913572721039999</v>
      </c>
      <c r="AH2114">
        <v>30.7247552832822</v>
      </c>
      <c r="AI2114">
        <v>91.687482705228206</v>
      </c>
      <c r="AJ2114">
        <v>56.037104050066198</v>
      </c>
      <c r="AK2114">
        <v>37.060650412724499</v>
      </c>
    </row>
    <row r="2115" spans="1:37" x14ac:dyDescent="0.2">
      <c r="A2115" t="str">
        <f>"20200111150633987"</f>
        <v>20200111150633987</v>
      </c>
      <c r="B2115" t="str">
        <f>"1578726393979021"</f>
        <v>1578726393979021</v>
      </c>
      <c r="C2115" t="s">
        <v>37</v>
      </c>
      <c r="D2115">
        <v>4.7144659999999998</v>
      </c>
      <c r="E2115">
        <v>0.72979919999999998</v>
      </c>
      <c r="F2115" t="s">
        <v>39</v>
      </c>
      <c r="G2115">
        <v>-299.04770000000002</v>
      </c>
      <c r="H2115" s="1">
        <v>-4.0303199999999999E-6</v>
      </c>
      <c r="I2115">
        <v>-11.366199999999999</v>
      </c>
      <c r="J2115">
        <v>-320.21409999999997</v>
      </c>
      <c r="K2115">
        <v>1.0905049999999901</v>
      </c>
      <c r="L2115">
        <v>19.315000000000001</v>
      </c>
      <c r="M2115">
        <v>0.93084009999999995</v>
      </c>
      <c r="N2115">
        <v>0</v>
      </c>
      <c r="O2115">
        <v>-0.3652029</v>
      </c>
      <c r="P2115">
        <v>0.89829429999999999</v>
      </c>
      <c r="Q2115">
        <v>0.16226869999999999</v>
      </c>
      <c r="R2115">
        <v>-0.40833370000000002</v>
      </c>
      <c r="S2115">
        <v>2.0476380000000001</v>
      </c>
      <c r="T2115">
        <v>-0.1040291</v>
      </c>
      <c r="U2115">
        <v>-2.9367679999999998</v>
      </c>
      <c r="V2115">
        <v>5.7119929999999999E-2</v>
      </c>
      <c r="W2115">
        <v>0.17326810000000001</v>
      </c>
      <c r="X2115">
        <v>0.98321689999999995</v>
      </c>
      <c r="Y2115">
        <v>0.554654599999999</v>
      </c>
      <c r="Z2115">
        <v>2.4229189999999999E-3</v>
      </c>
      <c r="AA2115">
        <v>0.83207710000000001</v>
      </c>
      <c r="AB2115">
        <v>34</v>
      </c>
      <c r="AC2115">
        <v>21.1663999999999</v>
      </c>
      <c r="AD2115">
        <v>-1.09050903031999</v>
      </c>
      <c r="AE2115">
        <v>-30.6812</v>
      </c>
      <c r="AF2115">
        <v>20.813149215969801</v>
      </c>
      <c r="AG2115">
        <v>-1.09050903031999</v>
      </c>
      <c r="AH2115">
        <v>30.8834902891249</v>
      </c>
      <c r="AI2115">
        <v>91.677232109853094</v>
      </c>
      <c r="AJ2115">
        <v>56.022993764944601</v>
      </c>
      <c r="AK2115">
        <v>37.2581046575092</v>
      </c>
    </row>
    <row r="2116" spans="1:37" x14ac:dyDescent="0.2">
      <c r="A2116" t="str">
        <f>"20200111150634009"</f>
        <v>20200111150634009</v>
      </c>
      <c r="B2116" t="str">
        <f>"1578726393998541"</f>
        <v>1578726393998541</v>
      </c>
      <c r="C2116" t="s">
        <v>37</v>
      </c>
      <c r="D2116">
        <v>4.7743229999999999</v>
      </c>
      <c r="E2116">
        <v>0.73039229999999999</v>
      </c>
      <c r="F2116" t="s">
        <v>39</v>
      </c>
      <c r="G2116">
        <v>-298.46440000000001</v>
      </c>
      <c r="H2116" s="1">
        <v>-3.5696550000000001E-6</v>
      </c>
      <c r="I2116">
        <v>-12.68121</v>
      </c>
      <c r="J2116">
        <v>-319.90589999999997</v>
      </c>
      <c r="K2116">
        <v>1.089456</v>
      </c>
      <c r="L2116">
        <v>19.185459999999999</v>
      </c>
      <c r="M2116">
        <v>0.92642630000000004</v>
      </c>
      <c r="N2116">
        <v>0</v>
      </c>
      <c r="O2116">
        <v>-0.3762393</v>
      </c>
      <c r="P2116">
        <v>0.89370699999999903</v>
      </c>
      <c r="Q2116">
        <v>0.16187389999999999</v>
      </c>
      <c r="R2116">
        <v>-0.41843089999999999</v>
      </c>
      <c r="S2116">
        <v>2.0122680000000002</v>
      </c>
      <c r="T2116">
        <v>-0.100893</v>
      </c>
      <c r="U2116">
        <v>-2.9602659999999998</v>
      </c>
      <c r="V2116">
        <v>5.6737210000000003E-2</v>
      </c>
      <c r="W2116">
        <v>0.17336379999999901</v>
      </c>
      <c r="X2116">
        <v>0.98322219999999905</v>
      </c>
      <c r="Y2116">
        <v>0.55464069999999899</v>
      </c>
      <c r="Z2116">
        <v>2.699323E-3</v>
      </c>
      <c r="AA2116">
        <v>0.83208559999999998</v>
      </c>
      <c r="AB2116">
        <v>34</v>
      </c>
      <c r="AC2116">
        <v>21.441499999999898</v>
      </c>
      <c r="AD2116">
        <v>-1.089459569655</v>
      </c>
      <c r="AE2116">
        <v>-31.866669999999999</v>
      </c>
      <c r="AF2116">
        <v>21.4396494636682</v>
      </c>
      <c r="AG2116">
        <v>-1.089459569655</v>
      </c>
      <c r="AH2116">
        <v>31.830693167559499</v>
      </c>
      <c r="AI2116">
        <v>91.626064000425799</v>
      </c>
      <c r="AJ2116">
        <v>56.037656173869699</v>
      </c>
      <c r="AK2116">
        <v>38.393209279847902</v>
      </c>
    </row>
    <row r="2117" spans="1:37" x14ac:dyDescent="0.2">
      <c r="A2117" t="str">
        <f>"20200111150634033"</f>
        <v>20200111150634033</v>
      </c>
      <c r="B2117" t="str">
        <f>"1578726394028797"</f>
        <v>1578726394028797</v>
      </c>
      <c r="C2117" t="s">
        <v>37</v>
      </c>
      <c r="D2117">
        <v>4.7971199999999996</v>
      </c>
      <c r="E2117">
        <v>0.73082480000000005</v>
      </c>
      <c r="F2117" t="s">
        <v>39</v>
      </c>
      <c r="G2117">
        <v>-298.19439999999997</v>
      </c>
      <c r="H2117" s="1">
        <v>-3.2114030000000002E-6</v>
      </c>
      <c r="I2117">
        <v>-13.62795</v>
      </c>
      <c r="J2117">
        <v>-319.59199999999998</v>
      </c>
      <c r="K2117">
        <v>1.08823799999999</v>
      </c>
      <c r="L2117">
        <v>19.04907</v>
      </c>
      <c r="M2117">
        <v>0.92207090000000003</v>
      </c>
      <c r="N2117">
        <v>0</v>
      </c>
      <c r="O2117">
        <v>-0.38675369999999998</v>
      </c>
      <c r="P2117">
        <v>0.88940719999999995</v>
      </c>
      <c r="Q2117">
        <v>0.16022979999999901</v>
      </c>
      <c r="R2117">
        <v>-0.4281143</v>
      </c>
      <c r="S2117">
        <v>1.976318</v>
      </c>
      <c r="T2117">
        <v>-9.9169309999999997E-2</v>
      </c>
      <c r="U2117">
        <v>-2.9868769999999998</v>
      </c>
      <c r="V2117">
        <v>5.6330520000000002E-2</v>
      </c>
      <c r="W2117">
        <v>0.1726847</v>
      </c>
      <c r="X2117">
        <v>0.98336509999999999</v>
      </c>
      <c r="Y2117">
        <v>0.55555829999999995</v>
      </c>
      <c r="Z2117">
        <v>2.9639570000000001E-3</v>
      </c>
      <c r="AA2117">
        <v>0.83147229999999905</v>
      </c>
      <c r="AB2117">
        <v>34</v>
      </c>
      <c r="AC2117">
        <v>21.397600000000001</v>
      </c>
      <c r="AD2117">
        <v>-1.08824121140299</v>
      </c>
      <c r="AE2117">
        <v>-32.677019999999999</v>
      </c>
      <c r="AF2117">
        <v>21.8402354600174</v>
      </c>
      <c r="AG2117">
        <v>-1.08824121140299</v>
      </c>
      <c r="AH2117">
        <v>32.346302014412601</v>
      </c>
      <c r="AI2117">
        <v>91.597149406906397</v>
      </c>
      <c r="AJ2117">
        <v>55.972763399925299</v>
      </c>
      <c r="AK2117">
        <v>39.044377417123599</v>
      </c>
    </row>
    <row r="2118" spans="1:37" x14ac:dyDescent="0.2">
      <c r="A2118" t="str">
        <f>"20200111150634055"</f>
        <v>20200111150634055</v>
      </c>
      <c r="B2118" t="str">
        <f>"1578726394048318"</f>
        <v>1578726394048318</v>
      </c>
      <c r="C2118" t="s">
        <v>37</v>
      </c>
      <c r="D2118">
        <v>4.766394</v>
      </c>
      <c r="E2118">
        <v>0.73011369999999998</v>
      </c>
      <c r="F2118" t="s">
        <v>39</v>
      </c>
      <c r="G2118">
        <v>-299.39190000000002</v>
      </c>
      <c r="H2118" s="1">
        <v>-3.5784339999999898E-6</v>
      </c>
      <c r="I2118">
        <v>-12.277229999999999</v>
      </c>
      <c r="J2118">
        <v>-319.26710000000003</v>
      </c>
      <c r="K2118">
        <v>1.0868249999999999</v>
      </c>
      <c r="L2118">
        <v>18.902650000000001</v>
      </c>
      <c r="M2118">
        <v>0.91759799999999903</v>
      </c>
      <c r="N2118">
        <v>0</v>
      </c>
      <c r="O2118">
        <v>-0.39719749999999998</v>
      </c>
      <c r="P2118">
        <v>0.8849205</v>
      </c>
      <c r="Q2118">
        <v>0.15804599999999999</v>
      </c>
      <c r="R2118">
        <v>-0.43810649999999901</v>
      </c>
      <c r="S2118">
        <v>1.9421389999999901</v>
      </c>
      <c r="T2118">
        <v>-0.10462919999999901</v>
      </c>
      <c r="U2118">
        <v>-3.01187099999999</v>
      </c>
      <c r="V2118">
        <v>5.6260209999999998E-2</v>
      </c>
      <c r="W2118">
        <v>0.171782399999999</v>
      </c>
      <c r="X2118">
        <v>0.98352709999999999</v>
      </c>
      <c r="Y2118">
        <v>0.55592050000000004</v>
      </c>
      <c r="Z2118">
        <v>3.4632929999999901E-3</v>
      </c>
      <c r="AA2118">
        <v>0.83122830000000003</v>
      </c>
      <c r="AB2118">
        <v>34</v>
      </c>
      <c r="AC2118">
        <v>19.8752</v>
      </c>
      <c r="AD2118">
        <v>-1.0868285784339999</v>
      </c>
      <c r="AE2118">
        <v>-31.179880000000001</v>
      </c>
      <c r="AF2118">
        <v>20.700901157393801</v>
      </c>
      <c r="AG2118">
        <v>-1.0868285784339999</v>
      </c>
      <c r="AH2118">
        <v>30.5993766008481</v>
      </c>
      <c r="AI2118">
        <v>91.685062895947596</v>
      </c>
      <c r="AJ2118">
        <v>55.921105396726503</v>
      </c>
      <c r="AK2118">
        <v>36.959847854768299</v>
      </c>
    </row>
    <row r="2119" spans="1:37" x14ac:dyDescent="0.2">
      <c r="A2119" t="str">
        <f>"20200111150634078"</f>
        <v>20200111150634078</v>
      </c>
      <c r="B2119" t="str">
        <f>"1578726394068813"</f>
        <v>1578726394068813</v>
      </c>
      <c r="C2119" t="s">
        <v>37</v>
      </c>
      <c r="D2119">
        <v>4.8003450000000001</v>
      </c>
      <c r="E2119">
        <v>0.7293615</v>
      </c>
      <c r="F2119" t="s">
        <v>39</v>
      </c>
      <c r="G2119">
        <v>-300.75310000000002</v>
      </c>
      <c r="H2119" s="1">
        <v>-4.4106199999999901E-6</v>
      </c>
      <c r="I2119">
        <v>-10.444929999999999</v>
      </c>
      <c r="J2119">
        <v>-318.94630000000001</v>
      </c>
      <c r="K2119">
        <v>1.085377</v>
      </c>
      <c r="L2119">
        <v>18.753050000000002</v>
      </c>
      <c r="M2119">
        <v>0.91298559999999995</v>
      </c>
      <c r="N2119">
        <v>0</v>
      </c>
      <c r="O2119">
        <v>-0.40763240000000001</v>
      </c>
      <c r="P2119">
        <v>0.87995939999999995</v>
      </c>
      <c r="Q2119">
        <v>0.15629270000000001</v>
      </c>
      <c r="R2119">
        <v>-0.44860240000000001</v>
      </c>
      <c r="S2119">
        <v>1.9106749999999999</v>
      </c>
      <c r="T2119">
        <v>-0.1121625</v>
      </c>
      <c r="U2119">
        <v>-3.0287169999999999</v>
      </c>
      <c r="V2119">
        <v>5.6721639999999997E-2</v>
      </c>
      <c r="W2119">
        <v>0.1713324</v>
      </c>
      <c r="X2119">
        <v>0.98357909999999904</v>
      </c>
      <c r="Y2119">
        <v>0.55468689999999998</v>
      </c>
      <c r="Z2119">
        <v>4.109222E-3</v>
      </c>
      <c r="AA2119">
        <v>0.83204899999999904</v>
      </c>
      <c r="AB2119">
        <v>34</v>
      </c>
      <c r="AC2119">
        <v>18.193199999999901</v>
      </c>
      <c r="AD2119">
        <v>-1.0853814106199999</v>
      </c>
      <c r="AE2119">
        <v>-29.197980000000001</v>
      </c>
      <c r="AF2119">
        <v>19.2248819639969</v>
      </c>
      <c r="AG2119">
        <v>-1.0853814106199999</v>
      </c>
      <c r="AH2119">
        <v>28.4879954255032</v>
      </c>
      <c r="AI2119">
        <v>91.808864195278503</v>
      </c>
      <c r="AJ2119">
        <v>55.986888736376798</v>
      </c>
      <c r="AK2119">
        <v>34.385171552569403</v>
      </c>
    </row>
    <row r="2120" spans="1:37" x14ac:dyDescent="0.2">
      <c r="A2120" t="str">
        <f>"20200111150634099"</f>
        <v>20200111150634099</v>
      </c>
      <c r="B2120" t="str">
        <f>"1578726394089031"</f>
        <v>1578726394089031</v>
      </c>
      <c r="C2120" t="s">
        <v>37</v>
      </c>
      <c r="D2120">
        <v>4.8120570000000003</v>
      </c>
      <c r="E2120">
        <v>0.72823380000000004</v>
      </c>
      <c r="F2120" t="s">
        <v>39</v>
      </c>
      <c r="G2120">
        <v>-302.38819999999998</v>
      </c>
      <c r="H2120" s="1">
        <v>-1.275965E-6</v>
      </c>
      <c r="I2120">
        <v>-8.1076730000000001</v>
      </c>
      <c r="J2120">
        <v>-318.642</v>
      </c>
      <c r="K2120">
        <v>1.084036</v>
      </c>
      <c r="L2120">
        <v>18.606870000000001</v>
      </c>
      <c r="M2120">
        <v>0.90802280000000002</v>
      </c>
      <c r="N2120">
        <v>0</v>
      </c>
      <c r="O2120">
        <v>-0.41852699999999998</v>
      </c>
      <c r="P2120">
        <v>0.8742008</v>
      </c>
      <c r="Q2120">
        <v>0.15545729999999999</v>
      </c>
      <c r="R2120">
        <v>-0.46000659999999999</v>
      </c>
      <c r="S2120">
        <v>1.8779599999999901</v>
      </c>
      <c r="T2120">
        <v>-0.12309970000000001</v>
      </c>
      <c r="U2120">
        <v>-3.0464479999999998</v>
      </c>
      <c r="V2120">
        <v>5.7676749999999999E-2</v>
      </c>
      <c r="W2120">
        <v>0.17149300000000001</v>
      </c>
      <c r="X2120">
        <v>0.98349560000000003</v>
      </c>
      <c r="Y2120">
        <v>0.55334700000000003</v>
      </c>
      <c r="Z2120">
        <v>4.9663900000000002E-3</v>
      </c>
      <c r="AA2120">
        <v>0.83293600000000001</v>
      </c>
      <c r="AB2120">
        <v>34</v>
      </c>
      <c r="AC2120">
        <v>16.253799999999998</v>
      </c>
      <c r="AD2120">
        <v>-1.0840372759650001</v>
      </c>
      <c r="AE2120">
        <v>-26.714542999999999</v>
      </c>
      <c r="AF2120">
        <v>17.436683930467002</v>
      </c>
      <c r="AG2120">
        <v>-1.0840372759650001</v>
      </c>
      <c r="AH2120">
        <v>25.912715641321299</v>
      </c>
      <c r="AI2120">
        <v>91.987821593572605</v>
      </c>
      <c r="AJ2120">
        <v>56.063363209231298</v>
      </c>
      <c r="AK2120">
        <v>31.2519105850293</v>
      </c>
    </row>
    <row r="2121" spans="1:37" x14ac:dyDescent="0.2">
      <c r="A2121" t="str">
        <f>"20200111150634123"</f>
        <v>20200111150634123</v>
      </c>
      <c r="B2121" t="str">
        <f>"1578726394119289"</f>
        <v>1578726394119289</v>
      </c>
      <c r="C2121" t="s">
        <v>37</v>
      </c>
      <c r="D2121">
        <v>4.8003429999999998</v>
      </c>
      <c r="E2121">
        <v>0.72669629999999996</v>
      </c>
      <c r="F2121" t="s">
        <v>39</v>
      </c>
      <c r="G2121">
        <v>-303.30430000000001</v>
      </c>
      <c r="H2121" s="1">
        <v>-2.1001169999999999E-6</v>
      </c>
      <c r="I2121">
        <v>-6.8798089999999998</v>
      </c>
      <c r="J2121">
        <v>-318.31240000000003</v>
      </c>
      <c r="K2121">
        <v>1.0823119999999999</v>
      </c>
      <c r="L2121">
        <v>18.4437</v>
      </c>
      <c r="M2121">
        <v>0.90222039999999903</v>
      </c>
      <c r="N2121">
        <v>0</v>
      </c>
      <c r="O2121">
        <v>-0.43084250000000002</v>
      </c>
      <c r="P2121">
        <v>0.86744789999999905</v>
      </c>
      <c r="Q2121">
        <v>0.15492400000000001</v>
      </c>
      <c r="R2121">
        <v>-0.4727924</v>
      </c>
      <c r="S2121">
        <v>1.8432009999999901</v>
      </c>
      <c r="T2121">
        <v>-0.13027320000000001</v>
      </c>
      <c r="U2121">
        <v>-3.0628359999999999</v>
      </c>
      <c r="V2121">
        <v>5.8720349999999998E-2</v>
      </c>
      <c r="W2121">
        <v>0.17206009999999999</v>
      </c>
      <c r="X2121">
        <v>0.98333479999999995</v>
      </c>
      <c r="Y2121">
        <v>0.55089929999999998</v>
      </c>
      <c r="Z2121">
        <v>5.8268740000000001E-3</v>
      </c>
      <c r="AA2121">
        <v>0.8345513</v>
      </c>
      <c r="AB2121">
        <v>34</v>
      </c>
      <c r="AC2121">
        <v>15.008100000000001</v>
      </c>
      <c r="AD2121">
        <v>-1.082314100117</v>
      </c>
      <c r="AE2121">
        <v>-25.323509000000001</v>
      </c>
      <c r="AF2121">
        <v>16.362196661671501</v>
      </c>
      <c r="AG2121">
        <v>-1.082314100117</v>
      </c>
      <c r="AH2121">
        <v>24.422604868872298</v>
      </c>
      <c r="AI2121">
        <v>92.108513791267498</v>
      </c>
      <c r="AJ2121">
        <v>56.179450754771899</v>
      </c>
      <c r="AK2121">
        <v>29.416942600950101</v>
      </c>
    </row>
    <row r="2122" spans="1:37" x14ac:dyDescent="0.2">
      <c r="A2122" t="str">
        <f>"20200111150634144"</f>
        <v>20200111150634144</v>
      </c>
      <c r="B2122" t="str">
        <f>"1578726394138809"</f>
        <v>1578726394138809</v>
      </c>
      <c r="C2122" t="s">
        <v>37</v>
      </c>
      <c r="D2122">
        <v>4.8534139999999999</v>
      </c>
      <c r="E2122">
        <v>0.72544589999999998</v>
      </c>
      <c r="F2122" t="s">
        <v>39</v>
      </c>
      <c r="G2122">
        <v>-304.10629999999998</v>
      </c>
      <c r="H2122" s="1">
        <v>-2.8293639999999998E-6</v>
      </c>
      <c r="I2122">
        <v>-5.7885629999999999</v>
      </c>
      <c r="J2122">
        <v>-318.0215</v>
      </c>
      <c r="K2122">
        <v>1.080389</v>
      </c>
      <c r="L2122">
        <v>18.29532</v>
      </c>
      <c r="M2122">
        <v>0.89692879999999997</v>
      </c>
      <c r="N2122">
        <v>0</v>
      </c>
      <c r="O2122">
        <v>-0.44170290000000001</v>
      </c>
      <c r="P2122">
        <v>0.86132540000000002</v>
      </c>
      <c r="Q2122">
        <v>0.15387120000000001</v>
      </c>
      <c r="R2122">
        <v>-0.48419279999999998</v>
      </c>
      <c r="S2122">
        <v>1.8049009999999901</v>
      </c>
      <c r="T2122">
        <v>-0.137509299999999</v>
      </c>
      <c r="U2122">
        <v>-3.078735</v>
      </c>
      <c r="V2122">
        <v>5.9824639999999998E-2</v>
      </c>
      <c r="W2122">
        <v>0.1720323</v>
      </c>
      <c r="X2122">
        <v>0.98327299999999995</v>
      </c>
      <c r="Y2122">
        <v>0.55040259999999996</v>
      </c>
      <c r="Z2122">
        <v>6.6513219999999899E-3</v>
      </c>
      <c r="AA2122">
        <v>0.83487289999999903</v>
      </c>
      <c r="AB2122">
        <v>34</v>
      </c>
      <c r="AC2122">
        <v>13.9152</v>
      </c>
      <c r="AD2122">
        <v>-1.080391829364</v>
      </c>
      <c r="AE2122">
        <v>-24.083883</v>
      </c>
      <c r="AF2122">
        <v>15.435082389394299</v>
      </c>
      <c r="AG2122">
        <v>-1.080391829364</v>
      </c>
      <c r="AH2122">
        <v>23.0888549426083</v>
      </c>
      <c r="AI2122">
        <v>92.227731870994802</v>
      </c>
      <c r="AJ2122">
        <v>56.236958809690599</v>
      </c>
      <c r="AK2122">
        <v>27.7939604488665</v>
      </c>
    </row>
    <row r="2123" spans="1:37" x14ac:dyDescent="0.2">
      <c r="A2123" t="str">
        <f>"20200111150634167"</f>
        <v>20200111150634167</v>
      </c>
      <c r="B2123" t="str">
        <f>"1578726394158327"</f>
        <v>1578726394158327</v>
      </c>
      <c r="C2123" t="s">
        <v>37</v>
      </c>
      <c r="D2123">
        <v>4.8960989999999898</v>
      </c>
      <c r="E2123">
        <v>0.70907119999999901</v>
      </c>
      <c r="F2123" t="s">
        <v>39</v>
      </c>
      <c r="G2123">
        <v>-304.8587</v>
      </c>
      <c r="H2123" s="1">
        <v>-3.487928E-6</v>
      </c>
      <c r="I2123">
        <v>-4.7113239999999896</v>
      </c>
      <c r="J2123">
        <v>-317.70569999999998</v>
      </c>
      <c r="K2123">
        <v>1.0778129999999999</v>
      </c>
      <c r="L2123">
        <v>18.129359999999998</v>
      </c>
      <c r="M2123">
        <v>0.89109819999999995</v>
      </c>
      <c r="N2123">
        <v>0</v>
      </c>
      <c r="O2123">
        <v>-0.45330009999999998</v>
      </c>
      <c r="P2123">
        <v>0.85505409999999904</v>
      </c>
      <c r="Q2123">
        <v>0.15228549999999999</v>
      </c>
      <c r="R2123">
        <v>-0.49567269999999902</v>
      </c>
      <c r="S2123">
        <v>1.7698970000000001</v>
      </c>
      <c r="T2123">
        <v>-0.14527119999999999</v>
      </c>
      <c r="U2123">
        <v>-3.0935060000000001</v>
      </c>
      <c r="V2123">
        <v>6.0268349999999998E-2</v>
      </c>
      <c r="W2123">
        <v>0.17144699999999999</v>
      </c>
      <c r="X2123">
        <v>0.98334820000000001</v>
      </c>
      <c r="Y2123">
        <v>0.54838339999999997</v>
      </c>
      <c r="Z2123">
        <v>7.6275919999999999E-3</v>
      </c>
      <c r="AA2123">
        <v>0.8361923</v>
      </c>
      <c r="AB2123">
        <v>34</v>
      </c>
      <c r="AC2123">
        <v>12.8469999999999</v>
      </c>
      <c r="AD2123">
        <v>-1.0778164879279899</v>
      </c>
      <c r="AE2123">
        <v>-22.840684</v>
      </c>
      <c r="AF2123">
        <v>14.5085683524161</v>
      </c>
      <c r="AG2123">
        <v>-1.0778164879279899</v>
      </c>
      <c r="AH2123">
        <v>21.7698462151439</v>
      </c>
      <c r="AI2123">
        <v>92.359169079015302</v>
      </c>
      <c r="AJ2123">
        <v>56.318428664867298</v>
      </c>
      <c r="AK2123">
        <v>26.183705777628099</v>
      </c>
    </row>
    <row r="2124" spans="1:37" x14ac:dyDescent="0.2">
      <c r="A2124" t="str">
        <f>"20200111150634191"</f>
        <v>20200111150634191</v>
      </c>
      <c r="B2124" t="str">
        <f>"1578726394178824"</f>
        <v>1578726394178824</v>
      </c>
      <c r="C2124" t="s">
        <v>37</v>
      </c>
      <c r="D2124">
        <v>4.8608390000000004</v>
      </c>
      <c r="E2124">
        <v>0.70675519999999903</v>
      </c>
      <c r="F2124" t="s">
        <v>46</v>
      </c>
      <c r="G2124">
        <v>-307.77350000000001</v>
      </c>
      <c r="H2124">
        <v>-0.05</v>
      </c>
      <c r="I2124">
        <v>1.512589</v>
      </c>
      <c r="J2124">
        <v>-317.38459999999998</v>
      </c>
      <c r="K2124">
        <v>1.0747599999999999</v>
      </c>
      <c r="L2124">
        <v>17.95505</v>
      </c>
      <c r="M2124">
        <v>0.88517000000000001</v>
      </c>
      <c r="N2124">
        <v>0</v>
      </c>
      <c r="O2124">
        <v>-0.46472459999999999</v>
      </c>
      <c r="P2124">
        <v>0.84869850000000002</v>
      </c>
      <c r="Q2124">
        <v>0.15099609999999999</v>
      </c>
      <c r="R2124">
        <v>-0.50686409999999904</v>
      </c>
      <c r="S2124">
        <v>1.7996220000000001</v>
      </c>
      <c r="T2124">
        <v>-0.20434929999999901</v>
      </c>
      <c r="U2124">
        <v>-3.0108029999999899</v>
      </c>
      <c r="V2124">
        <v>6.0681899999999997E-2</v>
      </c>
      <c r="W2124">
        <v>0.17099879999999901</v>
      </c>
      <c r="X2124">
        <v>0.98340079999999996</v>
      </c>
      <c r="Y2124">
        <v>0.5213603</v>
      </c>
      <c r="Z2124">
        <v>1.255825E-2</v>
      </c>
      <c r="AA2124">
        <v>0.85324419999999901</v>
      </c>
      <c r="AB2124">
        <v>34</v>
      </c>
      <c r="AC2124">
        <v>9.6110999999999596</v>
      </c>
      <c r="AD2124">
        <v>-1.12476</v>
      </c>
      <c r="AE2124">
        <v>-16.442460999999899</v>
      </c>
      <c r="AF2124">
        <v>10.0553373574754</v>
      </c>
      <c r="AG2124">
        <v>-1.12476</v>
      </c>
      <c r="AH2124">
        <v>16.0966133977672</v>
      </c>
      <c r="AI2124">
        <v>93.391536499878299</v>
      </c>
      <c r="AJ2124">
        <v>58.007534572571302</v>
      </c>
      <c r="AK2124">
        <v>19.0125184367411</v>
      </c>
    </row>
    <row r="2125" spans="1:37" x14ac:dyDescent="0.2">
      <c r="A2125" t="str">
        <f>"20200111150634211"</f>
        <v>20200111150634211</v>
      </c>
      <c r="B2125" t="str">
        <f>"1578726394199320"</f>
        <v>1578726394199320</v>
      </c>
      <c r="C2125" t="s">
        <v>37</v>
      </c>
      <c r="D2125">
        <v>4.9026180000000004</v>
      </c>
      <c r="E2125">
        <v>0.70593329999999999</v>
      </c>
      <c r="F2125" t="s">
        <v>46</v>
      </c>
      <c r="G2125">
        <v>-307.6721</v>
      </c>
      <c r="H2125">
        <v>-0.05</v>
      </c>
      <c r="I2125">
        <v>1.374725</v>
      </c>
      <c r="J2125">
        <v>-317.11579999999998</v>
      </c>
      <c r="K2125">
        <v>1.072011</v>
      </c>
      <c r="L2125">
        <v>17.804200000000002</v>
      </c>
      <c r="M2125">
        <v>0.88022160000000005</v>
      </c>
      <c r="N2125">
        <v>0</v>
      </c>
      <c r="O2125">
        <v>-0.47399949999999902</v>
      </c>
      <c r="P2125">
        <v>0.84334299999999995</v>
      </c>
      <c r="Q2125">
        <v>0.15014479999999999</v>
      </c>
      <c r="R2125">
        <v>-0.51597420000000005</v>
      </c>
      <c r="S2125">
        <v>1.7683409999999999</v>
      </c>
      <c r="T2125">
        <v>-0.20478440000000001</v>
      </c>
      <c r="U2125">
        <v>-3.0187680000000001</v>
      </c>
      <c r="V2125">
        <v>6.1085800000000003E-2</v>
      </c>
      <c r="W2125">
        <v>0.1706925</v>
      </c>
      <c r="X2125">
        <v>0.983429</v>
      </c>
      <c r="Y2125">
        <v>0.51994430000000003</v>
      </c>
      <c r="Z2125">
        <v>1.328754E-2</v>
      </c>
      <c r="AA2125">
        <v>0.85409679999999999</v>
      </c>
      <c r="AB2125">
        <v>34</v>
      </c>
      <c r="AC2125">
        <v>9.4436999999999696</v>
      </c>
      <c r="AD2125">
        <v>-1.1220110000000001</v>
      </c>
      <c r="AE2125">
        <v>-16.429475</v>
      </c>
      <c r="AF2125">
        <v>9.9530472270492503</v>
      </c>
      <c r="AG2125">
        <v>-1.1220110000000001</v>
      </c>
      <c r="AH2125">
        <v>16.0481565969882</v>
      </c>
      <c r="AI2125">
        <v>93.400281376961601</v>
      </c>
      <c r="AJ2125">
        <v>58.192860837763902</v>
      </c>
      <c r="AK2125">
        <v>18.917330360001898</v>
      </c>
    </row>
    <row r="2126" spans="1:37" x14ac:dyDescent="0.2">
      <c r="A2126" t="str">
        <f>"20200111150634235"</f>
        <v>20200111150634235</v>
      </c>
      <c r="B2126" t="str">
        <f>"1578726394228601"</f>
        <v>1578726394228601</v>
      </c>
      <c r="C2126" t="s">
        <v>37</v>
      </c>
      <c r="D2126">
        <v>4.9085929999999998</v>
      </c>
      <c r="E2126">
        <v>0.70306579999999996</v>
      </c>
      <c r="F2126" t="s">
        <v>46</v>
      </c>
      <c r="G2126">
        <v>-307.66669999999999</v>
      </c>
      <c r="H2126">
        <v>-0.05</v>
      </c>
      <c r="I2126">
        <v>1.324738</v>
      </c>
      <c r="J2126">
        <v>-316.80810000000002</v>
      </c>
      <c r="K2126">
        <v>1.0688530000000001</v>
      </c>
      <c r="L2126">
        <v>17.626100000000001</v>
      </c>
      <c r="M2126">
        <v>0.87449179999999904</v>
      </c>
      <c r="N2126">
        <v>0</v>
      </c>
      <c r="O2126">
        <v>-0.48446529999999999</v>
      </c>
      <c r="P2126">
        <v>0.83715709999999999</v>
      </c>
      <c r="Q2126">
        <v>0.15012790000000001</v>
      </c>
      <c r="R2126">
        <v>-0.52595619999999998</v>
      </c>
      <c r="S2126">
        <v>1.738739</v>
      </c>
      <c r="T2126">
        <v>-0.20646289999999901</v>
      </c>
      <c r="U2126">
        <v>-3.03241</v>
      </c>
      <c r="V2126">
        <v>6.126591E-2</v>
      </c>
      <c r="W2126">
        <v>0.17108579999999901</v>
      </c>
      <c r="X2126">
        <v>0.98334940000000004</v>
      </c>
      <c r="Y2126">
        <v>0.51768789999999998</v>
      </c>
      <c r="Z2126">
        <v>1.419379E-2</v>
      </c>
      <c r="AA2126">
        <v>0.85545190000000004</v>
      </c>
      <c r="AB2126">
        <v>34</v>
      </c>
      <c r="AC2126">
        <v>9.1414000000000293</v>
      </c>
      <c r="AD2126">
        <v>-1.1188530000000001</v>
      </c>
      <c r="AE2126">
        <v>-16.301362000000001</v>
      </c>
      <c r="AF2126">
        <v>9.7943551241920499</v>
      </c>
      <c r="AG2126">
        <v>-1.1188530000000001</v>
      </c>
      <c r="AH2126">
        <v>15.839189868674</v>
      </c>
      <c r="AI2126">
        <v>93.438179567482194</v>
      </c>
      <c r="AJ2126">
        <v>58.2689231331467</v>
      </c>
      <c r="AK2126">
        <v>18.656397295038001</v>
      </c>
    </row>
    <row r="2127" spans="1:37" x14ac:dyDescent="0.2">
      <c r="A2127" t="str">
        <f>"20200111150634256"</f>
        <v>20200111150634256</v>
      </c>
      <c r="B2127" t="str">
        <f>"1578726394249096"</f>
        <v>1578726394249096</v>
      </c>
      <c r="C2127" t="s">
        <v>37</v>
      </c>
      <c r="D2127">
        <v>4.9862080000000004</v>
      </c>
      <c r="E2127">
        <v>0.70643509999999998</v>
      </c>
      <c r="F2127" t="s">
        <v>46</v>
      </c>
      <c r="G2127">
        <v>-307.34629999999999</v>
      </c>
      <c r="H2127">
        <v>-0.05</v>
      </c>
      <c r="I2127">
        <v>0.87475590000000003</v>
      </c>
      <c r="J2127">
        <v>-316.51459999999997</v>
      </c>
      <c r="K2127">
        <v>1.0659959999999999</v>
      </c>
      <c r="L2127">
        <v>17.45035</v>
      </c>
      <c r="M2127">
        <v>0.86886849999999904</v>
      </c>
      <c r="N2127">
        <v>0</v>
      </c>
      <c r="O2127">
        <v>-0.49446999999999902</v>
      </c>
      <c r="P2127">
        <v>0.83146919999999902</v>
      </c>
      <c r="Q2127">
        <v>0.14950169999999999</v>
      </c>
      <c r="R2127">
        <v>-0.53507819999999995</v>
      </c>
      <c r="S2127">
        <v>1.7137450000000001</v>
      </c>
      <c r="T2127">
        <v>-0.2026483</v>
      </c>
      <c r="U2127">
        <v>-3.034027</v>
      </c>
      <c r="V2127">
        <v>6.076819E-2</v>
      </c>
      <c r="W2127">
        <v>0.17064509999999999</v>
      </c>
      <c r="X2127">
        <v>0.98345689999999997</v>
      </c>
      <c r="Y2127">
        <v>0.51340129999999995</v>
      </c>
      <c r="Z2127">
        <v>1.478428E-2</v>
      </c>
      <c r="AA2127">
        <v>0.85802129999999999</v>
      </c>
      <c r="AB2127">
        <v>34</v>
      </c>
      <c r="AC2127">
        <v>9.1682999999999808</v>
      </c>
      <c r="AD2127">
        <v>-1.115996</v>
      </c>
      <c r="AE2127">
        <v>-16.5755941</v>
      </c>
      <c r="AF2127">
        <v>9.8372153142536494</v>
      </c>
      <c r="AG2127">
        <v>-1.115996</v>
      </c>
      <c r="AH2127">
        <v>16.110842768336202</v>
      </c>
      <c r="AI2127">
        <v>93.383403714650299</v>
      </c>
      <c r="AJ2127">
        <v>58.591930099091698</v>
      </c>
      <c r="AK2127">
        <v>18.909667022902699</v>
      </c>
    </row>
    <row r="2128" spans="1:37" x14ac:dyDescent="0.2">
      <c r="A2128" t="str">
        <f>"20200111150634368"</f>
        <v>20200111150634368</v>
      </c>
      <c r="B2128" t="str">
        <f>"1578726394358407"</f>
        <v>1578726394358407</v>
      </c>
      <c r="C2128" t="s">
        <v>37</v>
      </c>
      <c r="D2128">
        <v>4.9872230000000002</v>
      </c>
      <c r="E2128">
        <v>0.75021409999999999</v>
      </c>
      <c r="F2128" t="s">
        <v>46</v>
      </c>
      <c r="G2128">
        <v>-307.62299999999999</v>
      </c>
      <c r="H2128">
        <v>-0.05</v>
      </c>
      <c r="I2128">
        <v>1.0244899999999999</v>
      </c>
      <c r="J2128">
        <v>-315.08</v>
      </c>
      <c r="K2128">
        <v>1.0558940000000001</v>
      </c>
      <c r="L2128">
        <v>16.514620000000001</v>
      </c>
      <c r="M2128">
        <v>0.83743799999999902</v>
      </c>
      <c r="N2128">
        <v>0</v>
      </c>
      <c r="O2128">
        <v>-0.54607709999999998</v>
      </c>
      <c r="P2128">
        <v>0.79456539999999998</v>
      </c>
      <c r="Q2128">
        <v>0.15040200000000001</v>
      </c>
      <c r="R2128">
        <v>-0.58825590000000005</v>
      </c>
      <c r="S2128">
        <v>1.6655880000000001</v>
      </c>
      <c r="T2128">
        <v>-0.20904919999999999</v>
      </c>
      <c r="U2128">
        <v>-3.0769039999999999</v>
      </c>
      <c r="V2128">
        <v>6.4976210000000006E-2</v>
      </c>
      <c r="W2128">
        <v>0.17012869999999999</v>
      </c>
      <c r="X2128">
        <v>0.98327730000000002</v>
      </c>
      <c r="Y2128">
        <v>0.47663800000000001</v>
      </c>
      <c r="Z2128">
        <v>1.9917830000000001E-2</v>
      </c>
      <c r="AA2128">
        <v>0.87887399999999904</v>
      </c>
      <c r="AB2128">
        <v>34</v>
      </c>
      <c r="AC2128">
        <v>7.4569999999999901</v>
      </c>
      <c r="AD2128">
        <v>-1.1058939999999999</v>
      </c>
      <c r="AE2128">
        <v>-15.490130000000001</v>
      </c>
      <c r="AF2128">
        <v>8.8654551752831008</v>
      </c>
      <c r="AG2128">
        <v>-1.1058939999999999</v>
      </c>
      <c r="AH2128">
        <v>14.6466302275334</v>
      </c>
      <c r="AI2128">
        <v>93.6958167829373</v>
      </c>
      <c r="AJ2128">
        <v>58.813910174254602</v>
      </c>
      <c r="AK2128">
        <v>17.1564295244169</v>
      </c>
    </row>
    <row r="2129" spans="1:37" x14ac:dyDescent="0.2">
      <c r="A2129" t="str">
        <f>"20200111150634402"</f>
        <v>20200111150634402</v>
      </c>
      <c r="B2129" t="str">
        <f>"1578726394398423"</f>
        <v>1578726394398423</v>
      </c>
      <c r="C2129" t="s">
        <v>37</v>
      </c>
      <c r="D2129">
        <v>6.2692360000000003</v>
      </c>
      <c r="E2129">
        <v>0.80551619999999902</v>
      </c>
      <c r="F2129" t="s">
        <v>39</v>
      </c>
      <c r="G2129">
        <v>-301.16399999999999</v>
      </c>
      <c r="H2129" s="1">
        <v>-3.9316459999999998E-6</v>
      </c>
      <c r="I2129">
        <v>-21.968060000000001</v>
      </c>
      <c r="J2129">
        <v>-314.67129999999997</v>
      </c>
      <c r="K2129">
        <v>1.0538179999999999</v>
      </c>
      <c r="L2129">
        <v>16.224150000000002</v>
      </c>
      <c r="M2129">
        <v>0.827129</v>
      </c>
      <c r="N2129">
        <v>0</v>
      </c>
      <c r="O2129">
        <v>-0.56160019999999999</v>
      </c>
      <c r="P2129">
        <v>0.78313999999999995</v>
      </c>
      <c r="Q2129">
        <v>0.15083469999999999</v>
      </c>
      <c r="R2129">
        <v>-0.60327519999999901</v>
      </c>
      <c r="S2129">
        <v>1.2448729999999999</v>
      </c>
      <c r="T2129">
        <v>-9.4456319999999996E-2</v>
      </c>
      <c r="U2129">
        <v>-3.4425050000000001</v>
      </c>
      <c r="V2129">
        <v>6.5055669999999996E-2</v>
      </c>
      <c r="W2129">
        <v>0.1699022</v>
      </c>
      <c r="X2129">
        <v>0.98331119999999905</v>
      </c>
      <c r="Y2129">
        <v>0.58696329999999997</v>
      </c>
      <c r="Z2129">
        <v>7.5685229999999997E-3</v>
      </c>
      <c r="AA2129">
        <v>0.80957819999999903</v>
      </c>
      <c r="AB2129">
        <v>34</v>
      </c>
      <c r="AC2129">
        <v>13.507299999999899</v>
      </c>
      <c r="AD2129">
        <v>-1.053821931646</v>
      </c>
      <c r="AE2129">
        <v>-38.192210000000003</v>
      </c>
      <c r="AF2129">
        <v>23.993502370181101</v>
      </c>
      <c r="AG2129">
        <v>-1.053821931646</v>
      </c>
      <c r="AH2129">
        <v>32.606518875261997</v>
      </c>
      <c r="AI2129">
        <v>91.4911423922495</v>
      </c>
      <c r="AJ2129">
        <v>53.6525119056734</v>
      </c>
      <c r="AK2129">
        <v>40.496713074203001</v>
      </c>
    </row>
    <row r="2130" spans="1:37" x14ac:dyDescent="0.2">
      <c r="A2130" t="str">
        <f>"20200111150634422"</f>
        <v>20200111150634422</v>
      </c>
      <c r="B2130" t="str">
        <f>"1578726394418919"</f>
        <v>1578726394418919</v>
      </c>
      <c r="C2130" t="s">
        <v>37</v>
      </c>
      <c r="D2130">
        <v>4.5954739999999896</v>
      </c>
      <c r="E2130">
        <v>0.78450779999999998</v>
      </c>
      <c r="F2130" t="s">
        <v>98</v>
      </c>
      <c r="G2130">
        <v>-291.32799999999997</v>
      </c>
      <c r="H2130">
        <v>38.463450000000002</v>
      </c>
      <c r="I2130">
        <v>-91.564989999999995</v>
      </c>
      <c r="J2130">
        <v>-314.40179999999998</v>
      </c>
      <c r="K2130">
        <v>1.0525309999999899</v>
      </c>
      <c r="L2130">
        <v>16.026669999999999</v>
      </c>
      <c r="M2130">
        <v>0.81997389999999903</v>
      </c>
      <c r="N2130">
        <v>0</v>
      </c>
      <c r="O2130">
        <v>-0.57201579999999996</v>
      </c>
      <c r="P2130">
        <v>0.77558190000000005</v>
      </c>
      <c r="Q2130">
        <v>0.15095510000000001</v>
      </c>
      <c r="R2130">
        <v>-0.61293169999999897</v>
      </c>
      <c r="S2130">
        <v>0.78729249999999995</v>
      </c>
      <c r="T2130">
        <v>1.2617049999999901</v>
      </c>
      <c r="U2130">
        <v>-3.6353759999999999</v>
      </c>
      <c r="V2130">
        <v>6.4603369999999993E-2</v>
      </c>
      <c r="W2130">
        <v>0.16959160000000001</v>
      </c>
      <c r="X2130">
        <v>0.98339469999999995</v>
      </c>
      <c r="Y2130">
        <v>0.67299560000000003</v>
      </c>
      <c r="Z2130">
        <v>-8.3561979999999994E-2</v>
      </c>
      <c r="AA2130">
        <v>0.73491110000000004</v>
      </c>
      <c r="AB2130">
        <v>34</v>
      </c>
      <c r="AC2130">
        <v>23.073799999999999</v>
      </c>
      <c r="AD2130">
        <v>37.410919</v>
      </c>
      <c r="AE2130">
        <v>-107.59166</v>
      </c>
      <c r="AF2130">
        <v>67.265280815343601</v>
      </c>
      <c r="AG2130">
        <v>37.410919</v>
      </c>
      <c r="AH2130">
        <v>72.142950311846505</v>
      </c>
      <c r="AI2130">
        <v>69.229293746451901</v>
      </c>
      <c r="AJ2130">
        <v>47.003869615694903</v>
      </c>
      <c r="AK2130">
        <v>105.493128417395</v>
      </c>
    </row>
    <row r="2131" spans="1:37" x14ac:dyDescent="0.2">
      <c r="A2131" t="str">
        <f>"20200111150634446"</f>
        <v>20200111150634446</v>
      </c>
      <c r="B2131" t="str">
        <f>"1578726394438439"</f>
        <v>1578726394438439</v>
      </c>
      <c r="C2131" t="s">
        <v>37</v>
      </c>
      <c r="D2131">
        <v>4.7456250000000004</v>
      </c>
      <c r="E2131">
        <v>0.71265849999999997</v>
      </c>
      <c r="F2131" t="s">
        <v>98</v>
      </c>
      <c r="G2131">
        <v>-288.3922</v>
      </c>
      <c r="H2131">
        <v>37.605939999999997</v>
      </c>
      <c r="I2131">
        <v>-91.564989999999995</v>
      </c>
      <c r="J2131">
        <v>-314.1259</v>
      </c>
      <c r="K2131">
        <v>1.051253</v>
      </c>
      <c r="L2131">
        <v>15.819369999999999</v>
      </c>
      <c r="M2131">
        <v>0.81241730000000001</v>
      </c>
      <c r="N2131">
        <v>0</v>
      </c>
      <c r="O2131">
        <v>-0.58271830000000002</v>
      </c>
      <c r="P2131">
        <v>0.76767969999999996</v>
      </c>
      <c r="Q2131">
        <v>0.14978449999999999</v>
      </c>
      <c r="R2131">
        <v>-0.62308319999999995</v>
      </c>
      <c r="S2131">
        <v>0.85150149999999902</v>
      </c>
      <c r="T2131">
        <v>1.1966870000000001</v>
      </c>
      <c r="U2131">
        <v>-3.5223390000000001</v>
      </c>
      <c r="V2131">
        <v>6.4295859999999996E-2</v>
      </c>
      <c r="W2131">
        <v>0.1679541</v>
      </c>
      <c r="X2131">
        <v>0.98369580000000001</v>
      </c>
      <c r="Y2131">
        <v>0.64704099999999998</v>
      </c>
      <c r="Z2131">
        <v>-9.0881879999999998E-2</v>
      </c>
      <c r="AA2131">
        <v>0.75701949999999996</v>
      </c>
      <c r="AB2131">
        <v>34</v>
      </c>
      <c r="AC2131">
        <v>25.733699999999999</v>
      </c>
      <c r="AD2131">
        <v>36.554687000000001</v>
      </c>
      <c r="AE2131">
        <v>-107.38436</v>
      </c>
      <c r="AF2131">
        <v>65.123865027058002</v>
      </c>
      <c r="AG2131">
        <v>36.554687000000001</v>
      </c>
      <c r="AH2131">
        <v>75.252211665439106</v>
      </c>
      <c r="AI2131">
        <v>69.831010161424103</v>
      </c>
      <c r="AJ2131">
        <v>49.126826023453603</v>
      </c>
      <c r="AK2131">
        <v>106.020084409844</v>
      </c>
    </row>
    <row r="2132" spans="1:37" x14ac:dyDescent="0.2">
      <c r="A2132" t="str">
        <f>"20200111150634467"</f>
        <v>20200111150634467</v>
      </c>
      <c r="B2132" t="str">
        <f>"1578726394458935"</f>
        <v>1578726394458935</v>
      </c>
      <c r="C2132" t="s">
        <v>37</v>
      </c>
      <c r="D2132">
        <v>4.7498300000000002</v>
      </c>
      <c r="E2132">
        <v>0.71066649999999998</v>
      </c>
      <c r="F2132" t="s">
        <v>99</v>
      </c>
      <c r="G2132">
        <v>-272.11559999999997</v>
      </c>
      <c r="H2132">
        <v>3.1170879999999999</v>
      </c>
      <c r="I2132">
        <v>-91.564989999999995</v>
      </c>
      <c r="J2132">
        <v>-313.85700000000003</v>
      </c>
      <c r="K2132">
        <v>1.0500499999999999</v>
      </c>
      <c r="L2132">
        <v>15.61206</v>
      </c>
      <c r="M2132">
        <v>0.80487410000000004</v>
      </c>
      <c r="N2132">
        <v>0</v>
      </c>
      <c r="O2132">
        <v>-0.59311190000000003</v>
      </c>
      <c r="P2132">
        <v>0.75973849999999998</v>
      </c>
      <c r="Q2132">
        <v>0.1494124</v>
      </c>
      <c r="R2132">
        <v>-0.6328298</v>
      </c>
      <c r="S2132">
        <v>1.267029</v>
      </c>
      <c r="T2132">
        <v>6.2305930000000002E-2</v>
      </c>
      <c r="U2132">
        <v>-3.2387079999999999</v>
      </c>
      <c r="V2132">
        <v>6.4017089999999999E-2</v>
      </c>
      <c r="W2132">
        <v>0.167101799999999</v>
      </c>
      <c r="X2132">
        <v>0.98385909999999999</v>
      </c>
      <c r="Y2132">
        <v>0.53357270000000001</v>
      </c>
      <c r="Z2132">
        <v>-6.4580790000000002E-3</v>
      </c>
      <c r="AA2132">
        <v>0.84572950000000002</v>
      </c>
      <c r="AB2132">
        <v>34</v>
      </c>
      <c r="AC2132">
        <v>41.741399999999999</v>
      </c>
      <c r="AD2132">
        <v>2.0670380000000002</v>
      </c>
      <c r="AE2132">
        <v>-107.17704999999999</v>
      </c>
      <c r="AF2132">
        <v>61.499028930067801</v>
      </c>
      <c r="AG2132">
        <v>2.0670380000000002</v>
      </c>
      <c r="AH2132">
        <v>97.152420490447199</v>
      </c>
      <c r="AI2132">
        <v>88.970096092644198</v>
      </c>
      <c r="AJ2132">
        <v>57.665538339558701</v>
      </c>
      <c r="AK2132">
        <v>114.999982663422</v>
      </c>
    </row>
    <row r="2133" spans="1:37" x14ac:dyDescent="0.2">
      <c r="A2133" t="str">
        <f>"20200111150634490"</f>
        <v>20200111150634490</v>
      </c>
      <c r="B2133" t="str">
        <f>"1578726394478455"</f>
        <v>1578726394478455</v>
      </c>
      <c r="C2133" t="s">
        <v>37</v>
      </c>
      <c r="D2133">
        <v>4.7666449999999996</v>
      </c>
      <c r="E2133">
        <v>0.70626769999999905</v>
      </c>
      <c r="F2133" t="s">
        <v>99</v>
      </c>
      <c r="G2133">
        <v>-272.95769999999999</v>
      </c>
      <c r="H2133">
        <v>2.1577919999999899</v>
      </c>
      <c r="I2133">
        <v>-91.564989999999995</v>
      </c>
      <c r="J2133">
        <v>-313.59379999999999</v>
      </c>
      <c r="K2133">
        <v>1.0489280000000001</v>
      </c>
      <c r="L2133">
        <v>15.403839999999899</v>
      </c>
      <c r="M2133">
        <v>0.79734090000000002</v>
      </c>
      <c r="N2133">
        <v>0</v>
      </c>
      <c r="O2133">
        <v>-0.60321859999999905</v>
      </c>
      <c r="P2133">
        <v>0.75193759999999998</v>
      </c>
      <c r="Q2133">
        <v>0.15023129999999901</v>
      </c>
      <c r="R2133">
        <v>-0.64188840000000003</v>
      </c>
      <c r="S2133">
        <v>1.238586</v>
      </c>
      <c r="T2133">
        <v>3.354704E-2</v>
      </c>
      <c r="U2133">
        <v>-3.24572799999999</v>
      </c>
      <c r="V2133">
        <v>6.3415689999999997E-2</v>
      </c>
      <c r="W2133">
        <v>0.1674455</v>
      </c>
      <c r="X2133">
        <v>0.98383960000000004</v>
      </c>
      <c r="Y2133">
        <v>0.52997799999999995</v>
      </c>
      <c r="Z2133">
        <v>-3.6174659999999902E-3</v>
      </c>
      <c r="AA2133">
        <v>0.84800359999999997</v>
      </c>
      <c r="AB2133">
        <v>34</v>
      </c>
      <c r="AC2133">
        <v>40.636099999999999</v>
      </c>
      <c r="AD2133">
        <v>1.1088639999999901</v>
      </c>
      <c r="AE2133">
        <v>-106.96883</v>
      </c>
      <c r="AF2133">
        <v>60.783857149384197</v>
      </c>
      <c r="AG2133">
        <v>1.1088639999999901</v>
      </c>
      <c r="AH2133">
        <v>96.935479121089202</v>
      </c>
      <c r="AI2133">
        <v>89.444737707750704</v>
      </c>
      <c r="AJ2133">
        <v>57.910034344453798</v>
      </c>
      <c r="AK2133">
        <v>114.421999553243</v>
      </c>
    </row>
    <row r="2134" spans="1:37" x14ac:dyDescent="0.2">
      <c r="A2134" t="str">
        <f>"20200111150634511"</f>
        <v>20200111150634511</v>
      </c>
      <c r="B2134" t="str">
        <f>"1578726394508711"</f>
        <v>1578726394508711</v>
      </c>
      <c r="C2134" t="s">
        <v>37</v>
      </c>
      <c r="D2134">
        <v>4.8684199999999898</v>
      </c>
      <c r="E2134">
        <v>0.70280109999999996</v>
      </c>
      <c r="F2134" t="s">
        <v>99</v>
      </c>
      <c r="G2134">
        <v>-273.17180000000002</v>
      </c>
      <c r="H2134">
        <v>1.8683799999999999</v>
      </c>
      <c r="I2134">
        <v>-91.564989999999995</v>
      </c>
      <c r="J2134">
        <v>-313.3399</v>
      </c>
      <c r="K2134">
        <v>1.047936</v>
      </c>
      <c r="L2134">
        <v>15.19797</v>
      </c>
      <c r="M2134">
        <v>0.78993230000000003</v>
      </c>
      <c r="N2134">
        <v>0</v>
      </c>
      <c r="O2134">
        <v>-0.61290409999999995</v>
      </c>
      <c r="P2134">
        <v>0.74490749999999994</v>
      </c>
      <c r="Q2134">
        <v>0.1516063</v>
      </c>
      <c r="R2134">
        <v>-0.64971420000000002</v>
      </c>
      <c r="S2134">
        <v>1.2226870000000001</v>
      </c>
      <c r="T2134">
        <v>2.4787190000000001E-2</v>
      </c>
      <c r="U2134">
        <v>-3.2355959999999899</v>
      </c>
      <c r="V2134">
        <v>6.1821830000000001E-2</v>
      </c>
      <c r="W2134">
        <v>0.1683936</v>
      </c>
      <c r="X2134">
        <v>0.98377929999999902</v>
      </c>
      <c r="Y2134">
        <v>0.52237100000000003</v>
      </c>
      <c r="Z2134">
        <v>-2.796579E-3</v>
      </c>
      <c r="AA2134">
        <v>0.85271379999999997</v>
      </c>
      <c r="AB2134">
        <v>34</v>
      </c>
      <c r="AC2134">
        <v>40.168099999999903</v>
      </c>
      <c r="AD2134">
        <v>0.82044399999999995</v>
      </c>
      <c r="AE2134">
        <v>-106.76296000000001</v>
      </c>
      <c r="AF2134">
        <v>59.723845898722097</v>
      </c>
      <c r="AG2134">
        <v>0.82044399999999995</v>
      </c>
      <c r="AH2134">
        <v>97.177785344094403</v>
      </c>
      <c r="AI2134">
        <v>89.587885623850497</v>
      </c>
      <c r="AJ2134">
        <v>58.425809824885803</v>
      </c>
      <c r="AK2134">
        <v>114.06635289021099</v>
      </c>
    </row>
    <row r="2135" spans="1:37" x14ac:dyDescent="0.2">
      <c r="A2135" t="str">
        <f>"20200111150634535"</f>
        <v>20200111150634535</v>
      </c>
      <c r="B2135" t="str">
        <f>"1578726394529208"</f>
        <v>1578726394529208</v>
      </c>
      <c r="C2135" t="s">
        <v>37</v>
      </c>
      <c r="D2135">
        <v>4.8335480000000004</v>
      </c>
      <c r="E2135">
        <v>0.70292540000000003</v>
      </c>
      <c r="F2135" t="s">
        <v>99</v>
      </c>
      <c r="G2135">
        <v>-273.4033</v>
      </c>
      <c r="H2135">
        <v>1.311882</v>
      </c>
      <c r="I2135">
        <v>-91.564989999999995</v>
      </c>
      <c r="J2135">
        <v>-313.07040000000001</v>
      </c>
      <c r="K2135">
        <v>1.0470010000000001</v>
      </c>
      <c r="L2135">
        <v>14.97339</v>
      </c>
      <c r="M2135">
        <v>0.78188459999999904</v>
      </c>
      <c r="N2135">
        <v>0</v>
      </c>
      <c r="O2135">
        <v>-0.62315359999999997</v>
      </c>
      <c r="P2135">
        <v>0.7371432</v>
      </c>
      <c r="Q2135">
        <v>0.15225910000000001</v>
      </c>
      <c r="R2135">
        <v>-0.65835980000000005</v>
      </c>
      <c r="S2135">
        <v>1.208313</v>
      </c>
      <c r="T2135">
        <v>7.9863069999999998E-3</v>
      </c>
      <c r="U2135">
        <v>-3.230194</v>
      </c>
      <c r="V2135">
        <v>6.0492740000000003E-2</v>
      </c>
      <c r="W2135">
        <v>0.168599</v>
      </c>
      <c r="X2135">
        <v>0.98382669999999905</v>
      </c>
      <c r="Y2135">
        <v>0.51408489999999996</v>
      </c>
      <c r="Z2135">
        <v>-9.42143E-4</v>
      </c>
      <c r="AA2135">
        <v>0.85773880000000002</v>
      </c>
      <c r="AB2135">
        <v>33</v>
      </c>
      <c r="AC2135">
        <v>39.667099999999998</v>
      </c>
      <c r="AD2135">
        <v>0.26488099999999898</v>
      </c>
      <c r="AE2135">
        <v>-106.53838</v>
      </c>
      <c r="AF2135">
        <v>58.591550489138903</v>
      </c>
      <c r="AG2135">
        <v>0.26488099999999898</v>
      </c>
      <c r="AH2135">
        <v>97.420711986555702</v>
      </c>
      <c r="AI2135">
        <v>89.866500964174094</v>
      </c>
      <c r="AJ2135">
        <v>58.976117982590402</v>
      </c>
      <c r="AK2135">
        <v>113.68304655766801</v>
      </c>
    </row>
    <row r="2136" spans="1:37" x14ac:dyDescent="0.2">
      <c r="A2136" t="str">
        <f>"20200111150634557"</f>
        <v>20200111150634557</v>
      </c>
      <c r="B2136" t="str">
        <f>"1578726394548727"</f>
        <v>1578726394548727</v>
      </c>
      <c r="C2136" t="s">
        <v>37</v>
      </c>
      <c r="D2136">
        <v>4.9079410000000001</v>
      </c>
      <c r="E2136">
        <v>0.70379759999999902</v>
      </c>
      <c r="F2136" t="s">
        <v>99</v>
      </c>
      <c r="G2136">
        <v>-274.82530000000003</v>
      </c>
      <c r="H2136">
        <v>0.55202689999999999</v>
      </c>
      <c r="I2136">
        <v>-90.976819999999904</v>
      </c>
      <c r="J2136">
        <v>-312.80549999999999</v>
      </c>
      <c r="K2136">
        <v>1.0462089999999999</v>
      </c>
      <c r="L2136">
        <v>14.74667</v>
      </c>
      <c r="M2136">
        <v>0.77377530000000005</v>
      </c>
      <c r="N2136">
        <v>0</v>
      </c>
      <c r="O2136">
        <v>-0.63320829999999995</v>
      </c>
      <c r="P2136">
        <v>0.72959209999999997</v>
      </c>
      <c r="Q2136">
        <v>0.15231929999999999</v>
      </c>
      <c r="R2136">
        <v>-0.66670450000000003</v>
      </c>
      <c r="S2136">
        <v>1.1723330000000001</v>
      </c>
      <c r="T2136">
        <v>-1.5172120000000001E-2</v>
      </c>
      <c r="U2136">
        <v>-3.2477109999999998</v>
      </c>
      <c r="V2136">
        <v>5.8907399999999999E-2</v>
      </c>
      <c r="W2136">
        <v>0.1682554</v>
      </c>
      <c r="X2136">
        <v>0.98398169999999996</v>
      </c>
      <c r="Y2136">
        <v>0.51289929999999995</v>
      </c>
      <c r="Z2136">
        <v>1.844318E-3</v>
      </c>
      <c r="AA2136">
        <v>0.85844679999999995</v>
      </c>
      <c r="AB2136">
        <v>33</v>
      </c>
      <c r="AC2136">
        <v>37.980199999999897</v>
      </c>
      <c r="AD2136">
        <v>-0.49418210000000001</v>
      </c>
      <c r="AE2136">
        <v>-105.723489999999</v>
      </c>
      <c r="AF2136">
        <v>57.764944875276498</v>
      </c>
      <c r="AG2136">
        <v>-0.49418210000000001</v>
      </c>
      <c r="AH2136">
        <v>96.346638009107195</v>
      </c>
      <c r="AI2136">
        <v>90.252049822154504</v>
      </c>
      <c r="AJ2136">
        <v>59.055066263113403</v>
      </c>
      <c r="AK2136">
        <v>112.337472501608</v>
      </c>
    </row>
    <row r="2137" spans="1:37" x14ac:dyDescent="0.2">
      <c r="A2137" t="str">
        <f>"20200111150634579"</f>
        <v>20200111150634579</v>
      </c>
      <c r="B2137" t="str">
        <f>"1578726394569224"</f>
        <v>1578726394569224</v>
      </c>
      <c r="C2137" t="s">
        <v>37</v>
      </c>
      <c r="D2137">
        <v>4.8825959999999897</v>
      </c>
      <c r="E2137">
        <v>0.70212069999999904</v>
      </c>
      <c r="F2137" t="s">
        <v>46</v>
      </c>
      <c r="G2137">
        <v>-275.51569999999998</v>
      </c>
      <c r="H2137">
        <v>-0.05</v>
      </c>
      <c r="I2137">
        <v>-92.882319999999893</v>
      </c>
      <c r="J2137">
        <v>-312.55590000000001</v>
      </c>
      <c r="K2137">
        <v>1.045569</v>
      </c>
      <c r="L2137">
        <v>14.527710000000001</v>
      </c>
      <c r="M2137">
        <v>0.76594430000000002</v>
      </c>
      <c r="N2137">
        <v>0</v>
      </c>
      <c r="O2137">
        <v>-0.64267030000000003</v>
      </c>
      <c r="P2137">
        <v>0.7221109</v>
      </c>
      <c r="Q2137">
        <v>0.15337899999999999</v>
      </c>
      <c r="R2137">
        <v>-0.67455969999999998</v>
      </c>
      <c r="S2137">
        <v>1.1323239999999899</v>
      </c>
      <c r="T2137">
        <v>-3.3287049999999999E-2</v>
      </c>
      <c r="U2137">
        <v>-3.26821899999999</v>
      </c>
      <c r="V2137">
        <v>5.7571299999999999E-2</v>
      </c>
      <c r="W2137">
        <v>0.1689562</v>
      </c>
      <c r="X2137">
        <v>0.983940699999999</v>
      </c>
      <c r="Y2137">
        <v>0.51342270000000001</v>
      </c>
      <c r="Z2137">
        <v>4.1486679999999899E-3</v>
      </c>
      <c r="AA2137">
        <v>0.8581259</v>
      </c>
      <c r="AB2137">
        <v>33</v>
      </c>
      <c r="AC2137">
        <v>37.040199999999999</v>
      </c>
      <c r="AD2137">
        <v>-1.095569</v>
      </c>
      <c r="AE2137">
        <v>-107.41003000000001</v>
      </c>
      <c r="AF2137">
        <v>58.4689224015099</v>
      </c>
      <c r="AG2137">
        <v>-1.095569</v>
      </c>
      <c r="AH2137">
        <v>97.405728095130897</v>
      </c>
      <c r="AI2137">
        <v>90.552515947734193</v>
      </c>
      <c r="AJ2137">
        <v>59.025221909450202</v>
      </c>
      <c r="AK2137">
        <v>113.612019716094</v>
      </c>
    </row>
    <row r="2138" spans="1:37" x14ac:dyDescent="0.2">
      <c r="A2138" t="str">
        <f>"20200111150634602"</f>
        <v>20200111150634602</v>
      </c>
      <c r="B2138" t="str">
        <f>"1578726394599296"</f>
        <v>1578726394599296</v>
      </c>
      <c r="C2138" t="s">
        <v>37</v>
      </c>
      <c r="D2138">
        <v>4.9077950000000001</v>
      </c>
      <c r="E2138">
        <v>0.70128359999999901</v>
      </c>
      <c r="F2138" t="s">
        <v>85</v>
      </c>
      <c r="G2138">
        <v>-283.33969999999999</v>
      </c>
      <c r="H2138">
        <v>7.9986799999999997E-2</v>
      </c>
      <c r="I2138">
        <v>-71.925030000000007</v>
      </c>
      <c r="J2138">
        <v>-312.30520000000001</v>
      </c>
      <c r="K2138">
        <v>1.0450170000000001</v>
      </c>
      <c r="L2138">
        <v>14.3024</v>
      </c>
      <c r="M2138">
        <v>0.75788559999999905</v>
      </c>
      <c r="N2138">
        <v>0</v>
      </c>
      <c r="O2138">
        <v>-0.65216450000000004</v>
      </c>
      <c r="P2138">
        <v>0.71358869999999996</v>
      </c>
      <c r="Q2138">
        <v>0.15462879999999901</v>
      </c>
      <c r="R2138">
        <v>-0.68328710000000004</v>
      </c>
      <c r="S2138">
        <v>1.1057429999999999</v>
      </c>
      <c r="T2138">
        <v>-3.6544319999999998E-2</v>
      </c>
      <c r="U2138">
        <v>-3.271973</v>
      </c>
      <c r="V2138">
        <v>5.742386E-2</v>
      </c>
      <c r="W2138">
        <v>0.1698392</v>
      </c>
      <c r="X2138">
        <v>0.98379729999999999</v>
      </c>
      <c r="Y2138">
        <v>0.50927500000000003</v>
      </c>
      <c r="Z2138">
        <v>4.7060840000000001E-3</v>
      </c>
      <c r="AA2138">
        <v>0.86059099999999999</v>
      </c>
      <c r="AB2138">
        <v>33</v>
      </c>
      <c r="AC2138">
        <v>28.965499999999999</v>
      </c>
      <c r="AD2138">
        <v>-0.96503019999999995</v>
      </c>
      <c r="AE2138">
        <v>-86.227429999999998</v>
      </c>
      <c r="AF2138">
        <v>46.461785986821802</v>
      </c>
      <c r="AG2138">
        <v>-0.96503019999999995</v>
      </c>
      <c r="AH2138">
        <v>78.189577728780804</v>
      </c>
      <c r="AI2138">
        <v>90.607902461959199</v>
      </c>
      <c r="AJ2138">
        <v>59.280385063955599</v>
      </c>
      <c r="AK2138">
        <v>90.9573466289403</v>
      </c>
    </row>
    <row r="2139" spans="1:37" x14ac:dyDescent="0.2">
      <c r="A2139" t="str">
        <f>"20200111150634623"</f>
        <v>20200111150634623</v>
      </c>
      <c r="B2139" t="str">
        <f>"1578726394618816"</f>
        <v>1578726394618816</v>
      </c>
      <c r="C2139" t="s">
        <v>37</v>
      </c>
      <c r="D2139">
        <v>5.0129320000000002</v>
      </c>
      <c r="E2139">
        <v>0.69952449999999999</v>
      </c>
      <c r="F2139" t="s">
        <v>85</v>
      </c>
      <c r="G2139">
        <v>-287.53919999999999</v>
      </c>
      <c r="H2139" s="1">
        <v>-4.5304519999999996E-6</v>
      </c>
      <c r="I2139">
        <v>-61.622619999999998</v>
      </c>
      <c r="J2139">
        <v>-312.05939999999998</v>
      </c>
      <c r="K2139">
        <v>1.044559</v>
      </c>
      <c r="L2139">
        <v>14.07593</v>
      </c>
      <c r="M2139">
        <v>0.74978409999999995</v>
      </c>
      <c r="N2139">
        <v>0</v>
      </c>
      <c r="O2139">
        <v>-0.66147180000000005</v>
      </c>
      <c r="P2139">
        <v>0.70479159999999996</v>
      </c>
      <c r="Q2139">
        <v>0.15566969999999999</v>
      </c>
      <c r="R2139">
        <v>-0.69212459999999998</v>
      </c>
      <c r="S2139">
        <v>1.07074</v>
      </c>
      <c r="T2139">
        <v>-4.5180739999999997E-2</v>
      </c>
      <c r="U2139">
        <v>-3.282562</v>
      </c>
      <c r="V2139">
        <v>5.7664220000000002E-2</v>
      </c>
      <c r="W2139">
        <v>0.17053940000000001</v>
      </c>
      <c r="X2139">
        <v>0.98366209999999898</v>
      </c>
      <c r="Y2139">
        <v>0.50776480000000002</v>
      </c>
      <c r="Z2139">
        <v>5.9798119999999897E-3</v>
      </c>
      <c r="AA2139">
        <v>0.86147499999999999</v>
      </c>
      <c r="AB2139">
        <v>33</v>
      </c>
      <c r="AC2139">
        <v>24.5201999999999</v>
      </c>
      <c r="AD2139">
        <v>-1.044563530452</v>
      </c>
      <c r="AE2139">
        <v>-75.698549999999997</v>
      </c>
      <c r="AF2139">
        <v>40.536816059884998</v>
      </c>
      <c r="AG2139">
        <v>-1.044563530452</v>
      </c>
      <c r="AH2139">
        <v>68.455062354058796</v>
      </c>
      <c r="AI2139">
        <v>90.752235285244296</v>
      </c>
      <c r="AJ2139">
        <v>59.367390497501603</v>
      </c>
      <c r="AK2139">
        <v>79.563937378313398</v>
      </c>
    </row>
    <row r="2140" spans="1:37" x14ac:dyDescent="0.2">
      <c r="A2140" t="str">
        <f>"20200111150634937"</f>
        <v>20200111150634937</v>
      </c>
      <c r="B2140" t="str">
        <f>"1578726394929184"</f>
        <v>1578726394929184</v>
      </c>
      <c r="C2140" t="s">
        <v>37</v>
      </c>
      <c r="D2140">
        <v>5.513833</v>
      </c>
      <c r="E2140">
        <v>0.69952449999999999</v>
      </c>
      <c r="F2140" t="s">
        <v>85</v>
      </c>
      <c r="G2140">
        <v>-285.50040000000001</v>
      </c>
      <c r="H2140" s="1">
        <v>-4.047094E-6</v>
      </c>
      <c r="I2140">
        <v>-69.94135</v>
      </c>
      <c r="J2140">
        <v>-308.89429999999999</v>
      </c>
      <c r="K2140">
        <v>1.042395</v>
      </c>
      <c r="L2140">
        <v>10.563319999999999</v>
      </c>
      <c r="M2140">
        <v>0.62402239999999998</v>
      </c>
      <c r="N2140">
        <v>0</v>
      </c>
      <c r="O2140">
        <v>-0.78127500000000005</v>
      </c>
      <c r="P2140">
        <v>0.57109270000000001</v>
      </c>
      <c r="Q2140">
        <v>0.161299</v>
      </c>
      <c r="R2140">
        <v>-0.8048826</v>
      </c>
      <c r="S2140">
        <v>1.038727</v>
      </c>
      <c r="T2140">
        <v>-4.0852899999999998E-2</v>
      </c>
      <c r="U2140">
        <v>-3.2859189999999998</v>
      </c>
      <c r="V2140">
        <v>6.0832369999999997E-2</v>
      </c>
      <c r="W2140">
        <v>0.17382220000000001</v>
      </c>
      <c r="X2140">
        <v>0.9828964</v>
      </c>
      <c r="Y2140">
        <v>0.35956189999999999</v>
      </c>
      <c r="Z2140">
        <v>7.8860489999999991E-3</v>
      </c>
      <c r="AA2140">
        <v>0.93308789999999997</v>
      </c>
      <c r="AB2140">
        <v>33</v>
      </c>
      <c r="AC2140">
        <v>23.393899999999899</v>
      </c>
      <c r="AD2140">
        <v>-1.0423990470940001</v>
      </c>
      <c r="AE2140">
        <v>-80.504669999999905</v>
      </c>
      <c r="AF2140">
        <v>31.957990406667399</v>
      </c>
      <c r="AG2140">
        <v>-1.0423990470940001</v>
      </c>
      <c r="AH2140">
        <v>77.490584011929897</v>
      </c>
      <c r="AI2140">
        <v>90.712487044830993</v>
      </c>
      <c r="AJ2140">
        <v>67.5881970986798</v>
      </c>
      <c r="AK2140">
        <v>83.8283386279127</v>
      </c>
    </row>
    <row r="2141" spans="1:37" x14ac:dyDescent="0.2">
      <c r="A2141" t="str">
        <f>"20200111150635027"</f>
        <v>20200111150635027</v>
      </c>
      <c r="B2141" t="str">
        <f>"1578726395018976"</f>
        <v>1578726395018976</v>
      </c>
      <c r="C2141" t="s">
        <v>37</v>
      </c>
      <c r="D2141">
        <v>5.2248409999999996</v>
      </c>
      <c r="E2141">
        <v>0.6918955</v>
      </c>
      <c r="F2141" t="s">
        <v>98</v>
      </c>
      <c r="G2141">
        <v>-295.61349999999999</v>
      </c>
      <c r="H2141">
        <v>0.1949816</v>
      </c>
      <c r="I2141">
        <v>-91.564989999999995</v>
      </c>
      <c r="J2141">
        <v>-308.09699999999998</v>
      </c>
      <c r="K2141">
        <v>1.0423340000000001</v>
      </c>
      <c r="L2141">
        <v>9.4495539999999991</v>
      </c>
      <c r="M2141">
        <v>0.58399009999999996</v>
      </c>
      <c r="N2141">
        <v>0</v>
      </c>
      <c r="O2141">
        <v>-0.81163790000000002</v>
      </c>
      <c r="P2141">
        <v>0.52866210000000002</v>
      </c>
      <c r="Q2141">
        <v>0.15972310000000001</v>
      </c>
      <c r="R2141">
        <v>-0.83366980000000002</v>
      </c>
      <c r="S2141">
        <v>0.44442749999999998</v>
      </c>
      <c r="T2141">
        <v>-2.835727E-2</v>
      </c>
      <c r="U2141">
        <v>-3.41760299999999</v>
      </c>
      <c r="V2141">
        <v>6.2449320000000003E-2</v>
      </c>
      <c r="W2141">
        <v>0.1720131</v>
      </c>
      <c r="X2141">
        <v>0.98311319999999902</v>
      </c>
      <c r="Y2141">
        <v>0.47449769999999902</v>
      </c>
      <c r="Z2141">
        <v>5.4660350000000002E-3</v>
      </c>
      <c r="AA2141">
        <v>0.88023969999999896</v>
      </c>
      <c r="AB2141">
        <v>33</v>
      </c>
      <c r="AC2141">
        <v>12.4834999999999</v>
      </c>
      <c r="AD2141">
        <v>-0.84735240000000001</v>
      </c>
      <c r="AE2141">
        <v>-101.014544</v>
      </c>
      <c r="AF2141">
        <v>48.860899545043701</v>
      </c>
      <c r="AG2141">
        <v>-0.84735240000000001</v>
      </c>
      <c r="AH2141">
        <v>89.2801909973454</v>
      </c>
      <c r="AI2141">
        <v>90.477014500058999</v>
      </c>
      <c r="AJ2141">
        <v>61.309173423384699</v>
      </c>
      <c r="AK2141">
        <v>101.779457725825</v>
      </c>
    </row>
    <row r="2142" spans="1:37" x14ac:dyDescent="0.2">
      <c r="A2142" t="str">
        <f>"20200111150635051"</f>
        <v>20200111150635051</v>
      </c>
      <c r="B2142" t="str">
        <f>"1578726395049232"</f>
        <v>1578726395049232</v>
      </c>
      <c r="C2142" t="s">
        <v>37</v>
      </c>
      <c r="D2142">
        <v>5.4360530000000002</v>
      </c>
      <c r="E2142">
        <v>0.71456019999999998</v>
      </c>
      <c r="F2142" t="s">
        <v>98</v>
      </c>
      <c r="G2142">
        <v>-298.75209999999998</v>
      </c>
      <c r="H2142">
        <v>3.0559949999999998</v>
      </c>
      <c r="I2142">
        <v>-91.564989999999995</v>
      </c>
      <c r="J2142">
        <v>-307.90069999999997</v>
      </c>
      <c r="K2142">
        <v>1.042324</v>
      </c>
      <c r="L2142">
        <v>9.1565860000000008</v>
      </c>
      <c r="M2142">
        <v>0.57343980000000006</v>
      </c>
      <c r="N2142">
        <v>0</v>
      </c>
      <c r="O2142">
        <v>-0.81912640000000003</v>
      </c>
      <c r="P2142">
        <v>0.51777910000000005</v>
      </c>
      <c r="Q2142">
        <v>0.1595993</v>
      </c>
      <c r="R2142">
        <v>-0.8404954</v>
      </c>
      <c r="S2142">
        <v>0.31332399999999999</v>
      </c>
      <c r="T2142">
        <v>6.7516209999999993E-2</v>
      </c>
      <c r="U2142">
        <v>-3.3869019999999899</v>
      </c>
      <c r="V2142">
        <v>6.2514340000000002E-2</v>
      </c>
      <c r="W2142">
        <v>0.1718529</v>
      </c>
      <c r="X2142">
        <v>0.98313709999999899</v>
      </c>
      <c r="Y2142">
        <v>0.4955967</v>
      </c>
      <c r="Z2142">
        <v>-1.323947E-2</v>
      </c>
      <c r="AA2142">
        <v>0.8684518</v>
      </c>
      <c r="AB2142">
        <v>33</v>
      </c>
      <c r="AC2142">
        <v>9.1485999999999805</v>
      </c>
      <c r="AD2142">
        <v>2.013671</v>
      </c>
      <c r="AE2142">
        <v>-100.721576</v>
      </c>
      <c r="AF2142">
        <v>50.248975924890701</v>
      </c>
      <c r="AG2142">
        <v>2.013671</v>
      </c>
      <c r="AH2142">
        <v>87.723818033812293</v>
      </c>
      <c r="AI2142">
        <v>88.858911875431502</v>
      </c>
      <c r="AJ2142">
        <v>60.195538550903102</v>
      </c>
      <c r="AK2142">
        <v>101.11618417852701</v>
      </c>
    </row>
    <row r="2143" spans="1:37" x14ac:dyDescent="0.2">
      <c r="A2143" t="str">
        <f>"20200111150635077"</f>
        <v>20200111150635077</v>
      </c>
      <c r="B2143" t="str">
        <f>"1578726395068752"</f>
        <v>1578726395068752</v>
      </c>
      <c r="C2143" t="s">
        <v>37</v>
      </c>
      <c r="D2143">
        <v>5.0686879999999999</v>
      </c>
      <c r="E2143">
        <v>0.7219489</v>
      </c>
      <c r="F2143" t="s">
        <v>98</v>
      </c>
      <c r="G2143">
        <v>-304.46109999999999</v>
      </c>
      <c r="H2143">
        <v>0.33201789999999998</v>
      </c>
      <c r="I2143">
        <v>-91.564989999999995</v>
      </c>
      <c r="J2143">
        <v>-307.6884</v>
      </c>
      <c r="K2143">
        <v>1.042311</v>
      </c>
      <c r="L2143">
        <v>8.8293759999999999</v>
      </c>
      <c r="M2143">
        <v>0.56165669999999901</v>
      </c>
      <c r="N2143">
        <v>0</v>
      </c>
      <c r="O2143">
        <v>-0.82725090000000001</v>
      </c>
      <c r="P2143">
        <v>0.50666279999999997</v>
      </c>
      <c r="Q2143">
        <v>0.15939110000000001</v>
      </c>
      <c r="R2143">
        <v>-0.84728239999999999</v>
      </c>
      <c r="S2143">
        <v>0.1195374</v>
      </c>
      <c r="T2143">
        <v>-2.468455E-2</v>
      </c>
      <c r="U2143">
        <v>-3.5003359999999999</v>
      </c>
      <c r="V2143">
        <v>6.1400349999999999E-2</v>
      </c>
      <c r="W2143">
        <v>0.1716425</v>
      </c>
      <c r="X2143">
        <v>0.98324409999999896</v>
      </c>
      <c r="Y2143">
        <v>0.53314709999999998</v>
      </c>
      <c r="Z2143">
        <v>4.6875229999999999E-3</v>
      </c>
      <c r="AA2143">
        <v>0.84600959999999903</v>
      </c>
      <c r="AB2143">
        <v>33</v>
      </c>
      <c r="AC2143">
        <v>3.2273000000000098</v>
      </c>
      <c r="AD2143">
        <v>-0.71029309999999901</v>
      </c>
      <c r="AE2143">
        <v>-100.39436600000001</v>
      </c>
      <c r="AF2143">
        <v>53.720005986689699</v>
      </c>
      <c r="AG2143">
        <v>-0.71029309999999901</v>
      </c>
      <c r="AH2143">
        <v>84.868110558237106</v>
      </c>
      <c r="AI2143">
        <v>90.405173547307299</v>
      </c>
      <c r="AJ2143">
        <v>57.666916430834803</v>
      </c>
      <c r="AK2143">
        <v>100.443714334064</v>
      </c>
    </row>
    <row r="2144" spans="1:37" x14ac:dyDescent="0.2">
      <c r="A2144" t="str">
        <f>"20200111150635103"</f>
        <v>20200111150635103</v>
      </c>
      <c r="B2144" t="str">
        <f>"1578726395099009"</f>
        <v>1578726395099009</v>
      </c>
      <c r="C2144" t="s">
        <v>37</v>
      </c>
      <c r="D2144">
        <v>4.8752089999999999</v>
      </c>
      <c r="E2144">
        <v>0.71966730000000001</v>
      </c>
      <c r="F2144" t="s">
        <v>98</v>
      </c>
      <c r="G2144">
        <v>-307.04719999999998</v>
      </c>
      <c r="H2144">
        <v>0.48724129999999899</v>
      </c>
      <c r="I2144">
        <v>-91.564989999999995</v>
      </c>
      <c r="J2144">
        <v>-307.47980000000001</v>
      </c>
      <c r="K2144">
        <v>1.042311</v>
      </c>
      <c r="L2144">
        <v>8.4976199999999995</v>
      </c>
      <c r="M2144">
        <v>0.54970079999999999</v>
      </c>
      <c r="N2144">
        <v>0</v>
      </c>
      <c r="O2144">
        <v>-0.83524370000000003</v>
      </c>
      <c r="P2144">
        <v>0.4949076</v>
      </c>
      <c r="Q2144">
        <v>0.15913550000000001</v>
      </c>
      <c r="R2144">
        <v>-0.85424979999999995</v>
      </c>
      <c r="S2144">
        <v>2.2552490000000001E-2</v>
      </c>
      <c r="T2144">
        <v>-1.9521589999999998E-2</v>
      </c>
      <c r="U2144">
        <v>-3.5309140000000001</v>
      </c>
      <c r="V2144">
        <v>6.0856689999999998E-2</v>
      </c>
      <c r="W2144">
        <v>0.17137379999999999</v>
      </c>
      <c r="X2144">
        <v>0.98332469999999905</v>
      </c>
      <c r="Y2144">
        <v>0.5444078</v>
      </c>
      <c r="Z2144">
        <v>3.7183189999999999E-3</v>
      </c>
      <c r="AA2144">
        <v>0.83881240000000001</v>
      </c>
      <c r="AB2144">
        <v>33</v>
      </c>
      <c r="AC2144">
        <v>0.43260000000003601</v>
      </c>
      <c r="AD2144">
        <v>-0.555069699999999</v>
      </c>
      <c r="AE2144">
        <v>-100.06261000000001</v>
      </c>
      <c r="AF2144">
        <v>54.646871728612801</v>
      </c>
      <c r="AG2144">
        <v>-0.555069699999999</v>
      </c>
      <c r="AH2144">
        <v>83.820142547872706</v>
      </c>
      <c r="AI2144">
        <v>90.317836066016298</v>
      </c>
      <c r="AJ2144">
        <v>56.897501676348398</v>
      </c>
      <c r="AK2144">
        <v>100.06200572065799</v>
      </c>
    </row>
    <row r="2145" spans="1:37" x14ac:dyDescent="0.2">
      <c r="A2145" t="str">
        <f>"20200111150635127"</f>
        <v>20200111150635127</v>
      </c>
      <c r="B2145" t="str">
        <f>"1578726395118528"</f>
        <v>1578726395118528</v>
      </c>
      <c r="C2145" t="s">
        <v>37</v>
      </c>
      <c r="D2145">
        <v>5.1581330000000003</v>
      </c>
      <c r="E2145">
        <v>0.67464419999999903</v>
      </c>
      <c r="F2145" t="s">
        <v>98</v>
      </c>
      <c r="G2145">
        <v>-307.78429999999997</v>
      </c>
      <c r="H2145">
        <v>0.75897219999999999</v>
      </c>
      <c r="I2145">
        <v>-91.564989999999995</v>
      </c>
      <c r="J2145">
        <v>-307.29669999999999</v>
      </c>
      <c r="K2145">
        <v>1.0423149999999901</v>
      </c>
      <c r="L2145">
        <v>8.1978150000000003</v>
      </c>
      <c r="M2145">
        <v>0.53888549999999902</v>
      </c>
      <c r="N2145">
        <v>0</v>
      </c>
      <c r="O2145">
        <v>-0.84226259999999997</v>
      </c>
      <c r="P2145">
        <v>0.48452250000000002</v>
      </c>
      <c r="Q2145">
        <v>0.1583147</v>
      </c>
      <c r="R2145">
        <v>-0.86033419999999905</v>
      </c>
      <c r="S2145">
        <v>-1.071167E-2</v>
      </c>
      <c r="T2145">
        <v>-9.9666119999999997E-3</v>
      </c>
      <c r="U2145">
        <v>-3.51992799999999</v>
      </c>
      <c r="V2145">
        <v>6.0143019999999998E-2</v>
      </c>
      <c r="W2145">
        <v>0.17055209999999901</v>
      </c>
      <c r="X2145">
        <v>0.98351139999999904</v>
      </c>
      <c r="Y2145">
        <v>0.54149899999999995</v>
      </c>
      <c r="Z2145">
        <v>1.9361510000000001E-3</v>
      </c>
      <c r="AA2145">
        <v>0.84069910000000003</v>
      </c>
      <c r="AB2145">
        <v>33</v>
      </c>
      <c r="AC2145">
        <v>-0.48759999999998599</v>
      </c>
      <c r="AD2145">
        <v>-0.28334279999999901</v>
      </c>
      <c r="AE2145">
        <v>-99.762805</v>
      </c>
      <c r="AF2145">
        <v>54.176292408913199</v>
      </c>
      <c r="AG2145">
        <v>-0.28334279999999901</v>
      </c>
      <c r="AH2145">
        <v>83.771258744930407</v>
      </c>
      <c r="AI2145">
        <v>90.162728383494994</v>
      </c>
      <c r="AJ2145">
        <v>57.108566580500302</v>
      </c>
      <c r="AK2145">
        <v>99.763594231705895</v>
      </c>
    </row>
    <row r="2146" spans="1:37" x14ac:dyDescent="0.2">
      <c r="A2146" t="str">
        <f>"20200111150635149"</f>
        <v>20200111150635149</v>
      </c>
      <c r="B2146" t="str">
        <f>"1578726395139024"</f>
        <v>1578726395139024</v>
      </c>
      <c r="C2146" t="s">
        <v>37</v>
      </c>
      <c r="D2146">
        <v>5.1577549999999999</v>
      </c>
      <c r="E2146">
        <v>0.68075759999999996</v>
      </c>
      <c r="F2146" t="s">
        <v>39</v>
      </c>
      <c r="G2146">
        <v>-305.59179999999998</v>
      </c>
      <c r="H2146" s="1">
        <v>-4.2652880000000001E-6</v>
      </c>
      <c r="I2146">
        <v>-13.3942</v>
      </c>
      <c r="J2146">
        <v>-307.11869999999999</v>
      </c>
      <c r="K2146">
        <v>1.0423229999999899</v>
      </c>
      <c r="L2146">
        <v>7.8978580000000003</v>
      </c>
      <c r="M2146">
        <v>0.52805780000000002</v>
      </c>
      <c r="N2146">
        <v>0</v>
      </c>
      <c r="O2146">
        <v>-0.8490934</v>
      </c>
      <c r="P2146">
        <v>0.47432849999999999</v>
      </c>
      <c r="Q2146">
        <v>0.15841359999999999</v>
      </c>
      <c r="R2146">
        <v>-0.86597809999999897</v>
      </c>
      <c r="S2146">
        <v>0.26586909999999903</v>
      </c>
      <c r="T2146">
        <v>-0.16254540000000001</v>
      </c>
      <c r="U2146">
        <v>-3.3671879999999899</v>
      </c>
      <c r="V2146">
        <v>5.915219E-2</v>
      </c>
      <c r="W2146">
        <v>0.1706587</v>
      </c>
      <c r="X2146">
        <v>0.98355309999999996</v>
      </c>
      <c r="Y2146">
        <v>0.45964659999999902</v>
      </c>
      <c r="Z2146">
        <v>3.4642369999999999E-2</v>
      </c>
      <c r="AA2146">
        <v>0.88742600000000005</v>
      </c>
      <c r="AB2146">
        <v>33</v>
      </c>
      <c r="AC2146">
        <v>1.5269000000000099</v>
      </c>
      <c r="AD2146">
        <v>-1.04232726528799</v>
      </c>
      <c r="AE2146">
        <v>-21.292058000000001</v>
      </c>
      <c r="AF2146">
        <v>9.9242667683350607</v>
      </c>
      <c r="AG2146">
        <v>-1.04232726528799</v>
      </c>
      <c r="AH2146">
        <v>18.8421585990091</v>
      </c>
      <c r="AI2146">
        <v>92.802096077011001</v>
      </c>
      <c r="AJ2146">
        <v>62.223981268890903</v>
      </c>
      <c r="AK2146">
        <v>21.321455336989899</v>
      </c>
    </row>
    <row r="2147" spans="1:37" x14ac:dyDescent="0.2">
      <c r="A2147" t="str">
        <f>"20200111150635181"</f>
        <v>20200111150635181</v>
      </c>
      <c r="B2147" t="str">
        <f>"1578726395179040"</f>
        <v>1578726395179040</v>
      </c>
      <c r="C2147" t="s">
        <v>37</v>
      </c>
      <c r="D2147">
        <v>5.1575309999999996</v>
      </c>
      <c r="E2147">
        <v>0.67958940000000001</v>
      </c>
      <c r="F2147" t="s">
        <v>39</v>
      </c>
      <c r="G2147">
        <v>-306.01940000000002</v>
      </c>
      <c r="H2147" s="1">
        <v>-4.6618750000000002E-6</v>
      </c>
      <c r="I2147">
        <v>-12.45167</v>
      </c>
      <c r="J2147">
        <v>-306.88060000000002</v>
      </c>
      <c r="K2147">
        <v>1.0423340000000001</v>
      </c>
      <c r="L2147">
        <v>7.4814449999999999</v>
      </c>
      <c r="M2147">
        <v>0.51302109999999901</v>
      </c>
      <c r="N2147">
        <v>0</v>
      </c>
      <c r="O2147">
        <v>-0.85826250000000004</v>
      </c>
      <c r="P2147">
        <v>0.4604955</v>
      </c>
      <c r="Q2147">
        <v>0.15960429999999901</v>
      </c>
      <c r="R2147">
        <v>-0.87319579999999997</v>
      </c>
      <c r="S2147">
        <v>0.1834412</v>
      </c>
      <c r="T2147">
        <v>-0.173929799999999</v>
      </c>
      <c r="U2147">
        <v>-3.3956599999999999</v>
      </c>
      <c r="V2147">
        <v>5.7383150000000001E-2</v>
      </c>
      <c r="W2147">
        <v>0.1718731</v>
      </c>
      <c r="X2147">
        <v>0.98344639999999905</v>
      </c>
      <c r="Y2147">
        <v>0.46602339999999998</v>
      </c>
      <c r="Z2147">
        <v>3.7368699999999998E-2</v>
      </c>
      <c r="AA2147">
        <v>0.88398290000000002</v>
      </c>
      <c r="AB2147">
        <v>33</v>
      </c>
      <c r="AC2147">
        <v>0.86119999999999597</v>
      </c>
      <c r="AD2147">
        <v>-1.0423386618749999</v>
      </c>
      <c r="AE2147">
        <v>-19.933115000000001</v>
      </c>
      <c r="AF2147">
        <v>9.4620720372841198</v>
      </c>
      <c r="AG2147">
        <v>-1.0423386618749999</v>
      </c>
      <c r="AH2147">
        <v>17.5035955106882</v>
      </c>
      <c r="AI2147">
        <v>92.998736275297006</v>
      </c>
      <c r="AJ2147">
        <v>61.6052857407876</v>
      </c>
      <c r="AK2147">
        <v>19.9246865201583</v>
      </c>
    </row>
    <row r="2148" spans="1:37" x14ac:dyDescent="0.2">
      <c r="A2148" t="str">
        <f>"20200111150635211"</f>
        <v>20200111150635211</v>
      </c>
      <c r="B2148" t="str">
        <f>"1578726395198560"</f>
        <v>1578726395198560</v>
      </c>
      <c r="C2148" t="s">
        <v>37</v>
      </c>
      <c r="D2148">
        <v>5.153632</v>
      </c>
      <c r="E2148">
        <v>0.67973289999999997</v>
      </c>
      <c r="F2148" t="s">
        <v>39</v>
      </c>
      <c r="G2148">
        <v>-306.08600000000001</v>
      </c>
      <c r="H2148" s="1">
        <v>-4.8002600000000002E-6</v>
      </c>
      <c r="I2148">
        <v>-12.07976</v>
      </c>
      <c r="J2148">
        <v>-306.67099999999999</v>
      </c>
      <c r="K2148">
        <v>1.04234</v>
      </c>
      <c r="L2148">
        <v>7.101013</v>
      </c>
      <c r="M2148">
        <v>0.49926619999999999</v>
      </c>
      <c r="N2148">
        <v>0</v>
      </c>
      <c r="O2148">
        <v>-0.86633649999999995</v>
      </c>
      <c r="P2148">
        <v>0.4466482</v>
      </c>
      <c r="Q2148">
        <v>0.15969</v>
      </c>
      <c r="R2148">
        <v>-0.88034330000000005</v>
      </c>
      <c r="S2148">
        <v>0.13793949999999999</v>
      </c>
      <c r="T2148">
        <v>-0.18095739999999999</v>
      </c>
      <c r="U2148">
        <v>-3.395966</v>
      </c>
      <c r="V2148">
        <v>5.7216259999999998E-2</v>
      </c>
      <c r="W2148">
        <v>0.17194589999999901</v>
      </c>
      <c r="X2148">
        <v>0.98344339999999997</v>
      </c>
      <c r="Y2148">
        <v>0.46373249999999999</v>
      </c>
      <c r="Z2148">
        <v>3.9542109999999998E-2</v>
      </c>
      <c r="AA2148">
        <v>0.8850924</v>
      </c>
      <c r="AB2148">
        <v>33</v>
      </c>
      <c r="AC2148">
        <v>0.58499999999997898</v>
      </c>
      <c r="AD2148">
        <v>-1.04234480026</v>
      </c>
      <c r="AE2148">
        <v>-19.180772999999999</v>
      </c>
      <c r="AF2148">
        <v>9.0437032598346203</v>
      </c>
      <c r="AG2148">
        <v>-1.04234480026</v>
      </c>
      <c r="AH2148">
        <v>16.8609704042746</v>
      </c>
      <c r="AI2148">
        <v>93.118289367544904</v>
      </c>
      <c r="AJ2148">
        <v>61.792266705066098</v>
      </c>
      <c r="AK2148">
        <v>19.161611996603899</v>
      </c>
    </row>
    <row r="2149" spans="1:37" x14ac:dyDescent="0.2">
      <c r="A2149" t="str">
        <f>"20200111150635234"</f>
        <v>20200111150635234</v>
      </c>
      <c r="B2149" t="str">
        <f>"1578726395228816"</f>
        <v>1578726395228816</v>
      </c>
      <c r="C2149" t="s">
        <v>37</v>
      </c>
      <c r="D2149">
        <v>5.2045079999999997</v>
      </c>
      <c r="E2149">
        <v>0.68091269999999904</v>
      </c>
      <c r="F2149" t="s">
        <v>39</v>
      </c>
      <c r="G2149">
        <v>-306.21429999999998</v>
      </c>
      <c r="H2149" s="1">
        <v>-5.0525119999999998E-6</v>
      </c>
      <c r="I2149">
        <v>-11.40537</v>
      </c>
      <c r="J2149">
        <v>-306.5059</v>
      </c>
      <c r="K2149">
        <v>1.0423480000000001</v>
      </c>
      <c r="L2149">
        <v>6.7905579999999999</v>
      </c>
      <c r="M2149">
        <v>0.48803750000000001</v>
      </c>
      <c r="N2149">
        <v>0</v>
      </c>
      <c r="O2149">
        <v>-0.87271169999999998</v>
      </c>
      <c r="P2149">
        <v>0.43541160000000001</v>
      </c>
      <c r="Q2149">
        <v>0.1591118</v>
      </c>
      <c r="R2149">
        <v>-0.88605919999999905</v>
      </c>
      <c r="S2149">
        <v>8.3892820000000007E-2</v>
      </c>
      <c r="T2149">
        <v>-0.19149630000000001</v>
      </c>
      <c r="U2149">
        <v>-3.3999329999999999</v>
      </c>
      <c r="V2149">
        <v>5.705967E-2</v>
      </c>
      <c r="W2149">
        <v>0.1713606</v>
      </c>
      <c r="X2149">
        <v>0.983554699999999</v>
      </c>
      <c r="Y2149">
        <v>0.46638409999999902</v>
      </c>
      <c r="Z2149">
        <v>4.2281249999999999E-2</v>
      </c>
      <c r="AA2149">
        <v>0.88357129999999995</v>
      </c>
      <c r="AB2149">
        <v>33</v>
      </c>
      <c r="AC2149">
        <v>0.29160000000001601</v>
      </c>
      <c r="AD2149">
        <v>-1.0423530525119999</v>
      </c>
      <c r="AE2149">
        <v>-18.195927999999999</v>
      </c>
      <c r="AF2149">
        <v>8.5984388481106002</v>
      </c>
      <c r="AG2149">
        <v>-1.0423530525119999</v>
      </c>
      <c r="AH2149">
        <v>15.9712655377937</v>
      </c>
      <c r="AI2149">
        <v>93.288914634009203</v>
      </c>
      <c r="AJ2149">
        <v>61.703341936753297</v>
      </c>
      <c r="AK2149">
        <v>18.168681113099399</v>
      </c>
    </row>
    <row r="2150" spans="1:37" x14ac:dyDescent="0.2">
      <c r="A2150" t="str">
        <f>"20200111150635259"</f>
        <v>20200111150635259</v>
      </c>
      <c r="B2150" t="str">
        <f>"1578726395249313"</f>
        <v>1578726395249313</v>
      </c>
      <c r="C2150" t="s">
        <v>37</v>
      </c>
      <c r="D2150">
        <v>5.1717570000000004</v>
      </c>
      <c r="E2150">
        <v>0.68175839999999999</v>
      </c>
      <c r="F2150" t="s">
        <v>39</v>
      </c>
      <c r="G2150">
        <v>-306.33850000000001</v>
      </c>
      <c r="H2150" s="1">
        <v>-5.1294529999999902E-6</v>
      </c>
      <c r="I2150">
        <v>-11.24399</v>
      </c>
      <c r="J2150">
        <v>-306.33449999999999</v>
      </c>
      <c r="K2150">
        <v>1.0423519999999999</v>
      </c>
      <c r="L2150">
        <v>6.4570919999999896</v>
      </c>
      <c r="M2150">
        <v>0.475971599999999</v>
      </c>
      <c r="N2150">
        <v>0</v>
      </c>
      <c r="O2150">
        <v>-0.87935049999999904</v>
      </c>
      <c r="P2150">
        <v>0.42391469999999998</v>
      </c>
      <c r="Q2150">
        <v>0.15920200000000001</v>
      </c>
      <c r="R2150">
        <v>-0.89160039999999996</v>
      </c>
      <c r="S2150">
        <v>3.1616209999999999E-2</v>
      </c>
      <c r="T2150">
        <v>-0.19683429999999999</v>
      </c>
      <c r="U2150">
        <v>-3.4055789999999999</v>
      </c>
      <c r="V2150">
        <v>5.6223670000000003E-2</v>
      </c>
      <c r="W2150">
        <v>0.17146249999999999</v>
      </c>
      <c r="X2150">
        <v>0.98358500000000004</v>
      </c>
      <c r="Y2150">
        <v>0.46779409999999999</v>
      </c>
      <c r="Z2150">
        <v>4.3927519999999998E-2</v>
      </c>
      <c r="AA2150">
        <v>0.88274509999999995</v>
      </c>
      <c r="AB2150">
        <v>33</v>
      </c>
      <c r="AC2150">
        <v>-4.0000000000190898E-3</v>
      </c>
      <c r="AD2150">
        <v>-1.0423571294530001</v>
      </c>
      <c r="AE2150">
        <v>-17.701082</v>
      </c>
      <c r="AF2150">
        <v>8.4004167255771893</v>
      </c>
      <c r="AG2150">
        <v>-1.0423571294530001</v>
      </c>
      <c r="AH2150">
        <v>15.511271799835599</v>
      </c>
      <c r="AI2150">
        <v>93.381722776172893</v>
      </c>
      <c r="AJ2150">
        <v>61.561418692543697</v>
      </c>
      <c r="AK2150">
        <v>17.670683699196601</v>
      </c>
    </row>
    <row r="2151" spans="1:37" x14ac:dyDescent="0.2">
      <c r="A2151" t="str">
        <f>"20200111150635283"</f>
        <v>20200111150635283</v>
      </c>
      <c r="B2151" t="str">
        <f>"1578726395278592"</f>
        <v>1578726395278592</v>
      </c>
      <c r="C2151" t="s">
        <v>37</v>
      </c>
      <c r="D2151">
        <v>4.9634479999999996</v>
      </c>
      <c r="E2151">
        <v>0.68248759999999997</v>
      </c>
      <c r="F2151" t="s">
        <v>39</v>
      </c>
      <c r="G2151">
        <v>-306.43689999999998</v>
      </c>
      <c r="H2151" s="1">
        <v>-4.9838699999999901E-6</v>
      </c>
      <c r="I2151">
        <v>-11.723100000000001</v>
      </c>
      <c r="J2151">
        <v>-306.17520000000002</v>
      </c>
      <c r="K2151">
        <v>1.042359</v>
      </c>
      <c r="L2151">
        <v>6.1367799999999999</v>
      </c>
      <c r="M2151">
        <v>0.46437279999999997</v>
      </c>
      <c r="N2151">
        <v>0</v>
      </c>
      <c r="O2151">
        <v>-0.8855305</v>
      </c>
      <c r="P2151">
        <v>0.412217</v>
      </c>
      <c r="Q2151">
        <v>0.158976799999999</v>
      </c>
      <c r="R2151">
        <v>-0.89710820000000002</v>
      </c>
      <c r="S2151">
        <v>-1.919556E-2</v>
      </c>
      <c r="T2151">
        <v>-0.19544</v>
      </c>
      <c r="U2151">
        <v>-3.4087519999999998</v>
      </c>
      <c r="V2151">
        <v>5.6168650000000001E-2</v>
      </c>
      <c r="W2151">
        <v>0.17122999999999999</v>
      </c>
      <c r="X2151">
        <v>0.98362870000000002</v>
      </c>
      <c r="Y2151">
        <v>0.46934409999999999</v>
      </c>
      <c r="Z2151">
        <v>4.4071569999999997E-2</v>
      </c>
      <c r="AA2151">
        <v>0.88191489999999995</v>
      </c>
      <c r="AB2151">
        <v>33</v>
      </c>
      <c r="AC2151">
        <v>-0.26169999999996202</v>
      </c>
      <c r="AD2151">
        <v>-1.0423639838700001</v>
      </c>
      <c r="AE2151">
        <v>-17.85988</v>
      </c>
      <c r="AF2151">
        <v>8.4972733757736396</v>
      </c>
      <c r="AG2151">
        <v>-1.0423639838700001</v>
      </c>
      <c r="AH2151">
        <v>15.6421913680158</v>
      </c>
      <c r="AI2151">
        <v>93.351179915620406</v>
      </c>
      <c r="AJ2151">
        <v>61.487960270585198</v>
      </c>
      <c r="AK2151">
        <v>17.831666447394401</v>
      </c>
    </row>
    <row r="2152" spans="1:37" x14ac:dyDescent="0.2">
      <c r="A2152" t="str">
        <f>"20200111150635316"</f>
        <v>20200111150635316</v>
      </c>
      <c r="B2152" t="str">
        <f>"1578726395308848"</f>
        <v>1578726395308848</v>
      </c>
      <c r="C2152" t="s">
        <v>37</v>
      </c>
      <c r="D2152">
        <v>5.106471</v>
      </c>
      <c r="E2152">
        <v>0.68208550000000001</v>
      </c>
      <c r="F2152" t="s">
        <v>39</v>
      </c>
      <c r="G2152">
        <v>-306.54610000000002</v>
      </c>
      <c r="H2152" s="1">
        <v>-4.8709019999999999E-6</v>
      </c>
      <c r="I2152">
        <v>-12.11195</v>
      </c>
      <c r="J2152">
        <v>-305.96080000000001</v>
      </c>
      <c r="K2152">
        <v>1.042359</v>
      </c>
      <c r="L2152">
        <v>5.6886599999999996</v>
      </c>
      <c r="M2152">
        <v>0.44813180000000002</v>
      </c>
      <c r="N2152">
        <v>0</v>
      </c>
      <c r="O2152">
        <v>-0.89385969999999904</v>
      </c>
      <c r="P2152">
        <v>0.3971172</v>
      </c>
      <c r="Q2152">
        <v>0.15834129999999999</v>
      </c>
      <c r="R2152">
        <v>-0.90400579999999997</v>
      </c>
      <c r="S2152">
        <v>-6.9305420000000006E-2</v>
      </c>
      <c r="T2152">
        <v>-0.194804799999999</v>
      </c>
      <c r="U2152">
        <v>-3.4104610000000002</v>
      </c>
      <c r="V2152">
        <v>5.473136E-2</v>
      </c>
      <c r="W2152">
        <v>0.1706239</v>
      </c>
      <c r="X2152">
        <v>0.983815</v>
      </c>
      <c r="Y2152">
        <v>0.46617809999999998</v>
      </c>
      <c r="Z2152">
        <v>4.4652369999999997E-2</v>
      </c>
      <c r="AA2152">
        <v>0.88356329999999905</v>
      </c>
      <c r="AB2152">
        <v>33</v>
      </c>
      <c r="AC2152">
        <v>-0.58530000000001703</v>
      </c>
      <c r="AD2152">
        <v>-1.042363870902</v>
      </c>
      <c r="AE2152">
        <v>-17.800609999999999</v>
      </c>
      <c r="AF2152">
        <v>8.4719955128357203</v>
      </c>
      <c r="AG2152">
        <v>-1.042363870902</v>
      </c>
      <c r="AH2152">
        <v>15.5970399070524</v>
      </c>
      <c r="AI2152">
        <v>93.360926250212401</v>
      </c>
      <c r="AJ2152">
        <v>61.490088613066497</v>
      </c>
      <c r="AK2152">
        <v>17.780013618416</v>
      </c>
    </row>
    <row r="2153" spans="1:37" x14ac:dyDescent="0.2">
      <c r="A2153" t="str">
        <f>"20200111150635344"</f>
        <v>20200111150635344</v>
      </c>
      <c r="B2153" t="str">
        <f>"1578726395339104"</f>
        <v>1578726395339104</v>
      </c>
      <c r="C2153" t="s">
        <v>37</v>
      </c>
      <c r="D2153">
        <v>5.1600029999999997</v>
      </c>
      <c r="E2153">
        <v>0.68028109999999997</v>
      </c>
      <c r="F2153" t="s">
        <v>39</v>
      </c>
      <c r="G2153">
        <v>-306.61009999999999</v>
      </c>
      <c r="H2153" s="1">
        <v>-4.8674339999999999E-6</v>
      </c>
      <c r="I2153">
        <v>-12.155559999999999</v>
      </c>
      <c r="J2153">
        <v>-305.78050000000002</v>
      </c>
      <c r="K2153">
        <v>1.042359</v>
      </c>
      <c r="L2153">
        <v>5.294403</v>
      </c>
      <c r="M2153">
        <v>0.43383450000000001</v>
      </c>
      <c r="N2153">
        <v>0</v>
      </c>
      <c r="O2153">
        <v>-0.90088570000000001</v>
      </c>
      <c r="P2153">
        <v>0.38336149999999902</v>
      </c>
      <c r="Q2153">
        <v>0.15776779999999899</v>
      </c>
      <c r="R2153">
        <v>-0.9100239</v>
      </c>
      <c r="S2153">
        <v>-0.12402339999999901</v>
      </c>
      <c r="T2153">
        <v>-0.19907279999999999</v>
      </c>
      <c r="U2153">
        <v>-3.4079280000000001</v>
      </c>
      <c r="V2153">
        <v>5.399963E-2</v>
      </c>
      <c r="W2153">
        <v>0.1700634</v>
      </c>
      <c r="X2153">
        <v>0.98395250000000001</v>
      </c>
      <c r="Y2153">
        <v>0.46626869999999998</v>
      </c>
      <c r="Z2153">
        <v>4.6254490000000002E-2</v>
      </c>
      <c r="AA2153">
        <v>0.88343309999999997</v>
      </c>
      <c r="AB2153">
        <v>33</v>
      </c>
      <c r="AC2153">
        <v>-0.82959999999997003</v>
      </c>
      <c r="AD2153">
        <v>-1.0423638674339999</v>
      </c>
      <c r="AE2153">
        <v>-17.449963</v>
      </c>
      <c r="AF2153">
        <v>8.2890614299947405</v>
      </c>
      <c r="AG2153">
        <v>-1.0423638674339999</v>
      </c>
      <c r="AH2153">
        <v>15.307495233964101</v>
      </c>
      <c r="AI2153">
        <v>93.426749674334005</v>
      </c>
      <c r="AJ2153">
        <v>61.564302265273398</v>
      </c>
      <c r="AK2153">
        <v>17.438878179521499</v>
      </c>
    </row>
    <row r="2154" spans="1:37" x14ac:dyDescent="0.2">
      <c r="A2154" t="str">
        <f>"20200111150635384"</f>
        <v>20200111150635384</v>
      </c>
      <c r="B2154" t="str">
        <f>"1578726395379121"</f>
        <v>1578726395379121</v>
      </c>
      <c r="C2154" t="s">
        <v>37</v>
      </c>
      <c r="D2154">
        <v>5.2795569999999996</v>
      </c>
      <c r="E2154">
        <v>0.67894600000000005</v>
      </c>
      <c r="F2154" t="s">
        <v>39</v>
      </c>
      <c r="G2154">
        <v>-306.63889999999998</v>
      </c>
      <c r="H2154" s="1">
        <v>-4.7116160000000004E-6</v>
      </c>
      <c r="I2154">
        <v>-12.628439999999999</v>
      </c>
      <c r="J2154">
        <v>-305.55259999999998</v>
      </c>
      <c r="K2154">
        <v>1.042365</v>
      </c>
      <c r="L2154">
        <v>4.7703249999999997</v>
      </c>
      <c r="M2154">
        <v>0.41482780000000002</v>
      </c>
      <c r="N2154">
        <v>0</v>
      </c>
      <c r="O2154">
        <v>-0.90979429999999994</v>
      </c>
      <c r="P2154">
        <v>0.36563229999999902</v>
      </c>
      <c r="Q2154">
        <v>0.15652569999999999</v>
      </c>
      <c r="R2154">
        <v>-0.91750370000000003</v>
      </c>
      <c r="S2154">
        <v>-0.16281129999999999</v>
      </c>
      <c r="T2154">
        <v>-0.19770799999999999</v>
      </c>
      <c r="U2154">
        <v>-3.3994749999999998</v>
      </c>
      <c r="V2154">
        <v>5.2479190000000002E-2</v>
      </c>
      <c r="W2154">
        <v>0.16885610000000001</v>
      </c>
      <c r="X2154">
        <v>0.98424259999999997</v>
      </c>
      <c r="Y2154">
        <v>0.4578218</v>
      </c>
      <c r="Z2154">
        <v>4.6940450000000002E-2</v>
      </c>
      <c r="AA2154">
        <v>0.88780389999999998</v>
      </c>
      <c r="AB2154">
        <v>33</v>
      </c>
      <c r="AC2154">
        <v>-1.0862999999999901</v>
      </c>
      <c r="AD2154">
        <v>-1.042369711616</v>
      </c>
      <c r="AE2154">
        <v>-17.398764999999901</v>
      </c>
      <c r="AF2154">
        <v>8.17735296471092</v>
      </c>
      <c r="AG2154">
        <v>-1.042369711616</v>
      </c>
      <c r="AH2154">
        <v>15.3253547870461</v>
      </c>
      <c r="AI2154">
        <v>93.434081987602198</v>
      </c>
      <c r="AJ2154">
        <v>61.916365059479801</v>
      </c>
      <c r="AK2154">
        <v>17.401785410526099</v>
      </c>
    </row>
    <row r="2155" spans="1:37" x14ac:dyDescent="0.2">
      <c r="A2155" t="str">
        <f>"20200111150635417"</f>
        <v>20200111150635417</v>
      </c>
      <c r="B2155" t="str">
        <f>"1578726395408400"</f>
        <v>1578726395408400</v>
      </c>
      <c r="C2155" t="s">
        <v>37</v>
      </c>
      <c r="D2155">
        <v>5.0976650000000001</v>
      </c>
      <c r="E2155">
        <v>0.67786029999999997</v>
      </c>
      <c r="F2155" t="s">
        <v>39</v>
      </c>
      <c r="G2155">
        <v>-306.66109999999998</v>
      </c>
      <c r="H2155" s="1">
        <v>-4.7933229999999999E-6</v>
      </c>
      <c r="I2155">
        <v>-12.39988</v>
      </c>
      <c r="J2155">
        <v>-305.36239999999998</v>
      </c>
      <c r="K2155">
        <v>1.0423899999999999</v>
      </c>
      <c r="L2155">
        <v>4.309113</v>
      </c>
      <c r="M2155">
        <v>0.39812110000000001</v>
      </c>
      <c r="N2155">
        <v>0</v>
      </c>
      <c r="O2155">
        <v>-0.91722819999999905</v>
      </c>
      <c r="P2155">
        <v>0.3493038</v>
      </c>
      <c r="Q2155">
        <v>0.15565760000000001</v>
      </c>
      <c r="R2155">
        <v>-0.92399050000000005</v>
      </c>
      <c r="S2155">
        <v>-0.2189941</v>
      </c>
      <c r="T2155">
        <v>-0.2059308</v>
      </c>
      <c r="U2155">
        <v>-3.3921510000000001</v>
      </c>
      <c r="V2155">
        <v>5.1956389999999998E-2</v>
      </c>
      <c r="W2155">
        <v>0.16799600000000001</v>
      </c>
      <c r="X2155">
        <v>0.984417599999999</v>
      </c>
      <c r="Y2155">
        <v>0.45630229999999999</v>
      </c>
      <c r="Z2155">
        <v>4.9661419999999998E-2</v>
      </c>
      <c r="AA2155">
        <v>0.8884379</v>
      </c>
      <c r="AB2155">
        <v>33</v>
      </c>
      <c r="AC2155">
        <v>-1.29869999999999</v>
      </c>
      <c r="AD2155">
        <v>-1.042394793323</v>
      </c>
      <c r="AE2155">
        <v>-16.708993</v>
      </c>
      <c r="AF2155">
        <v>7.8139315033721797</v>
      </c>
      <c r="AG2155">
        <v>-1.042394793323</v>
      </c>
      <c r="AH2155">
        <v>14.7532679507902</v>
      </c>
      <c r="AI2155">
        <v>93.572811898026401</v>
      </c>
      <c r="AJ2155">
        <v>62.0924834510297</v>
      </c>
      <c r="AK2155">
        <v>16.727313821183301</v>
      </c>
    </row>
    <row r="2156" spans="1:37" x14ac:dyDescent="0.2">
      <c r="A2156" t="str">
        <f>"20200111150635449"</f>
        <v>20200111150635449</v>
      </c>
      <c r="B2156" t="str">
        <f>"1578726395438656"</f>
        <v>1578726395438656</v>
      </c>
      <c r="C2156" t="s">
        <v>37</v>
      </c>
      <c r="D2156">
        <v>5.0682450000000001</v>
      </c>
      <c r="E2156">
        <v>0.67723350000000004</v>
      </c>
      <c r="F2156" t="s">
        <v>39</v>
      </c>
      <c r="G2156">
        <v>-306.68419999999998</v>
      </c>
      <c r="H2156" s="1">
        <v>-4.8511640000000001E-6</v>
      </c>
      <c r="I2156">
        <v>-12.24198</v>
      </c>
      <c r="J2156">
        <v>-305.18430000000001</v>
      </c>
      <c r="K2156">
        <v>1.0424359999999999</v>
      </c>
      <c r="L2156">
        <v>3.853729</v>
      </c>
      <c r="M2156">
        <v>0.38167449999999897</v>
      </c>
      <c r="N2156">
        <v>0</v>
      </c>
      <c r="O2156">
        <v>-0.92419309999999999</v>
      </c>
      <c r="P2156">
        <v>0.33722729999999901</v>
      </c>
      <c r="Q2156">
        <v>0.15378420000000001</v>
      </c>
      <c r="R2156">
        <v>-0.92877790000000005</v>
      </c>
      <c r="S2156">
        <v>-0.27032469999999997</v>
      </c>
      <c r="T2156">
        <v>-0.2131836</v>
      </c>
      <c r="U2156">
        <v>-3.3849179999999999</v>
      </c>
      <c r="V2156">
        <v>4.7248020000000002E-2</v>
      </c>
      <c r="W2156">
        <v>0.16624710000000001</v>
      </c>
      <c r="X2156">
        <v>0.98495159999999904</v>
      </c>
      <c r="Y2156">
        <v>0.45392089999999902</v>
      </c>
      <c r="Z2156">
        <v>5.2175659999999999E-2</v>
      </c>
      <c r="AA2156">
        <v>0.88951309999999995</v>
      </c>
      <c r="AB2156">
        <v>33</v>
      </c>
      <c r="AC2156">
        <v>-1.49989999999996</v>
      </c>
      <c r="AD2156">
        <v>-1.042440851164</v>
      </c>
      <c r="AE2156">
        <v>-16.095708999999999</v>
      </c>
      <c r="AF2156">
        <v>7.4990565115521202</v>
      </c>
      <c r="AG2156">
        <v>-1.042440851164</v>
      </c>
      <c r="AH2156">
        <v>14.245203250762501</v>
      </c>
      <c r="AI2156">
        <v>93.704953533990803</v>
      </c>
      <c r="AJ2156">
        <v>62.236479686800699</v>
      </c>
      <c r="AK2156">
        <v>16.132214576652601</v>
      </c>
    </row>
    <row r="2157" spans="1:37" x14ac:dyDescent="0.2">
      <c r="A2157" t="str">
        <f>"20200111150635498"</f>
        <v>20200111150635498</v>
      </c>
      <c r="B2157" t="str">
        <f>"1578726395488432"</f>
        <v>1578726395488432</v>
      </c>
      <c r="C2157" t="s">
        <v>37</v>
      </c>
      <c r="D2157">
        <v>5.1891569999999998</v>
      </c>
      <c r="E2157">
        <v>0.57730590000000004</v>
      </c>
      <c r="F2157" t="s">
        <v>39</v>
      </c>
      <c r="G2157">
        <v>-306.65069999999997</v>
      </c>
      <c r="H2157" s="1">
        <v>-4.8966540000000001E-6</v>
      </c>
      <c r="I2157">
        <v>-12.09085</v>
      </c>
      <c r="J2157">
        <v>-304.9418</v>
      </c>
      <c r="K2157">
        <v>1.042535</v>
      </c>
      <c r="L2157">
        <v>3.1918950000000001</v>
      </c>
      <c r="M2157">
        <v>0.35793639999999999</v>
      </c>
      <c r="N2157">
        <v>0</v>
      </c>
      <c r="O2157">
        <v>-0.93364380000000002</v>
      </c>
      <c r="P2157">
        <v>0.320436</v>
      </c>
      <c r="Q2157">
        <v>0.15301819999999999</v>
      </c>
      <c r="R2157">
        <v>-0.93482940000000003</v>
      </c>
      <c r="S2157">
        <v>-0.31082149999999997</v>
      </c>
      <c r="T2157">
        <v>-0.22094759999999999</v>
      </c>
      <c r="U2157">
        <v>-3.379486</v>
      </c>
      <c r="V2157">
        <v>3.979705E-2</v>
      </c>
      <c r="W2157">
        <v>0.1656696</v>
      </c>
      <c r="X2157">
        <v>0.98537799999999998</v>
      </c>
      <c r="Y2157">
        <v>0.44179399999999902</v>
      </c>
      <c r="Z2157">
        <v>5.5249199999999998E-2</v>
      </c>
      <c r="AA2157">
        <v>0.89541360000000003</v>
      </c>
      <c r="AB2157">
        <v>33</v>
      </c>
      <c r="AC2157">
        <v>-1.7088999999999701</v>
      </c>
      <c r="AD2157">
        <v>-1.042539896654</v>
      </c>
      <c r="AE2157">
        <v>-15.282745</v>
      </c>
      <c r="AF2157">
        <v>7.0340995700292801</v>
      </c>
      <c r="AG2157">
        <v>-1.042539896654</v>
      </c>
      <c r="AH2157">
        <v>13.5957785080983</v>
      </c>
      <c r="AI2157">
        <v>93.8961622047932</v>
      </c>
      <c r="AJ2157">
        <v>62.644138880067999</v>
      </c>
      <c r="AK2157">
        <v>15.343097452550699</v>
      </c>
    </row>
    <row r="2158" spans="1:37" x14ac:dyDescent="0.2">
      <c r="A2158" t="str">
        <f>"20200111150635540"</f>
        <v>20200111150635540</v>
      </c>
      <c r="B2158" t="str">
        <f>"1578726395528448"</f>
        <v>1578726395528448</v>
      </c>
      <c r="C2158" t="s">
        <v>37</v>
      </c>
      <c r="D2158">
        <v>5.0463469999999999</v>
      </c>
      <c r="E2158">
        <v>0.56634410000000002</v>
      </c>
      <c r="F2158" t="s">
        <v>39</v>
      </c>
      <c r="G2158">
        <v>-302.86079999999998</v>
      </c>
      <c r="H2158" s="1">
        <v>-3.6064080000000001E-6</v>
      </c>
      <c r="I2158">
        <v>-13.77861</v>
      </c>
      <c r="J2158">
        <v>-304.73820000000001</v>
      </c>
      <c r="K2158">
        <v>1.0426599999999999</v>
      </c>
      <c r="L2158">
        <v>2.5920099999999899</v>
      </c>
      <c r="M2158">
        <v>0.33662619999999999</v>
      </c>
      <c r="N2158">
        <v>0</v>
      </c>
      <c r="O2158">
        <v>-0.94153729999999902</v>
      </c>
      <c r="P2158">
        <v>0.30543550000000003</v>
      </c>
      <c r="Q2158">
        <v>0.1543389</v>
      </c>
      <c r="R2158">
        <v>-0.93962159999999995</v>
      </c>
      <c r="S2158">
        <v>0.38131709999999902</v>
      </c>
      <c r="T2158">
        <v>-0.19103699999999901</v>
      </c>
      <c r="U2158">
        <v>-3.1097109999999999</v>
      </c>
      <c r="V2158">
        <v>3.3074039999999999E-2</v>
      </c>
      <c r="W2158">
        <v>0.16714979999999999</v>
      </c>
      <c r="X2158">
        <v>0.98537659999999905</v>
      </c>
      <c r="Y2158">
        <v>0.21973809999999999</v>
      </c>
      <c r="Z2158">
        <v>5.5035000000000001E-2</v>
      </c>
      <c r="AA2158">
        <v>0.97400529999999996</v>
      </c>
      <c r="AB2158">
        <v>33</v>
      </c>
      <c r="AC2158">
        <v>1.8774000000000199</v>
      </c>
      <c r="AD2158">
        <v>-1.0426636064079999</v>
      </c>
      <c r="AE2158">
        <v>-16.370619999999999</v>
      </c>
      <c r="AF2158">
        <v>3.7285648954900399</v>
      </c>
      <c r="AG2158">
        <v>-1.0426636064079999</v>
      </c>
      <c r="AH2158">
        <v>15.983063789782801</v>
      </c>
      <c r="AI2158">
        <v>93.635102130029694</v>
      </c>
      <c r="AJ2158">
        <v>76.868754097699195</v>
      </c>
      <c r="AK2158">
        <v>16.445293298821799</v>
      </c>
    </row>
    <row r="2159" spans="1:37" x14ac:dyDescent="0.2">
      <c r="A2159" t="str">
        <f>"20200111150635574"</f>
        <v>20200111150635574</v>
      </c>
      <c r="B2159" t="str">
        <f>"1578726395568464"</f>
        <v>1578726395568464</v>
      </c>
      <c r="C2159" t="s">
        <v>37</v>
      </c>
      <c r="D2159">
        <v>4.999123</v>
      </c>
      <c r="E2159">
        <v>0.56000490000000003</v>
      </c>
      <c r="F2159" t="s">
        <v>39</v>
      </c>
      <c r="G2159">
        <v>-302.70960000000002</v>
      </c>
      <c r="H2159" s="1">
        <v>-4.0367510000000002E-6</v>
      </c>
      <c r="I2159">
        <v>-12.5634</v>
      </c>
      <c r="J2159">
        <v>-304.58510000000001</v>
      </c>
      <c r="K2159">
        <v>1.042753</v>
      </c>
      <c r="L2159">
        <v>2.109985</v>
      </c>
      <c r="M2159">
        <v>0.31964809999999999</v>
      </c>
      <c r="N2159">
        <v>0</v>
      </c>
      <c r="O2159">
        <v>-0.94743630000000001</v>
      </c>
      <c r="P2159">
        <v>0.2899544</v>
      </c>
      <c r="Q2159">
        <v>0.15594149999999901</v>
      </c>
      <c r="R2159">
        <v>-0.94425049999999899</v>
      </c>
      <c r="S2159">
        <v>0.41403199999999901</v>
      </c>
      <c r="T2159">
        <v>-0.212802399999999</v>
      </c>
      <c r="U2159">
        <v>-3.09314</v>
      </c>
      <c r="V2159">
        <v>3.1470339999999999E-2</v>
      </c>
      <c r="W2159">
        <v>0.1687785</v>
      </c>
      <c r="X2159">
        <v>0.98515149999999996</v>
      </c>
      <c r="Y2159">
        <v>0.1914081</v>
      </c>
      <c r="Z2159">
        <v>6.2366709999999999E-2</v>
      </c>
      <c r="AA2159">
        <v>0.97952709999999998</v>
      </c>
      <c r="AB2159">
        <v>33</v>
      </c>
      <c r="AC2159">
        <v>1.87549999999998</v>
      </c>
      <c r="AD2159">
        <v>-1.042757036751</v>
      </c>
      <c r="AE2159">
        <v>-14.673385</v>
      </c>
      <c r="AF2159">
        <v>2.8992725633811198</v>
      </c>
      <c r="AG2159">
        <v>-1.042757036751</v>
      </c>
      <c r="AH2159">
        <v>14.431263422810201</v>
      </c>
      <c r="AI2159">
        <v>94.052138724099706</v>
      </c>
      <c r="AJ2159">
        <v>78.640372098747406</v>
      </c>
      <c r="AK2159">
        <v>14.756506619556299</v>
      </c>
    </row>
    <row r="2160" spans="1:37" x14ac:dyDescent="0.2">
      <c r="A2160" t="str">
        <f>"20200111150635606"</f>
        <v>20200111150635606</v>
      </c>
      <c r="B2160" t="str">
        <f>"1578726395598720"</f>
        <v>1578726395598720</v>
      </c>
      <c r="C2160" t="s">
        <v>37</v>
      </c>
      <c r="D2160">
        <v>5.0455709999999998</v>
      </c>
      <c r="E2160">
        <v>0.55777480000000002</v>
      </c>
      <c r="F2160" t="s">
        <v>39</v>
      </c>
      <c r="G2160">
        <v>-302.73090000000002</v>
      </c>
      <c r="H2160" s="1">
        <v>-4.3042500000000003E-6</v>
      </c>
      <c r="I2160">
        <v>-11.78844</v>
      </c>
      <c r="J2160">
        <v>-304.44369999999998</v>
      </c>
      <c r="K2160">
        <v>1.0428500000000001</v>
      </c>
      <c r="L2160">
        <v>1.634949</v>
      </c>
      <c r="M2160">
        <v>0.30312840000000002</v>
      </c>
      <c r="N2160">
        <v>0</v>
      </c>
      <c r="O2160">
        <v>-0.95285049999999905</v>
      </c>
      <c r="P2160">
        <v>0.2755552</v>
      </c>
      <c r="Q2160">
        <v>0.15885369999999999</v>
      </c>
      <c r="R2160">
        <v>-0.94806880000000004</v>
      </c>
      <c r="S2160">
        <v>0.41207890000000003</v>
      </c>
      <c r="T2160">
        <v>-0.23174829999999899</v>
      </c>
      <c r="U2160">
        <v>-3.088867</v>
      </c>
      <c r="V2160">
        <v>2.9206820000000001E-2</v>
      </c>
      <c r="W2160">
        <v>0.17172799999999999</v>
      </c>
      <c r="X2160">
        <v>0.98471129999999996</v>
      </c>
      <c r="Y2160">
        <v>0.17480279999999901</v>
      </c>
      <c r="Z2160">
        <v>6.8699360000000001E-2</v>
      </c>
      <c r="AA2160">
        <v>0.98220379999999996</v>
      </c>
      <c r="AB2160">
        <v>33</v>
      </c>
      <c r="AC2160">
        <v>1.7127999999999499</v>
      </c>
      <c r="AD2160">
        <v>-1.04285430425</v>
      </c>
      <c r="AE2160">
        <v>-13.423389</v>
      </c>
      <c r="AF2160">
        <v>2.4228096163087298</v>
      </c>
      <c r="AG2160">
        <v>-1.04285430425</v>
      </c>
      <c r="AH2160">
        <v>13.2323536735554</v>
      </c>
      <c r="AI2160">
        <v>94.432829362453802</v>
      </c>
      <c r="AJ2160">
        <v>79.6242208730648</v>
      </c>
      <c r="AK2160">
        <v>13.492691921141001</v>
      </c>
    </row>
    <row r="2161" spans="1:37" x14ac:dyDescent="0.2">
      <c r="A2161" t="str">
        <f>"20200111150635651"</f>
        <v>20200111150635651</v>
      </c>
      <c r="B2161" t="str">
        <f>"1578726395648495"</f>
        <v>1578726395648495</v>
      </c>
      <c r="C2161" t="s">
        <v>37</v>
      </c>
      <c r="D2161">
        <v>4.9867419999999996</v>
      </c>
      <c r="E2161">
        <v>0.55500859999999996</v>
      </c>
      <c r="F2161" t="s">
        <v>38</v>
      </c>
      <c r="G2161">
        <v>-304.34129999999999</v>
      </c>
      <c r="H2161">
        <v>0.98080970000000001</v>
      </c>
      <c r="I2161">
        <v>0.81351289999999998</v>
      </c>
      <c r="J2161">
        <v>-304.26900000000001</v>
      </c>
      <c r="K2161">
        <v>1.0433859999999999</v>
      </c>
      <c r="L2161">
        <v>1.00564599999999</v>
      </c>
      <c r="M2161">
        <v>0.2811263</v>
      </c>
      <c r="N2161">
        <v>0</v>
      </c>
      <c r="O2161">
        <v>-0.95956759999999997</v>
      </c>
      <c r="P2161">
        <v>0.25204399999999999</v>
      </c>
      <c r="Q2161">
        <v>0.1520503</v>
      </c>
      <c r="R2161">
        <v>-0.9556962</v>
      </c>
      <c r="S2161">
        <v>0.38540649999999999</v>
      </c>
      <c r="T2161">
        <v>-0.2334695</v>
      </c>
      <c r="U2161">
        <v>-3.091431</v>
      </c>
      <c r="V2161">
        <v>3.0854610000000001E-2</v>
      </c>
      <c r="W2161">
        <v>0.165247799999999</v>
      </c>
      <c r="X2161">
        <v>0.98576929999999996</v>
      </c>
      <c r="Y2161">
        <v>0.16058420000000001</v>
      </c>
      <c r="Z2161">
        <v>7.0025030000000002E-2</v>
      </c>
      <c r="AA2161">
        <v>0.98453500000000005</v>
      </c>
      <c r="AB2161">
        <v>33</v>
      </c>
      <c r="AC2161">
        <v>-7.2299999999984196E-2</v>
      </c>
      <c r="AD2161">
        <v>-6.2576300000000099E-2</v>
      </c>
      <c r="AE2161">
        <v>-0.192133099999999</v>
      </c>
      <c r="AF2161">
        <v>0.112911136004505</v>
      </c>
      <c r="AG2161">
        <v>-6.2576300000000099E-2</v>
      </c>
      <c r="AH2161">
        <v>0.150107781011172</v>
      </c>
      <c r="AI2161">
        <v>108.42541358814699</v>
      </c>
      <c r="AJ2161">
        <v>53.049499661252199</v>
      </c>
      <c r="AK2161">
        <v>0.19798248375958899</v>
      </c>
    </row>
    <row r="2162" spans="1:37" x14ac:dyDescent="0.2">
      <c r="A2162" t="str">
        <f>"20200111150635697"</f>
        <v>20200111150635697</v>
      </c>
      <c r="B2162" t="str">
        <f>"1578726395688512"</f>
        <v>1578726395688512</v>
      </c>
      <c r="C2162" t="s">
        <v>37</v>
      </c>
      <c r="D2162">
        <v>4.9781389999999996</v>
      </c>
      <c r="E2162">
        <v>0.5568864</v>
      </c>
      <c r="F2162" t="s">
        <v>38</v>
      </c>
      <c r="G2162">
        <v>-304.18759999999997</v>
      </c>
      <c r="H2162">
        <v>0.97884979999999999</v>
      </c>
      <c r="I2162">
        <v>0.24749579999999999</v>
      </c>
      <c r="J2162">
        <v>-304.10289999999998</v>
      </c>
      <c r="K2162">
        <v>1.0441209999999901</v>
      </c>
      <c r="L2162">
        <v>0.36242679999999999</v>
      </c>
      <c r="M2162">
        <v>0.25868600000000003</v>
      </c>
      <c r="N2162">
        <v>0</v>
      </c>
      <c r="O2162">
        <v>-0.96584409999999898</v>
      </c>
      <c r="P2162">
        <v>0.230351</v>
      </c>
      <c r="Q2162">
        <v>0.1463245</v>
      </c>
      <c r="R2162">
        <v>-0.9620436</v>
      </c>
      <c r="S2162">
        <v>0.33288570000000001</v>
      </c>
      <c r="T2162">
        <v>-0.26272020000000001</v>
      </c>
      <c r="U2162">
        <v>-3.0930789999999999</v>
      </c>
      <c r="V2162">
        <v>3.034978E-2</v>
      </c>
      <c r="W2162">
        <v>0.160500799999999</v>
      </c>
      <c r="X2162">
        <v>0.98656900000000003</v>
      </c>
      <c r="Y2162">
        <v>0.15421409999999999</v>
      </c>
      <c r="Z2162">
        <v>7.9603869999999993E-2</v>
      </c>
      <c r="AA2162">
        <v>0.98482549999999902</v>
      </c>
      <c r="AB2162">
        <v>33</v>
      </c>
      <c r="AC2162">
        <v>-8.4699999999997999E-2</v>
      </c>
      <c r="AD2162">
        <v>-6.5271199999999793E-2</v>
      </c>
      <c r="AE2162">
        <v>-0.11493099999999901</v>
      </c>
      <c r="AF2162">
        <v>9.2266018309111297E-2</v>
      </c>
      <c r="AG2162">
        <v>-6.5271199999999793E-2</v>
      </c>
      <c r="AH2162">
        <v>7.3700557591086097E-2</v>
      </c>
      <c r="AI2162">
        <v>118.930888806472</v>
      </c>
      <c r="AJ2162">
        <v>38.617276978986098</v>
      </c>
      <c r="AK2162">
        <v>0.13492634981090301</v>
      </c>
    </row>
    <row r="2163" spans="1:37" x14ac:dyDescent="0.2">
      <c r="A2163" t="str">
        <f>"20200111150635726"</f>
        <v>20200111150635726</v>
      </c>
      <c r="B2163" t="str">
        <f>"1578726395718770"</f>
        <v>1578726395718770</v>
      </c>
      <c r="C2163" t="s">
        <v>37</v>
      </c>
      <c r="D2163">
        <v>4.9423329999999996</v>
      </c>
      <c r="E2163">
        <v>0.62477320000000003</v>
      </c>
      <c r="F2163" t="s">
        <v>38</v>
      </c>
      <c r="G2163">
        <v>-304.02620000000002</v>
      </c>
      <c r="H2163">
        <v>0.96048149999999999</v>
      </c>
      <c r="I2163">
        <v>-0.60303329999999999</v>
      </c>
      <c r="J2163">
        <v>-304.00200000000001</v>
      </c>
      <c r="K2163">
        <v>1.0443750000000001</v>
      </c>
      <c r="L2163">
        <v>-6.1401369999999997E-2</v>
      </c>
      <c r="M2163">
        <v>0.24894749999999999</v>
      </c>
      <c r="N2163">
        <v>0</v>
      </c>
      <c r="O2163">
        <v>-0.96841309999999903</v>
      </c>
      <c r="P2163">
        <v>0.2207886</v>
      </c>
      <c r="Q2163">
        <v>0.14740410000000001</v>
      </c>
      <c r="R2163">
        <v>-0.96411880000000005</v>
      </c>
      <c r="S2163">
        <v>0.24694820000000001</v>
      </c>
      <c r="T2163">
        <v>-0.26809299999999903</v>
      </c>
      <c r="U2163">
        <v>-3.100006</v>
      </c>
      <c r="V2163">
        <v>3.0451990000000002E-2</v>
      </c>
      <c r="W2163">
        <v>0.160683399999999</v>
      </c>
      <c r="X2163">
        <v>0.98653609999999903</v>
      </c>
      <c r="Y2163">
        <v>0.17154259999999999</v>
      </c>
      <c r="Z2163">
        <v>8.1343639999999995E-2</v>
      </c>
      <c r="AA2163">
        <v>0.98181280000000004</v>
      </c>
      <c r="AB2163">
        <v>32</v>
      </c>
      <c r="AC2163">
        <v>-2.42000000000075E-2</v>
      </c>
      <c r="AD2163">
        <v>-8.3893499999999899E-2</v>
      </c>
      <c r="AE2163">
        <v>-0.54163192999999998</v>
      </c>
      <c r="AF2163">
        <v>0.15458810516287899</v>
      </c>
      <c r="AG2163">
        <v>-8.3893499999999899E-2</v>
      </c>
      <c r="AH2163">
        <v>0.50642565308507304</v>
      </c>
      <c r="AI2163">
        <v>99.003146742715899</v>
      </c>
      <c r="AJ2163">
        <v>73.025016855971899</v>
      </c>
      <c r="AK2163">
        <v>0.53609937856962897</v>
      </c>
    </row>
    <row r="2164" spans="1:37" x14ac:dyDescent="0.2">
      <c r="A2164" t="str">
        <f>"20200111150635762"</f>
        <v>20200111150635762</v>
      </c>
      <c r="B2164" t="str">
        <f>"1578726395758784"</f>
        <v>1578726395758784</v>
      </c>
      <c r="C2164" t="s">
        <v>37</v>
      </c>
      <c r="D2164">
        <v>4.8776080000000004</v>
      </c>
      <c r="E2164">
        <v>0.62238209999999905</v>
      </c>
      <c r="F2164" t="s">
        <v>39</v>
      </c>
      <c r="G2164">
        <v>-306.23770000000002</v>
      </c>
      <c r="H2164" s="1">
        <v>-4.5131309999999998E-6</v>
      </c>
      <c r="I2164">
        <v>-23.00254</v>
      </c>
      <c r="J2164">
        <v>-303.88639999999998</v>
      </c>
      <c r="K2164">
        <v>1.0463260000000001</v>
      </c>
      <c r="L2164">
        <v>-0.5859375</v>
      </c>
      <c r="M2164">
        <v>0.2362938</v>
      </c>
      <c r="N2164">
        <v>0</v>
      </c>
      <c r="O2164">
        <v>-0.97161900000000001</v>
      </c>
      <c r="P2164">
        <v>0.2103247</v>
      </c>
      <c r="Q2164">
        <v>0.14734810000000001</v>
      </c>
      <c r="R2164">
        <v>-0.96646369999999904</v>
      </c>
      <c r="S2164">
        <v>-0.31237789999999999</v>
      </c>
      <c r="T2164">
        <v>-0.14592839999999899</v>
      </c>
      <c r="U2164">
        <v>-3.205505</v>
      </c>
      <c r="V2164">
        <v>2.8058530000000002E-2</v>
      </c>
      <c r="W2164">
        <v>0.15759419999999999</v>
      </c>
      <c r="X2164">
        <v>0.98710529999999996</v>
      </c>
      <c r="Y2164">
        <v>0.32934249999999998</v>
      </c>
      <c r="Z2164">
        <v>4.2169819999999997E-2</v>
      </c>
      <c r="AA2164">
        <v>0.94326840000000001</v>
      </c>
      <c r="AB2164">
        <v>32</v>
      </c>
      <c r="AC2164">
        <v>-2.3513000000000299</v>
      </c>
      <c r="AD2164">
        <v>-1.0463305131309999</v>
      </c>
      <c r="AE2164">
        <v>-22.4166025</v>
      </c>
      <c r="AF2164">
        <v>7.5656296515961898</v>
      </c>
      <c r="AG2164">
        <v>-1.0463305131309999</v>
      </c>
      <c r="AH2164">
        <v>21.1804478199141</v>
      </c>
      <c r="AI2164">
        <v>92.663591212231694</v>
      </c>
      <c r="AJ2164">
        <v>70.343335434703405</v>
      </c>
      <c r="AK2164">
        <v>22.515437580023299</v>
      </c>
    </row>
    <row r="2165" spans="1:37" x14ac:dyDescent="0.2">
      <c r="A2165" t="str">
        <f>"20200111150635808"</f>
        <v>20200111150635808</v>
      </c>
      <c r="B2165" t="str">
        <f>"1578726395798800"</f>
        <v>1578726395798800</v>
      </c>
      <c r="C2165" t="s">
        <v>37</v>
      </c>
      <c r="D2165">
        <v>4.857316</v>
      </c>
      <c r="E2165">
        <v>0.61920699999999995</v>
      </c>
      <c r="F2165" t="s">
        <v>39</v>
      </c>
      <c r="G2165">
        <v>-306.13819999999998</v>
      </c>
      <c r="H2165" s="1">
        <v>-4.6738360000000002E-6</v>
      </c>
      <c r="I2165">
        <v>-22.478449999999999</v>
      </c>
      <c r="J2165">
        <v>-303.75259999999997</v>
      </c>
      <c r="K2165">
        <v>1.0512629999999901</v>
      </c>
      <c r="L2165">
        <v>-1.235352</v>
      </c>
      <c r="M2165">
        <v>0.21837409999999999</v>
      </c>
      <c r="N2165">
        <v>0</v>
      </c>
      <c r="O2165">
        <v>-0.97583829999999905</v>
      </c>
      <c r="P2165">
        <v>0.19822129999999999</v>
      </c>
      <c r="Q2165">
        <v>0.1486217</v>
      </c>
      <c r="R2165">
        <v>-0.96882429999999997</v>
      </c>
      <c r="S2165">
        <v>-0.32904050000000001</v>
      </c>
      <c r="T2165">
        <v>-0.15289320000000001</v>
      </c>
      <c r="U2165">
        <v>-3.1990050000000001</v>
      </c>
      <c r="V2165">
        <v>2.1389789999999999E-2</v>
      </c>
      <c r="W2165">
        <v>0.15537699999999999</v>
      </c>
      <c r="X2165">
        <v>0.98762359999999905</v>
      </c>
      <c r="Y2165">
        <v>0.31697059999999999</v>
      </c>
      <c r="Z2165">
        <v>4.4656559999999998E-2</v>
      </c>
      <c r="AA2165">
        <v>0.94738349999999905</v>
      </c>
      <c r="AB2165">
        <v>33</v>
      </c>
      <c r="AC2165">
        <v>-2.3856000000000099</v>
      </c>
      <c r="AD2165">
        <v>-1.0512676738359901</v>
      </c>
      <c r="AE2165">
        <v>-21.243098</v>
      </c>
      <c r="AF2165">
        <v>6.9502753519024498</v>
      </c>
      <c r="AG2165">
        <v>-1.0512676738359901</v>
      </c>
      <c r="AH2165">
        <v>20.160645769921999</v>
      </c>
      <c r="AI2165">
        <v>92.8222426081565</v>
      </c>
      <c r="AJ2165">
        <v>70.978639503337803</v>
      </c>
      <c r="AK2165">
        <v>21.350951478788701</v>
      </c>
    </row>
    <row r="2166" spans="1:37" x14ac:dyDescent="0.2">
      <c r="A2166" t="str">
        <f>"20200111150635838"</f>
        <v>20200111150635838</v>
      </c>
      <c r="B2166" t="str">
        <f>"1578726395829057"</f>
        <v>1578726395829057</v>
      </c>
      <c r="C2166" t="s">
        <v>37</v>
      </c>
      <c r="D2166">
        <v>4.9063689999999998</v>
      </c>
      <c r="E2166">
        <v>0.61678580000000005</v>
      </c>
      <c r="F2166" t="s">
        <v>39</v>
      </c>
      <c r="G2166">
        <v>-306.19170000000003</v>
      </c>
      <c r="H2166" s="1">
        <v>-4.254643E-6</v>
      </c>
      <c r="I2166">
        <v>-23.73818</v>
      </c>
      <c r="J2166">
        <v>-303.66480000000001</v>
      </c>
      <c r="K2166">
        <v>1.055013</v>
      </c>
      <c r="L2166">
        <v>-1.68045</v>
      </c>
      <c r="M2166">
        <v>0.2050245</v>
      </c>
      <c r="N2166">
        <v>0</v>
      </c>
      <c r="O2166">
        <v>-0.97874189999999905</v>
      </c>
      <c r="P2166">
        <v>0.1870096</v>
      </c>
      <c r="Q2166">
        <v>0.15244849999999999</v>
      </c>
      <c r="R2166">
        <v>-0.97045729999999997</v>
      </c>
      <c r="S2166">
        <v>-0.34579470000000001</v>
      </c>
      <c r="T2166">
        <v>-0.1490349</v>
      </c>
      <c r="U2166">
        <v>-3.1901549999999999</v>
      </c>
      <c r="V2166">
        <v>1.8732370000000002E-2</v>
      </c>
      <c r="W2166">
        <v>0.1575175</v>
      </c>
      <c r="X2166">
        <v>0.98733850000000001</v>
      </c>
      <c r="Y2166">
        <v>0.30919580000000002</v>
      </c>
      <c r="Z2166">
        <v>4.3902219999999999E-2</v>
      </c>
      <c r="AA2166">
        <v>0.94998449999999901</v>
      </c>
      <c r="AB2166">
        <v>33</v>
      </c>
      <c r="AC2166">
        <v>-2.5269000000000101</v>
      </c>
      <c r="AD2166">
        <v>-1.0550172546429999</v>
      </c>
      <c r="AE2166">
        <v>-22.057729999999999</v>
      </c>
      <c r="AF2166">
        <v>6.9798992598517202</v>
      </c>
      <c r="AG2166">
        <v>-1.0550172546429999</v>
      </c>
      <c r="AH2166">
        <v>21.023583835860499</v>
      </c>
      <c r="AI2166">
        <v>92.726727049047497</v>
      </c>
      <c r="AJ2166">
        <v>71.633663169060796</v>
      </c>
      <c r="AK2166">
        <v>22.177085750583402</v>
      </c>
    </row>
    <row r="2167" spans="1:37" x14ac:dyDescent="0.2">
      <c r="A2167" t="str">
        <f>"20200111150635874"</f>
        <v>20200111150635874</v>
      </c>
      <c r="B2167" t="str">
        <f>"1578726395869072"</f>
        <v>1578726395869072</v>
      </c>
      <c r="C2167" t="s">
        <v>37</v>
      </c>
      <c r="D2167">
        <v>4.8838220000000003</v>
      </c>
      <c r="E2167">
        <v>0.61450229999999995</v>
      </c>
      <c r="F2167" t="s">
        <v>39</v>
      </c>
      <c r="G2167">
        <v>-306.36070000000001</v>
      </c>
      <c r="H2167" s="1">
        <v>-3.7345719999999999E-6</v>
      </c>
      <c r="I2167">
        <v>-25.354489999999998</v>
      </c>
      <c r="J2167">
        <v>-303.56689999999998</v>
      </c>
      <c r="K2167">
        <v>1.0588379999999999</v>
      </c>
      <c r="L2167">
        <v>-2.1919559999999998</v>
      </c>
      <c r="M2167">
        <v>0.19065209999999999</v>
      </c>
      <c r="N2167">
        <v>0</v>
      </c>
      <c r="O2167">
        <v>-0.98164660000000004</v>
      </c>
      <c r="P2167">
        <v>0.174177</v>
      </c>
      <c r="Q2167">
        <v>0.15543360000000001</v>
      </c>
      <c r="R2167">
        <v>-0.97236979999999995</v>
      </c>
      <c r="S2167">
        <v>-0.36251830000000002</v>
      </c>
      <c r="T2167">
        <v>-0.1418692</v>
      </c>
      <c r="U2167">
        <v>-3.1834720000000001</v>
      </c>
      <c r="V2167">
        <v>1.7100839999999999E-2</v>
      </c>
      <c r="W2167">
        <v>0.15978059999999999</v>
      </c>
      <c r="X2167">
        <v>0.9870044</v>
      </c>
      <c r="Y2167">
        <v>0.30039189999999999</v>
      </c>
      <c r="Z2167">
        <v>4.2126959999999998E-2</v>
      </c>
      <c r="AA2167">
        <v>0.95288510000000004</v>
      </c>
      <c r="AB2167">
        <v>32</v>
      </c>
      <c r="AC2167">
        <v>-2.7938000000000298</v>
      </c>
      <c r="AD2167">
        <v>-1.058841734572</v>
      </c>
      <c r="AE2167">
        <v>-23.162534000000001</v>
      </c>
      <c r="AF2167">
        <v>7.1438731142228402</v>
      </c>
      <c r="AG2167">
        <v>-1.058841734572</v>
      </c>
      <c r="AH2167">
        <v>22.159377110742199</v>
      </c>
      <c r="AI2167">
        <v>92.603908298167795</v>
      </c>
      <c r="AJ2167">
        <v>72.131404821820496</v>
      </c>
      <c r="AK2167">
        <v>23.306524039999399</v>
      </c>
    </row>
    <row r="2168" spans="1:37" x14ac:dyDescent="0.2">
      <c r="A2168" t="str">
        <f>"20200111150635904"</f>
        <v>20200111150635904</v>
      </c>
      <c r="B2168" t="str">
        <f>"1578726395899328"</f>
        <v>1578726395899328</v>
      </c>
      <c r="C2168" t="s">
        <v>37</v>
      </c>
      <c r="D2168">
        <v>4.9623889999999999</v>
      </c>
      <c r="E2168">
        <v>0.59877969999999903</v>
      </c>
      <c r="F2168" t="s">
        <v>39</v>
      </c>
      <c r="G2168">
        <v>-306.48649999999998</v>
      </c>
      <c r="H2168" s="1">
        <v>-3.4539069999999899E-6</v>
      </c>
      <c r="I2168">
        <v>-26.24483</v>
      </c>
      <c r="J2168">
        <v>-303.49</v>
      </c>
      <c r="K2168">
        <v>1.0618809999999901</v>
      </c>
      <c r="L2168">
        <v>-2.617432</v>
      </c>
      <c r="M2168">
        <v>0.18305639999999901</v>
      </c>
      <c r="N2168">
        <v>0</v>
      </c>
      <c r="O2168">
        <v>-0.98309139999999995</v>
      </c>
      <c r="P2168">
        <v>0.17044709999999999</v>
      </c>
      <c r="Q2168">
        <v>0.15751270000000001</v>
      </c>
      <c r="R2168">
        <v>-0.97269640000000002</v>
      </c>
      <c r="S2168">
        <v>-0.38558959999999998</v>
      </c>
      <c r="T2168">
        <v>-0.1398414</v>
      </c>
      <c r="U2168">
        <v>-3.176666</v>
      </c>
      <c r="V2168">
        <v>1.340644E-2</v>
      </c>
      <c r="W2168">
        <v>0.16191539999999999</v>
      </c>
      <c r="X2168">
        <v>0.98671359999999997</v>
      </c>
      <c r="Y2168">
        <v>0.30007529999999999</v>
      </c>
      <c r="Z2168">
        <v>4.1693969999999997E-2</v>
      </c>
      <c r="AA2168">
        <v>0.95300390000000001</v>
      </c>
      <c r="AB2168">
        <v>32</v>
      </c>
      <c r="AC2168">
        <v>-2.9964999999999602</v>
      </c>
      <c r="AD2168">
        <v>-1.06188445390699</v>
      </c>
      <c r="AE2168">
        <v>-23.627397999999999</v>
      </c>
      <c r="AF2168">
        <v>7.2566331097674803</v>
      </c>
      <c r="AG2168">
        <v>-1.06188445390699</v>
      </c>
      <c r="AH2168">
        <v>22.634613627832401</v>
      </c>
      <c r="AI2168">
        <v>92.557955422667902</v>
      </c>
      <c r="AJ2168">
        <v>72.2242047372077</v>
      </c>
      <c r="AK2168">
        <v>23.793109438753099</v>
      </c>
    </row>
    <row r="2169" spans="1:37" x14ac:dyDescent="0.2">
      <c r="A2169" t="str">
        <f>"20200111150635942"</f>
        <v>20200111150635942</v>
      </c>
      <c r="B2169" t="str">
        <f>"1578726395939345"</f>
        <v>1578726395939345</v>
      </c>
      <c r="C2169" t="s">
        <v>37</v>
      </c>
      <c r="D2169">
        <v>4.9943339999999896</v>
      </c>
      <c r="E2169">
        <v>0.59751730000000003</v>
      </c>
      <c r="F2169" t="s">
        <v>39</v>
      </c>
      <c r="G2169">
        <v>-305.43150000000003</v>
      </c>
      <c r="H2169" s="1">
        <v>-3.7606090000000001E-6</v>
      </c>
      <c r="I2169">
        <v>-24.79363</v>
      </c>
      <c r="J2169">
        <v>-303.39909999999998</v>
      </c>
      <c r="K2169">
        <v>1.066859</v>
      </c>
      <c r="L2169">
        <v>-3.1542970000000001</v>
      </c>
      <c r="M2169">
        <v>0.1749416</v>
      </c>
      <c r="N2169">
        <v>0</v>
      </c>
      <c r="O2169">
        <v>-0.98456809999999995</v>
      </c>
      <c r="P2169">
        <v>0.16880200000000001</v>
      </c>
      <c r="Q2169">
        <v>0.1601175</v>
      </c>
      <c r="R2169">
        <v>-0.97255759999999902</v>
      </c>
      <c r="S2169">
        <v>-0.27639770000000002</v>
      </c>
      <c r="T2169">
        <v>-0.15117620000000001</v>
      </c>
      <c r="U2169">
        <v>-3.1571349999999998</v>
      </c>
      <c r="V2169">
        <v>6.8216989999999996E-3</v>
      </c>
      <c r="W2169">
        <v>0.1645527</v>
      </c>
      <c r="X2169">
        <v>0.98634469999999996</v>
      </c>
      <c r="Y2169">
        <v>0.26004890000000003</v>
      </c>
      <c r="Z2169">
        <v>4.5809969999999998E-2</v>
      </c>
      <c r="AA2169">
        <v>0.96450820000000004</v>
      </c>
      <c r="AB2169">
        <v>32</v>
      </c>
      <c r="AC2169">
        <v>-2.0324000000000502</v>
      </c>
      <c r="AD2169">
        <v>-1.066862760609</v>
      </c>
      <c r="AE2169">
        <v>-21.639333000000001</v>
      </c>
      <c r="AF2169">
        <v>5.7728075720675402</v>
      </c>
      <c r="AG2169">
        <v>-1.066862760609</v>
      </c>
      <c r="AH2169">
        <v>20.899710135721602</v>
      </c>
      <c r="AI2169">
        <v>92.816924673375794</v>
      </c>
      <c r="AJ2169">
        <v>74.559063883020897</v>
      </c>
      <c r="AK2169">
        <v>21.708555621489001</v>
      </c>
    </row>
    <row r="2170" spans="1:37" x14ac:dyDescent="0.2">
      <c r="A2170" t="str">
        <f>"20200111150635987"</f>
        <v>20200111150635987</v>
      </c>
      <c r="B2170" t="str">
        <f>"1578726395979360"</f>
        <v>1578726395979360</v>
      </c>
      <c r="C2170" t="s">
        <v>37</v>
      </c>
      <c r="D2170">
        <v>5.0007089999999996</v>
      </c>
      <c r="E2170">
        <v>0.59514140000000004</v>
      </c>
      <c r="F2170" t="s">
        <v>39</v>
      </c>
      <c r="G2170">
        <v>-305.27289999999999</v>
      </c>
      <c r="H2170" s="1">
        <v>-3.6652089999999899E-6</v>
      </c>
      <c r="I2170">
        <v>-24.991340000000001</v>
      </c>
      <c r="J2170">
        <v>-303.2953</v>
      </c>
      <c r="K2170">
        <v>1.074149</v>
      </c>
      <c r="L2170">
        <v>-3.8048099999999998</v>
      </c>
      <c r="M2170">
        <v>0.16488989999999901</v>
      </c>
      <c r="N2170">
        <v>0</v>
      </c>
      <c r="O2170">
        <v>-0.98629929999999999</v>
      </c>
      <c r="P2170">
        <v>0.16261639999999999</v>
      </c>
      <c r="Q2170">
        <v>0.1550253</v>
      </c>
      <c r="R2170">
        <v>-0.97443489999999999</v>
      </c>
      <c r="S2170">
        <v>-0.27090449999999999</v>
      </c>
      <c r="T2170">
        <v>-0.15424089999999999</v>
      </c>
      <c r="U2170">
        <v>-3.1570740000000002</v>
      </c>
      <c r="V2170">
        <v>2.556422E-3</v>
      </c>
      <c r="W2170">
        <v>0.159944</v>
      </c>
      <c r="X2170">
        <v>0.98712279999999997</v>
      </c>
      <c r="Y2170">
        <v>0.24851390000000001</v>
      </c>
      <c r="Z2170">
        <v>4.694185E-2</v>
      </c>
      <c r="AA2170">
        <v>0.96749019999999997</v>
      </c>
      <c r="AB2170">
        <v>32</v>
      </c>
      <c r="AC2170">
        <v>-1.97759999999999</v>
      </c>
      <c r="AD2170">
        <v>-1.0741526652090001</v>
      </c>
      <c r="AE2170">
        <v>-21.186530000000001</v>
      </c>
      <c r="AF2170">
        <v>5.4301808438121801</v>
      </c>
      <c r="AG2170">
        <v>-1.0741526652090001</v>
      </c>
      <c r="AH2170">
        <v>20.518144994932602</v>
      </c>
      <c r="AI2170">
        <v>92.897209936803904</v>
      </c>
      <c r="AJ2170">
        <v>75.176371911473396</v>
      </c>
      <c r="AK2170">
        <v>21.251704448767299</v>
      </c>
    </row>
    <row r="2171" spans="1:37" x14ac:dyDescent="0.2">
      <c r="A2171" t="str">
        <f>"20200111150636016"</f>
        <v>20200111150636016</v>
      </c>
      <c r="B2171" t="str">
        <f>"1578726396008640"</f>
        <v>1578726396008640</v>
      </c>
      <c r="C2171" t="s">
        <v>37</v>
      </c>
      <c r="D2171">
        <v>5.0074829999999997</v>
      </c>
      <c r="E2171">
        <v>0.58506409999999998</v>
      </c>
      <c r="F2171" t="s">
        <v>39</v>
      </c>
      <c r="G2171">
        <v>-304.85599999999999</v>
      </c>
      <c r="H2171" s="1">
        <v>-4.6007260000000001E-6</v>
      </c>
      <c r="I2171">
        <v>-22.02497</v>
      </c>
      <c r="J2171">
        <v>-303.22890000000001</v>
      </c>
      <c r="K2171">
        <v>1.0788500000000001</v>
      </c>
      <c r="L2171">
        <v>-4.2376100000000001</v>
      </c>
      <c r="M2171">
        <v>0.15908329999999901</v>
      </c>
      <c r="N2171">
        <v>0</v>
      </c>
      <c r="O2171">
        <v>-0.9872493</v>
      </c>
      <c r="P2171">
        <v>0.15946729999999901</v>
      </c>
      <c r="Q2171">
        <v>0.1533137</v>
      </c>
      <c r="R2171">
        <v>-0.97522569999999997</v>
      </c>
      <c r="S2171">
        <v>-0.27011109999999999</v>
      </c>
      <c r="T2171">
        <v>-0.18590299999999901</v>
      </c>
      <c r="U2171">
        <v>-3.1533509999999998</v>
      </c>
      <c r="V2171">
        <v>-4.0658190000000002E-4</v>
      </c>
      <c r="W2171">
        <v>0.158882</v>
      </c>
      <c r="X2171">
        <v>0.98729750000000005</v>
      </c>
      <c r="Y2171">
        <v>0.242621</v>
      </c>
      <c r="Z2171">
        <v>5.6742679999999997E-2</v>
      </c>
      <c r="AA2171">
        <v>0.96846030000000005</v>
      </c>
      <c r="AB2171">
        <v>33</v>
      </c>
      <c r="AC2171">
        <v>-1.62709999999998</v>
      </c>
      <c r="AD2171">
        <v>-1.078854600726</v>
      </c>
      <c r="AE2171">
        <v>-17.78736</v>
      </c>
      <c r="AF2171">
        <v>4.4199696108427098</v>
      </c>
      <c r="AG2171">
        <v>-1.078854600726</v>
      </c>
      <c r="AH2171">
        <v>17.239092827302802</v>
      </c>
      <c r="AI2171">
        <v>93.469085242683605</v>
      </c>
      <c r="AJ2171">
        <v>75.619574042567294</v>
      </c>
      <c r="AK2171">
        <v>17.829368472232598</v>
      </c>
    </row>
    <row r="2172" spans="1:37" x14ac:dyDescent="0.2">
      <c r="A2172" t="str">
        <f>"20200111150636052"</f>
        <v>20200111150636052</v>
      </c>
      <c r="B2172" t="str">
        <f>"1578726396048657"</f>
        <v>1578726396048657</v>
      </c>
      <c r="C2172" t="s">
        <v>37</v>
      </c>
      <c r="D2172">
        <v>5.0768129999999996</v>
      </c>
      <c r="E2172">
        <v>0.58183509999999905</v>
      </c>
      <c r="F2172" t="s">
        <v>39</v>
      </c>
      <c r="G2172">
        <v>-304.15429999999998</v>
      </c>
      <c r="H2172" s="1">
        <v>-1.7748519999999899E-6</v>
      </c>
      <c r="I2172">
        <v>-18.850259999999999</v>
      </c>
      <c r="J2172">
        <v>-303.1506</v>
      </c>
      <c r="K2172">
        <v>1.0839719999999999</v>
      </c>
      <c r="L2172">
        <v>-4.75943</v>
      </c>
      <c r="M2172">
        <v>0.15392449999999999</v>
      </c>
      <c r="N2172">
        <v>0</v>
      </c>
      <c r="O2172">
        <v>-0.98806149999999904</v>
      </c>
      <c r="P2172">
        <v>0.15435099999999999</v>
      </c>
      <c r="Q2172">
        <v>0.15387229999999999</v>
      </c>
      <c r="R2172">
        <v>-0.97596090000000002</v>
      </c>
      <c r="S2172">
        <v>-0.19918820000000001</v>
      </c>
      <c r="T2172">
        <v>-0.23221710000000001</v>
      </c>
      <c r="U2172">
        <v>-3.1452939999999998</v>
      </c>
      <c r="V2172">
        <v>-7.9855629999999996E-4</v>
      </c>
      <c r="W2172">
        <v>0.1602951</v>
      </c>
      <c r="X2172">
        <v>0.98706879999999997</v>
      </c>
      <c r="Y2172">
        <v>0.21590100000000001</v>
      </c>
      <c r="Z2172">
        <v>7.1372519999999995E-2</v>
      </c>
      <c r="AA2172">
        <v>0.97380319999999898</v>
      </c>
      <c r="AB2172">
        <v>33</v>
      </c>
      <c r="AC2172">
        <v>-1.0036999999999801</v>
      </c>
      <c r="AD2172">
        <v>-1.083973774852</v>
      </c>
      <c r="AE2172">
        <v>-14.09083</v>
      </c>
      <c r="AF2172">
        <v>3.14220597293287</v>
      </c>
      <c r="AG2172">
        <v>-1.083973774852</v>
      </c>
      <c r="AH2172">
        <v>13.6878062699291</v>
      </c>
      <c r="AI2172">
        <v>94.4136231683798</v>
      </c>
      <c r="AJ2172">
        <v>77.071049438895002</v>
      </c>
      <c r="AK2172">
        <v>14.085613156835301</v>
      </c>
    </row>
    <row r="2173" spans="1:37" x14ac:dyDescent="0.2">
      <c r="A2173" t="str">
        <f>"20200111150636083"</f>
        <v>20200111150636083</v>
      </c>
      <c r="B2173" t="str">
        <f>"1578726396078912"</f>
        <v>1578726396078912</v>
      </c>
      <c r="C2173" t="s">
        <v>37</v>
      </c>
      <c r="D2173">
        <v>5.0485899999999999</v>
      </c>
      <c r="E2173">
        <v>0.57382049999999996</v>
      </c>
      <c r="F2173" t="s">
        <v>39</v>
      </c>
      <c r="G2173">
        <v>-303.97669999999999</v>
      </c>
      <c r="H2173" s="1">
        <v>-1.7398320000000001E-6</v>
      </c>
      <c r="I2173">
        <v>-18.82178</v>
      </c>
      <c r="J2173">
        <v>-303.08390000000003</v>
      </c>
      <c r="K2173">
        <v>1.087839</v>
      </c>
      <c r="L2173">
        <v>-5.2106019999999997</v>
      </c>
      <c r="M2173">
        <v>0.15113859999999901</v>
      </c>
      <c r="N2173">
        <v>0</v>
      </c>
      <c r="O2173">
        <v>-0.98848609999999903</v>
      </c>
      <c r="P2173">
        <v>0.15096599999999999</v>
      </c>
      <c r="Q2173">
        <v>0.15401599999999999</v>
      </c>
      <c r="R2173">
        <v>-0.97646739999999999</v>
      </c>
      <c r="S2173">
        <v>-0.1845398</v>
      </c>
      <c r="T2173">
        <v>-0.24213939999999901</v>
      </c>
      <c r="U2173">
        <v>-3.1412659999999999</v>
      </c>
      <c r="V2173">
        <v>-5.0054850000000003E-4</v>
      </c>
      <c r="W2173">
        <v>0.16117889999999899</v>
      </c>
      <c r="X2173">
        <v>0.9869251</v>
      </c>
      <c r="Y2173">
        <v>0.20868419999999999</v>
      </c>
      <c r="Z2173">
        <v>7.4619859999999996E-2</v>
      </c>
      <c r="AA2173">
        <v>0.9751322</v>
      </c>
      <c r="AB2173">
        <v>33</v>
      </c>
      <c r="AC2173">
        <v>-0.89279999999996495</v>
      </c>
      <c r="AD2173">
        <v>-1.087840739832</v>
      </c>
      <c r="AE2173">
        <v>-13.611178000000001</v>
      </c>
      <c r="AF2173">
        <v>2.9211921983390199</v>
      </c>
      <c r="AG2173">
        <v>-1.087840739832</v>
      </c>
      <c r="AH2173">
        <v>13.235689998574699</v>
      </c>
      <c r="AI2173">
        <v>94.5886354253457</v>
      </c>
      <c r="AJ2173">
        <v>77.554020314179397</v>
      </c>
      <c r="AK2173">
        <v>13.597803170852499</v>
      </c>
    </row>
    <row r="2174" spans="1:37" x14ac:dyDescent="0.2">
      <c r="A2174" t="str">
        <f>"20200111150636107"</f>
        <v>20200111150636107</v>
      </c>
      <c r="B2174" t="str">
        <f>"1578726396099128"</f>
        <v>1578726396099128</v>
      </c>
      <c r="C2174" t="s">
        <v>37</v>
      </c>
      <c r="D2174">
        <v>5.0465119999999999</v>
      </c>
      <c r="E2174">
        <v>0.57358520000000002</v>
      </c>
      <c r="F2174" t="s">
        <v>38</v>
      </c>
      <c r="G2174">
        <v>-303.12040000000002</v>
      </c>
      <c r="H2174">
        <v>1.0183990000000001</v>
      </c>
      <c r="I2174">
        <v>-6.0770850000000003</v>
      </c>
      <c r="J2174">
        <v>-303.0326</v>
      </c>
      <c r="K2174">
        <v>1.090538</v>
      </c>
      <c r="L2174">
        <v>-5.558014</v>
      </c>
      <c r="M2174">
        <v>0.14982979999999901</v>
      </c>
      <c r="N2174">
        <v>0</v>
      </c>
      <c r="O2174">
        <v>-0.98868099999999903</v>
      </c>
      <c r="P2174">
        <v>0.1486315</v>
      </c>
      <c r="Q2174">
        <v>0.1546932</v>
      </c>
      <c r="R2174">
        <v>-0.97671849999999905</v>
      </c>
      <c r="S2174">
        <v>-0.1316223</v>
      </c>
      <c r="T2174">
        <v>-0.25102459999999999</v>
      </c>
      <c r="U2174">
        <v>-3.1322329999999998</v>
      </c>
      <c r="V2174">
        <v>2.727901E-4</v>
      </c>
      <c r="W2174">
        <v>0.16239999999999999</v>
      </c>
      <c r="X2174">
        <v>0.98672499999999996</v>
      </c>
      <c r="Y2174">
        <v>0.19108020000000001</v>
      </c>
      <c r="Z2174">
        <v>7.7763070000000004E-2</v>
      </c>
      <c r="AA2174">
        <v>0.97848930000000001</v>
      </c>
      <c r="AB2174">
        <v>33</v>
      </c>
      <c r="AC2174">
        <v>-8.7800000000015602E-2</v>
      </c>
      <c r="AD2174">
        <v>-7.2138999999999898E-2</v>
      </c>
      <c r="AE2174">
        <v>-0.51907099999999995</v>
      </c>
      <c r="AF2174">
        <v>0.16155001906855301</v>
      </c>
      <c r="AG2174">
        <v>-7.2138999999999898E-2</v>
      </c>
      <c r="AH2174">
        <v>0.490839125783741</v>
      </c>
      <c r="AI2174">
        <v>97.947341325519801</v>
      </c>
      <c r="AJ2174">
        <v>71.782059247723197</v>
      </c>
      <c r="AK2174">
        <v>0.52175232762508805</v>
      </c>
    </row>
    <row r="2175" spans="1:37" x14ac:dyDescent="0.2">
      <c r="A2175" t="str">
        <f>"20200111150636142"</f>
        <v>20200111150636142</v>
      </c>
      <c r="B2175" t="str">
        <f>"1578726396139144"</f>
        <v>1578726396139144</v>
      </c>
      <c r="C2175" t="s">
        <v>37</v>
      </c>
      <c r="D2175">
        <v>5.1489459999999996</v>
      </c>
      <c r="E2175">
        <v>0.5731484</v>
      </c>
      <c r="F2175" t="s">
        <v>39</v>
      </c>
      <c r="G2175">
        <v>-303.64179999999999</v>
      </c>
      <c r="H2175" s="1">
        <v>-1.3819780000000001E-6</v>
      </c>
      <c r="I2175">
        <v>-19.4482</v>
      </c>
      <c r="J2175">
        <v>-302.9597</v>
      </c>
      <c r="K2175">
        <v>1.093853</v>
      </c>
      <c r="L2175">
        <v>-6.0481259999999999</v>
      </c>
      <c r="M2175">
        <v>0.14919779999999999</v>
      </c>
      <c r="N2175">
        <v>0</v>
      </c>
      <c r="O2175">
        <v>-0.9887705</v>
      </c>
      <c r="P2175">
        <v>0.14106279999999999</v>
      </c>
      <c r="Q2175">
        <v>0.15812190000000001</v>
      </c>
      <c r="R2175">
        <v>-0.97729149999999998</v>
      </c>
      <c r="S2175">
        <v>-0.13732910000000001</v>
      </c>
      <c r="T2175">
        <v>-0.24584690000000001</v>
      </c>
      <c r="U2175">
        <v>-3.131348</v>
      </c>
      <c r="V2175">
        <v>6.8528829999999997E-3</v>
      </c>
      <c r="W2175">
        <v>0.1665169</v>
      </c>
      <c r="X2175">
        <v>0.98601479999999997</v>
      </c>
      <c r="Y2175">
        <v>0.19225059999999999</v>
      </c>
      <c r="Z2175">
        <v>7.6189580000000007E-2</v>
      </c>
      <c r="AA2175">
        <v>0.97838380000000003</v>
      </c>
      <c r="AB2175">
        <v>33</v>
      </c>
      <c r="AC2175">
        <v>-0.68209999999999105</v>
      </c>
      <c r="AD2175">
        <v>-1.093854381978</v>
      </c>
      <c r="AE2175">
        <v>-13.400073999999901</v>
      </c>
      <c r="AF2175">
        <v>2.6561458237359998</v>
      </c>
      <c r="AG2175">
        <v>-1.093854381978</v>
      </c>
      <c r="AH2175">
        <v>13.061498603659301</v>
      </c>
      <c r="AI2175">
        <v>94.691565498948805</v>
      </c>
      <c r="AJ2175">
        <v>78.505248998027099</v>
      </c>
      <c r="AK2175">
        <v>13.3736447470133</v>
      </c>
    </row>
    <row r="2176" spans="1:37" x14ac:dyDescent="0.2">
      <c r="A2176" t="str">
        <f>"20200111150636174"</f>
        <v>20200111150636174</v>
      </c>
      <c r="B2176" t="str">
        <f>"1578726396169399"</f>
        <v>1578726396169399</v>
      </c>
      <c r="C2176" t="s">
        <v>37</v>
      </c>
      <c r="D2176">
        <v>5.115837</v>
      </c>
      <c r="E2176">
        <v>0.57240769999999996</v>
      </c>
      <c r="F2176" t="s">
        <v>39</v>
      </c>
      <c r="G2176">
        <v>-303.67200000000003</v>
      </c>
      <c r="H2176" s="1">
        <v>-1.028539E-6</v>
      </c>
      <c r="I2176">
        <v>-20.290779999999899</v>
      </c>
      <c r="J2176">
        <v>-302.890999999999</v>
      </c>
      <c r="K2176">
        <v>1.0964430000000001</v>
      </c>
      <c r="L2176">
        <v>-6.503876</v>
      </c>
      <c r="M2176">
        <v>0.14967320000000001</v>
      </c>
      <c r="N2176">
        <v>0</v>
      </c>
      <c r="O2176">
        <v>-0.98869359999999995</v>
      </c>
      <c r="P2176">
        <v>0.13745489999999999</v>
      </c>
      <c r="Q2176">
        <v>0.157792299999999</v>
      </c>
      <c r="R2176">
        <v>-0.97785929999999999</v>
      </c>
      <c r="S2176">
        <v>-0.15658569999999999</v>
      </c>
      <c r="T2176">
        <v>-0.240482</v>
      </c>
      <c r="U2176">
        <v>-3.1312259999999998</v>
      </c>
      <c r="V2176">
        <v>1.066308E-2</v>
      </c>
      <c r="W2176">
        <v>0.166788299999999</v>
      </c>
      <c r="X2176">
        <v>0.98593509999999995</v>
      </c>
      <c r="Y2176">
        <v>0.19873060000000001</v>
      </c>
      <c r="Z2176">
        <v>7.4471029999999994E-2</v>
      </c>
      <c r="AA2176">
        <v>0.97722070000000005</v>
      </c>
      <c r="AB2176">
        <v>33</v>
      </c>
      <c r="AC2176">
        <v>-0.78100000000006198</v>
      </c>
      <c r="AD2176">
        <v>-1.096444028539</v>
      </c>
      <c r="AE2176">
        <v>-13.7869039999999</v>
      </c>
      <c r="AF2176">
        <v>2.8180509916490002</v>
      </c>
      <c r="AG2176">
        <v>-1.096444028539</v>
      </c>
      <c r="AH2176">
        <v>13.4300201167538</v>
      </c>
      <c r="AI2176">
        <v>94.568297476115504</v>
      </c>
      <c r="AJ2176">
        <v>78.149428016002503</v>
      </c>
      <c r="AK2176">
        <v>13.7662282864866</v>
      </c>
    </row>
    <row r="2177" spans="1:37" x14ac:dyDescent="0.2">
      <c r="A2177" t="str">
        <f>"20200111150636198"</f>
        <v>20200111150636198</v>
      </c>
      <c r="B2177" t="str">
        <f>"1578726396188554"</f>
        <v>1578726396188554</v>
      </c>
      <c r="C2177" t="s">
        <v>37</v>
      </c>
      <c r="D2177">
        <v>5.2512679999999996</v>
      </c>
      <c r="E2177">
        <v>0.56506499999999904</v>
      </c>
      <c r="F2177" t="s">
        <v>39</v>
      </c>
      <c r="G2177">
        <v>-303.60840000000002</v>
      </c>
      <c r="H2177" s="1">
        <v>-9.7791009999999999E-7</v>
      </c>
      <c r="I2177">
        <v>-20.369389999999999</v>
      </c>
      <c r="J2177">
        <v>-302.83730000000003</v>
      </c>
      <c r="K2177">
        <v>1.0980700000000001</v>
      </c>
      <c r="L2177">
        <v>-6.8542789999999902</v>
      </c>
      <c r="M2177">
        <v>0.15068570000000001</v>
      </c>
      <c r="N2177">
        <v>0</v>
      </c>
      <c r="O2177">
        <v>-0.98853590000000002</v>
      </c>
      <c r="P2177">
        <v>0.1341762</v>
      </c>
      <c r="Q2177">
        <v>0.15819449999999999</v>
      </c>
      <c r="R2177">
        <v>-0.97824949999999999</v>
      </c>
      <c r="S2177">
        <v>-0.161987299999999</v>
      </c>
      <c r="T2177">
        <v>-0.24756220000000001</v>
      </c>
      <c r="U2177">
        <v>-3.130646</v>
      </c>
      <c r="V2177">
        <v>1.477383E-2</v>
      </c>
      <c r="W2177">
        <v>0.16760159999999999</v>
      </c>
      <c r="X2177">
        <v>0.98574409999999901</v>
      </c>
      <c r="Y2177">
        <v>0.20141600000000001</v>
      </c>
      <c r="Z2177">
        <v>7.6621099999999998E-2</v>
      </c>
      <c r="AA2177">
        <v>0.97650439999999905</v>
      </c>
      <c r="AB2177">
        <v>33</v>
      </c>
      <c r="AC2177">
        <v>-0.77109999999998902</v>
      </c>
      <c r="AD2177">
        <v>-1.0980709779101001</v>
      </c>
      <c r="AE2177">
        <v>-13.515110999999999</v>
      </c>
      <c r="AF2177">
        <v>2.78062493085045</v>
      </c>
      <c r="AG2177">
        <v>-1.0980709779101001</v>
      </c>
      <c r="AH2177">
        <v>13.1580021104088</v>
      </c>
      <c r="AI2177">
        <v>94.667814498880304</v>
      </c>
      <c r="AJ2177">
        <v>78.0674876648158</v>
      </c>
      <c r="AK2177">
        <v>13.4933559360197</v>
      </c>
    </row>
    <row r="2178" spans="1:37" x14ac:dyDescent="0.2">
      <c r="A2178" t="str">
        <f>"20200111150636231"</f>
        <v>20200111150636231</v>
      </c>
      <c r="B2178" t="str">
        <f>"1578726396228562"</f>
        <v>1578726396228562</v>
      </c>
      <c r="C2178" t="s">
        <v>37</v>
      </c>
      <c r="D2178">
        <v>5.1745989999999997</v>
      </c>
      <c r="E2178">
        <v>0.56261059999999996</v>
      </c>
      <c r="F2178" t="s">
        <v>38</v>
      </c>
      <c r="G2178">
        <v>-302.8723</v>
      </c>
      <c r="H2178">
        <v>1.0156350000000001</v>
      </c>
      <c r="I2178">
        <v>-7.8001969999999998</v>
      </c>
      <c r="J2178">
        <v>-302.7629</v>
      </c>
      <c r="K2178">
        <v>1.0998669999999999</v>
      </c>
      <c r="L2178">
        <v>-7.3310240000000002</v>
      </c>
      <c r="M2178">
        <v>0.152622799999999</v>
      </c>
      <c r="N2178">
        <v>0</v>
      </c>
      <c r="O2178">
        <v>-0.98823369999999999</v>
      </c>
      <c r="P2178">
        <v>0.12998090000000001</v>
      </c>
      <c r="Q2178">
        <v>0.1575985</v>
      </c>
      <c r="R2178">
        <v>-0.97891159999999999</v>
      </c>
      <c r="S2178">
        <v>-0.1154785</v>
      </c>
      <c r="T2178">
        <v>-0.27250039999999998</v>
      </c>
      <c r="U2178">
        <v>-3.126617</v>
      </c>
      <c r="V2178">
        <v>2.0738619999999999E-2</v>
      </c>
      <c r="W2178">
        <v>0.16751269999999999</v>
      </c>
      <c r="X2178">
        <v>0.98565179999999997</v>
      </c>
      <c r="Y2178">
        <v>0.18886410000000001</v>
      </c>
      <c r="Z2178">
        <v>8.4490049999999997E-2</v>
      </c>
      <c r="AA2178">
        <v>0.97836179999999995</v>
      </c>
      <c r="AB2178">
        <v>33</v>
      </c>
      <c r="AC2178">
        <v>-0.109399999999993</v>
      </c>
      <c r="AD2178">
        <v>-8.4231999999999793E-2</v>
      </c>
      <c r="AE2178">
        <v>-0.46917299999999901</v>
      </c>
      <c r="AF2178">
        <v>0.17439698297056599</v>
      </c>
      <c r="AG2178">
        <v>-8.4231999999999793E-2</v>
      </c>
      <c r="AH2178">
        <v>0.43371930599910302</v>
      </c>
      <c r="AI2178">
        <v>100.21438277051</v>
      </c>
      <c r="AJ2178">
        <v>68.095116824051303</v>
      </c>
      <c r="AK2178">
        <v>0.47499660408215499</v>
      </c>
    </row>
    <row r="2179" spans="1:37" x14ac:dyDescent="0.2">
      <c r="A2179" t="str">
        <f>"20200111150636265"</f>
        <v>20200111150636265</v>
      </c>
      <c r="B2179" t="str">
        <f>"1578726396258818"</f>
        <v>1578726396258818</v>
      </c>
      <c r="C2179" t="s">
        <v>37</v>
      </c>
      <c r="D2179">
        <v>5.1611120000000001</v>
      </c>
      <c r="E2179">
        <v>0.56036090000000005</v>
      </c>
      <c r="F2179" t="s">
        <v>38</v>
      </c>
      <c r="G2179">
        <v>-302.7894</v>
      </c>
      <c r="H2179">
        <v>1.0301959999999999</v>
      </c>
      <c r="I2179">
        <v>-8.0849510000000002</v>
      </c>
      <c r="J2179">
        <v>-302.68439999999998</v>
      </c>
      <c r="K2179">
        <v>1.1012629999999901</v>
      </c>
      <c r="L2179">
        <v>-7.8239749999999999</v>
      </c>
      <c r="M2179">
        <v>0.1551022</v>
      </c>
      <c r="N2179">
        <v>0</v>
      </c>
      <c r="O2179">
        <v>-0.98784319999999903</v>
      </c>
      <c r="P2179">
        <v>0.1315858</v>
      </c>
      <c r="Q2179">
        <v>0.15584149999999999</v>
      </c>
      <c r="R2179">
        <v>-0.97897829999999997</v>
      </c>
      <c r="S2179">
        <v>-0.1083069</v>
      </c>
      <c r="T2179">
        <v>-0.28900979999999998</v>
      </c>
      <c r="U2179">
        <v>-3.1255489999999999</v>
      </c>
      <c r="V2179">
        <v>2.1487900000000001E-2</v>
      </c>
      <c r="W2179">
        <v>0.16619679999999901</v>
      </c>
      <c r="X2179">
        <v>0.98585840000000002</v>
      </c>
      <c r="Y2179">
        <v>0.1890831</v>
      </c>
      <c r="Z2179">
        <v>8.9545819999999998E-2</v>
      </c>
      <c r="AA2179">
        <v>0.97786969999999995</v>
      </c>
      <c r="AB2179">
        <v>33</v>
      </c>
      <c r="AC2179">
        <v>-0.105000000000018</v>
      </c>
      <c r="AD2179">
        <v>-7.1066999999999894E-2</v>
      </c>
      <c r="AE2179">
        <v>-0.26097599999999999</v>
      </c>
      <c r="AF2179">
        <v>0.13555768709070101</v>
      </c>
      <c r="AG2179">
        <v>-7.1066999999999894E-2</v>
      </c>
      <c r="AH2179">
        <v>0.227040460083025</v>
      </c>
      <c r="AI2179">
        <v>105.04308793603199</v>
      </c>
      <c r="AJ2179">
        <v>59.1600948358453</v>
      </c>
      <c r="AK2179">
        <v>0.27381339545955802</v>
      </c>
    </row>
    <row r="2180" spans="1:37" x14ac:dyDescent="0.2">
      <c r="A2180" t="str">
        <f>"20200111150636298"</f>
        <v>20200111150636298</v>
      </c>
      <c r="B2180" t="str">
        <f>"1578726396288908"</f>
        <v>1578726396288908</v>
      </c>
      <c r="C2180" t="s">
        <v>37</v>
      </c>
      <c r="D2180">
        <v>5.122789</v>
      </c>
      <c r="E2180">
        <v>0.55909909999999996</v>
      </c>
      <c r="F2180" t="s">
        <v>38</v>
      </c>
      <c r="G2180">
        <v>-302.70670000000001</v>
      </c>
      <c r="H2180">
        <v>1.0174430000000001</v>
      </c>
      <c r="I2180">
        <v>-8.6523199999999996</v>
      </c>
      <c r="J2180">
        <v>-302.60759999999999</v>
      </c>
      <c r="K2180">
        <v>1.1022319999999901</v>
      </c>
      <c r="L2180">
        <v>-8.2967220000000008</v>
      </c>
      <c r="M2180">
        <v>0.15763529999999901</v>
      </c>
      <c r="N2180">
        <v>0</v>
      </c>
      <c r="O2180">
        <v>-0.98743860000000006</v>
      </c>
      <c r="P2180">
        <v>0.13204569999999999</v>
      </c>
      <c r="Q2180">
        <v>0.1531517</v>
      </c>
      <c r="R2180">
        <v>-0.97934120000000002</v>
      </c>
      <c r="S2180">
        <v>-8.3648680000000003E-2</v>
      </c>
      <c r="T2180">
        <v>-0.31640089999999998</v>
      </c>
      <c r="U2180">
        <v>-3.1260379999999999</v>
      </c>
      <c r="V2180">
        <v>2.3537140000000002E-2</v>
      </c>
      <c r="W2180">
        <v>0.16386879999999901</v>
      </c>
      <c r="X2180">
        <v>0.98620129999999995</v>
      </c>
      <c r="Y2180">
        <v>0.18386559999999999</v>
      </c>
      <c r="Z2180">
        <v>9.7937040000000003E-2</v>
      </c>
      <c r="AA2180">
        <v>0.97806019999999905</v>
      </c>
      <c r="AB2180">
        <v>33</v>
      </c>
      <c r="AC2180">
        <v>-9.9100000000021199E-2</v>
      </c>
      <c r="AD2180">
        <v>-8.4788999999999698E-2</v>
      </c>
      <c r="AE2180">
        <v>-0.35559799999999803</v>
      </c>
      <c r="AF2180">
        <v>0.14620559683183301</v>
      </c>
      <c r="AG2180">
        <v>-8.4788999999999698E-2</v>
      </c>
      <c r="AH2180">
        <v>0.31871472562249997</v>
      </c>
      <c r="AI2180">
        <v>103.593505734125</v>
      </c>
      <c r="AJ2180">
        <v>65.357419945490804</v>
      </c>
      <c r="AK2180">
        <v>0.36075521811136502</v>
      </c>
    </row>
    <row r="2181" spans="1:37" x14ac:dyDescent="0.2">
      <c r="A2181" t="str">
        <f>"20200111150636327"</f>
        <v>20200111150636327</v>
      </c>
      <c r="B2181" t="str">
        <f>"1578726396319125"</f>
        <v>1578726396319125</v>
      </c>
      <c r="C2181" t="s">
        <v>37</v>
      </c>
      <c r="D2181">
        <v>5.3250250000000001</v>
      </c>
      <c r="E2181">
        <v>0.55835840000000003</v>
      </c>
      <c r="F2181" t="s">
        <v>38</v>
      </c>
      <c r="G2181">
        <v>-302.62720000000002</v>
      </c>
      <c r="H2181">
        <v>1.0024879999999901</v>
      </c>
      <c r="I2181">
        <v>-9.2201020000000007</v>
      </c>
      <c r="J2181">
        <v>-302.5369</v>
      </c>
      <c r="K2181">
        <v>1.102865</v>
      </c>
      <c r="L2181">
        <v>-8.7247310000000002</v>
      </c>
      <c r="M2181">
        <v>0.15990409999999999</v>
      </c>
      <c r="N2181">
        <v>0</v>
      </c>
      <c r="O2181">
        <v>-0.98707089999999997</v>
      </c>
      <c r="P2181">
        <v>0.13306560000000001</v>
      </c>
      <c r="Q2181">
        <v>0.15177850000000001</v>
      </c>
      <c r="R2181">
        <v>-0.97941690000000003</v>
      </c>
      <c r="S2181">
        <v>-6.5460210000000005E-2</v>
      </c>
      <c r="T2181">
        <v>-0.3376169</v>
      </c>
      <c r="U2181">
        <v>-3.124908</v>
      </c>
      <c r="V2181">
        <v>2.4778459999999999E-2</v>
      </c>
      <c r="W2181">
        <v>0.16276840000000001</v>
      </c>
      <c r="X2181">
        <v>0.98635309999999898</v>
      </c>
      <c r="Y2181">
        <v>0.1804287</v>
      </c>
      <c r="Z2181">
        <v>0.1044515</v>
      </c>
      <c r="AA2181">
        <v>0.97802630000000002</v>
      </c>
      <c r="AB2181">
        <v>32</v>
      </c>
      <c r="AC2181">
        <v>-9.03000000000133E-2</v>
      </c>
      <c r="AD2181">
        <v>-0.10037699999999999</v>
      </c>
      <c r="AE2181">
        <v>-0.49537100000000001</v>
      </c>
      <c r="AF2181">
        <v>0.161920148814234</v>
      </c>
      <c r="AG2181">
        <v>-0.10037699999999999</v>
      </c>
      <c r="AH2181">
        <v>0.45641848344130997</v>
      </c>
      <c r="AI2181">
        <v>101.709703810151</v>
      </c>
      <c r="AJ2181">
        <v>70.467224839301707</v>
      </c>
      <c r="AK2181">
        <v>0.49458215571115099</v>
      </c>
    </row>
    <row r="2182" spans="1:37" x14ac:dyDescent="0.2">
      <c r="A2182" t="str">
        <f>"20200111150636366"</f>
        <v>20200111150636366</v>
      </c>
      <c r="B2182" t="str">
        <f>"1578726396359141"</f>
        <v>1578726396359141</v>
      </c>
      <c r="C2182" t="s">
        <v>37</v>
      </c>
      <c r="D2182">
        <v>5.4601089999999903</v>
      </c>
      <c r="E2182">
        <v>0.50785119999999995</v>
      </c>
      <c r="F2182" t="s">
        <v>38</v>
      </c>
      <c r="G2182">
        <v>-302.55119999999999</v>
      </c>
      <c r="H2182">
        <v>1.0163359999999999</v>
      </c>
      <c r="I2182">
        <v>-9.5075800000000008</v>
      </c>
      <c r="J2182">
        <v>-302.44540000000001</v>
      </c>
      <c r="K2182">
        <v>1.1033360000000001</v>
      </c>
      <c r="L2182">
        <v>-9.2715149999999902</v>
      </c>
      <c r="M2182">
        <v>0.16252439999999899</v>
      </c>
      <c r="N2182">
        <v>0</v>
      </c>
      <c r="O2182">
        <v>-0.98663959999999995</v>
      </c>
      <c r="P2182">
        <v>0.13274559999999999</v>
      </c>
      <c r="Q2182">
        <v>0.1494307</v>
      </c>
      <c r="R2182">
        <v>-0.979821099999999</v>
      </c>
      <c r="S2182">
        <v>-5.6396479999999999E-2</v>
      </c>
      <c r="T2182">
        <v>-0.34538550000000001</v>
      </c>
      <c r="U2182">
        <v>-3.1242369999999999</v>
      </c>
      <c r="V2182">
        <v>2.7805920000000001E-2</v>
      </c>
      <c r="W2182">
        <v>0.16070789999999999</v>
      </c>
      <c r="X2182">
        <v>0.98661030000000005</v>
      </c>
      <c r="Y2182">
        <v>0.180204</v>
      </c>
      <c r="Z2182">
        <v>0.10678410000000001</v>
      </c>
      <c r="AA2182">
        <v>0.97781569999999995</v>
      </c>
      <c r="AB2182">
        <v>32</v>
      </c>
      <c r="AC2182">
        <v>-0.105799999999987</v>
      </c>
      <c r="AD2182">
        <v>-8.6999999999999897E-2</v>
      </c>
      <c r="AE2182">
        <v>-0.236065000000001</v>
      </c>
      <c r="AF2182">
        <v>0.12825562936681101</v>
      </c>
      <c r="AG2182">
        <v>-8.6999999999999897E-2</v>
      </c>
      <c r="AH2182">
        <v>0.19380910430755399</v>
      </c>
      <c r="AI2182">
        <v>110.523317968014</v>
      </c>
      <c r="AJ2182">
        <v>56.504896647429298</v>
      </c>
      <c r="AK2182">
        <v>0.248154136328156</v>
      </c>
    </row>
    <row r="2183" spans="1:37" x14ac:dyDescent="0.2">
      <c r="A2183" t="str">
        <f>"20200111150636410"</f>
        <v>20200111150636410</v>
      </c>
      <c r="B2183" t="str">
        <f>"1578726396399156"</f>
        <v>1578726396399156</v>
      </c>
      <c r="C2183" t="s">
        <v>37</v>
      </c>
      <c r="D2183">
        <v>6.0025000000000004</v>
      </c>
      <c r="E2183">
        <v>0.51412060000000004</v>
      </c>
      <c r="F2183" t="s">
        <v>38</v>
      </c>
      <c r="G2183">
        <v>-302.35890000000001</v>
      </c>
      <c r="H2183">
        <v>0.98348899999999995</v>
      </c>
      <c r="I2183">
        <v>-10.046379999999999</v>
      </c>
      <c r="J2183">
        <v>-302.33960000000002</v>
      </c>
      <c r="K2183">
        <v>1.103523</v>
      </c>
      <c r="L2183">
        <v>-9.8962710000000005</v>
      </c>
      <c r="M2183">
        <v>0.16481319999999999</v>
      </c>
      <c r="N2183">
        <v>0</v>
      </c>
      <c r="O2183">
        <v>-0.98625689999999999</v>
      </c>
      <c r="P2183">
        <v>0.13228960000000001</v>
      </c>
      <c r="Q2183">
        <v>0.1508302</v>
      </c>
      <c r="R2183">
        <v>-0.9796686</v>
      </c>
      <c r="S2183">
        <v>0.3448792</v>
      </c>
      <c r="T2183">
        <v>-0.47759759999999901</v>
      </c>
      <c r="U2183">
        <v>-3.0878909999999999</v>
      </c>
      <c r="V2183">
        <v>3.0617099999999901E-2</v>
      </c>
      <c r="W2183">
        <v>0.16234879999999999</v>
      </c>
      <c r="X2183">
        <v>0.98625830000000003</v>
      </c>
      <c r="Y2183">
        <v>5.5584330000000001E-2</v>
      </c>
      <c r="Z2183">
        <v>0.14917320000000001</v>
      </c>
      <c r="AA2183">
        <v>0.9872476</v>
      </c>
      <c r="AB2183">
        <v>32</v>
      </c>
      <c r="AC2183">
        <v>-1.9299999999987001E-2</v>
      </c>
      <c r="AD2183">
        <v>-0.120034</v>
      </c>
      <c r="AE2183">
        <v>-0.15010899999999999</v>
      </c>
      <c r="AF2183">
        <v>2.6873363243076501E-2</v>
      </c>
      <c r="AG2183">
        <v>-0.120034</v>
      </c>
      <c r="AH2183">
        <v>8.8932953028535502E-2</v>
      </c>
      <c r="AI2183">
        <v>142.26066831849599</v>
      </c>
      <c r="AJ2183">
        <v>73.186467149691396</v>
      </c>
      <c r="AK2183">
        <v>0.151787380708575</v>
      </c>
    </row>
    <row r="2184" spans="1:37" x14ac:dyDescent="0.2">
      <c r="A2184" t="str">
        <f>"20200111150636456"</f>
        <v>20200111150636456</v>
      </c>
      <c r="B2184" t="str">
        <f>"1578726396448935"</f>
        <v>1578726396448935</v>
      </c>
      <c r="C2184" t="s">
        <v>37</v>
      </c>
      <c r="D2184">
        <v>5.4986059999999997</v>
      </c>
      <c r="E2184">
        <v>0.51466290000000003</v>
      </c>
      <c r="F2184" t="s">
        <v>38</v>
      </c>
      <c r="G2184">
        <v>-302.26929999999999</v>
      </c>
      <c r="H2184">
        <v>1.0217909999999999</v>
      </c>
      <c r="I2184">
        <v>-10.63809</v>
      </c>
      <c r="J2184">
        <v>-302.23070000000001</v>
      </c>
      <c r="K2184">
        <v>1.1034440000000001</v>
      </c>
      <c r="L2184">
        <v>-10.537660000000001</v>
      </c>
      <c r="M2184">
        <v>0.1661107</v>
      </c>
      <c r="N2184">
        <v>0</v>
      </c>
      <c r="O2184">
        <v>-0.98603649999999998</v>
      </c>
      <c r="P2184">
        <v>0.1301185</v>
      </c>
      <c r="Q2184">
        <v>0.14985809999999999</v>
      </c>
      <c r="R2184">
        <v>-0.98010839999999999</v>
      </c>
      <c r="S2184">
        <v>0.29199219999999998</v>
      </c>
      <c r="T2184">
        <v>-0.33880250000000001</v>
      </c>
      <c r="U2184">
        <v>-3.0749819999999999</v>
      </c>
      <c r="V2184">
        <v>3.4284370000000002E-2</v>
      </c>
      <c r="W2184">
        <v>0.1615606</v>
      </c>
      <c r="X2184">
        <v>0.98626709999999995</v>
      </c>
      <c r="Y2184">
        <v>7.2707430000000003E-2</v>
      </c>
      <c r="Z2184">
        <v>0.10686559999999901</v>
      </c>
      <c r="AA2184">
        <v>0.99161149999999998</v>
      </c>
      <c r="AB2184">
        <v>32</v>
      </c>
      <c r="AC2184">
        <v>-3.8599999999973898E-2</v>
      </c>
      <c r="AD2184">
        <v>-8.1653000000000198E-2</v>
      </c>
      <c r="AE2184">
        <v>-0.10042999999999901</v>
      </c>
      <c r="AF2184">
        <v>3.4739378396099203E-2</v>
      </c>
      <c r="AG2184">
        <v>-8.1653000000000198E-2</v>
      </c>
      <c r="AH2184">
        <v>5.8772529895336503E-2</v>
      </c>
      <c r="AI2184">
        <v>140.100303286078</v>
      </c>
      <c r="AJ2184">
        <v>59.413435119710599</v>
      </c>
      <c r="AK2184">
        <v>0.10643423833826</v>
      </c>
    </row>
    <row r="2185" spans="1:37" x14ac:dyDescent="0.2">
      <c r="A2185" t="str">
        <f>"20200111150636486"</f>
        <v>20200111150636486</v>
      </c>
      <c r="B2185" t="str">
        <f>"1578726396479189"</f>
        <v>1578726396479189</v>
      </c>
      <c r="C2185" t="s">
        <v>37</v>
      </c>
      <c r="D2185">
        <v>6.0660449999999999</v>
      </c>
      <c r="E2185">
        <v>0.51523229999999998</v>
      </c>
      <c r="F2185" t="s">
        <v>38</v>
      </c>
      <c r="G2185">
        <v>-302.14359999999999</v>
      </c>
      <c r="H2185">
        <v>1.01244</v>
      </c>
      <c r="I2185">
        <v>-11.49424</v>
      </c>
      <c r="J2185">
        <v>-302.15620000000001</v>
      </c>
      <c r="K2185">
        <v>1.1033139999999999</v>
      </c>
      <c r="L2185">
        <v>-10.977869999999999</v>
      </c>
      <c r="M2185">
        <v>0.16634160000000001</v>
      </c>
      <c r="N2185">
        <v>0</v>
      </c>
      <c r="O2185">
        <v>-0.98599629999999905</v>
      </c>
      <c r="P2185">
        <v>0.13014539999999999</v>
      </c>
      <c r="Q2185">
        <v>0.14977379999999901</v>
      </c>
      <c r="R2185">
        <v>-0.98011769999999998</v>
      </c>
      <c r="S2185">
        <v>0.27987669999999998</v>
      </c>
      <c r="T2185">
        <v>-0.29189229999999999</v>
      </c>
      <c r="U2185">
        <v>-3.0683590000000001</v>
      </c>
      <c r="V2185">
        <v>3.4602309999999997E-2</v>
      </c>
      <c r="W2185">
        <v>0.16156909999999999</v>
      </c>
      <c r="X2185">
        <v>0.98625459999999998</v>
      </c>
      <c r="Y2185">
        <v>7.648771E-2</v>
      </c>
      <c r="Z2185">
        <v>9.2403559999999996E-2</v>
      </c>
      <c r="AA2185">
        <v>0.99277959999999998</v>
      </c>
      <c r="AB2185">
        <v>32</v>
      </c>
      <c r="AC2185">
        <v>1.26000000000203E-2</v>
      </c>
      <c r="AD2185">
        <v>-9.0873999999999899E-2</v>
      </c>
      <c r="AE2185">
        <v>-0.51637</v>
      </c>
      <c r="AF2185">
        <v>7.1269482919026697E-2</v>
      </c>
      <c r="AG2185">
        <v>-9.0873999999999899E-2</v>
      </c>
      <c r="AH2185">
        <v>0.49592095499844502</v>
      </c>
      <c r="AI2185">
        <v>100.280512780202</v>
      </c>
      <c r="AJ2185">
        <v>81.821938307828404</v>
      </c>
      <c r="AK2185">
        <v>0.509190550460351</v>
      </c>
    </row>
    <row r="2186" spans="1:37" x14ac:dyDescent="0.2">
      <c r="A2186" t="str">
        <f>"20200111150636523"</f>
        <v>20200111150636523</v>
      </c>
      <c r="B2186" t="str">
        <f>"1578726396519206"</f>
        <v>1578726396519206</v>
      </c>
      <c r="C2186" t="s">
        <v>37</v>
      </c>
      <c r="D2186">
        <v>5.1942360000000001</v>
      </c>
      <c r="E2186">
        <v>0.51634999999999998</v>
      </c>
      <c r="F2186" t="s">
        <v>38</v>
      </c>
      <c r="G2186">
        <v>-302.08390000000003</v>
      </c>
      <c r="H2186">
        <v>1.0307959999999901</v>
      </c>
      <c r="I2186">
        <v>-11.7874</v>
      </c>
      <c r="J2186">
        <v>-302.07010000000002</v>
      </c>
      <c r="K2186">
        <v>1.1030690000000001</v>
      </c>
      <c r="L2186">
        <v>-11.48981</v>
      </c>
      <c r="M2186">
        <v>0.1658422</v>
      </c>
      <c r="N2186">
        <v>0</v>
      </c>
      <c r="O2186">
        <v>-0.98607900000000004</v>
      </c>
      <c r="P2186">
        <v>0.1306437</v>
      </c>
      <c r="Q2186">
        <v>0.15138450000000001</v>
      </c>
      <c r="R2186">
        <v>-0.9798036</v>
      </c>
      <c r="S2186">
        <v>0.27401729999999902</v>
      </c>
      <c r="T2186">
        <v>-0.27468559999999997</v>
      </c>
      <c r="U2186">
        <v>-3.0664370000000001</v>
      </c>
      <c r="V2186">
        <v>3.3711159999999997E-2</v>
      </c>
      <c r="W2186">
        <v>0.16325770000000001</v>
      </c>
      <c r="X2186">
        <v>0.98600730000000003</v>
      </c>
      <c r="Y2186">
        <v>7.7764849999999996E-2</v>
      </c>
      <c r="Z2186">
        <v>8.7068450000000006E-2</v>
      </c>
      <c r="AA2186">
        <v>0.99316249999999995</v>
      </c>
      <c r="AB2186">
        <v>32</v>
      </c>
      <c r="AC2186">
        <v>-1.3800000000003299E-2</v>
      </c>
      <c r="AD2186">
        <v>-7.2273000000000198E-2</v>
      </c>
      <c r="AE2186">
        <v>-0.29758999999999902</v>
      </c>
      <c r="AF2186">
        <v>5.9465581575519198E-2</v>
      </c>
      <c r="AG2186">
        <v>-7.2273000000000198E-2</v>
      </c>
      <c r="AH2186">
        <v>0.27499488115718002</v>
      </c>
      <c r="AI2186">
        <v>104.40656465539099</v>
      </c>
      <c r="AJ2186">
        <v>77.798092392169806</v>
      </c>
      <c r="AK2186">
        <v>0.29048532937786398</v>
      </c>
    </row>
    <row r="2187" spans="1:37" x14ac:dyDescent="0.2">
      <c r="A2187" t="str">
        <f>"20200111150636577"</f>
        <v>20200111150636577</v>
      </c>
      <c r="B2187" t="str">
        <f>"1578726396568980"</f>
        <v>1578726396568980</v>
      </c>
      <c r="C2187" t="s">
        <v>37</v>
      </c>
      <c r="D2187">
        <v>6.4860199999999999</v>
      </c>
      <c r="E2187">
        <v>0.51583889999999999</v>
      </c>
      <c r="F2187" t="s">
        <v>38</v>
      </c>
      <c r="G2187">
        <v>-301.9941</v>
      </c>
      <c r="H2187">
        <v>1.036219</v>
      </c>
      <c r="I2187">
        <v>-12.3633399999999</v>
      </c>
      <c r="J2187">
        <v>-301.93799999999999</v>
      </c>
      <c r="K2187">
        <v>1.1023399999999901</v>
      </c>
      <c r="L2187">
        <v>-12.294039999999899</v>
      </c>
      <c r="M2187">
        <v>0.16290689999999999</v>
      </c>
      <c r="N2187">
        <v>0</v>
      </c>
      <c r="O2187">
        <v>-0.98656630000000001</v>
      </c>
      <c r="P2187">
        <v>0.1287875</v>
      </c>
      <c r="Q2187">
        <v>0.1570694</v>
      </c>
      <c r="R2187">
        <v>-0.97915459999999999</v>
      </c>
      <c r="S2187">
        <v>0.26635740000000002</v>
      </c>
      <c r="T2187">
        <v>-0.23438009999999901</v>
      </c>
      <c r="U2187">
        <v>-3.0625309999999999</v>
      </c>
      <c r="V2187">
        <v>3.2861429999999997E-2</v>
      </c>
      <c r="W2187">
        <v>0.1690112</v>
      </c>
      <c r="X2187">
        <v>0.9850662</v>
      </c>
      <c r="Y2187">
        <v>7.7061619999999997E-2</v>
      </c>
      <c r="Z2187">
        <v>7.4531620000000007E-2</v>
      </c>
      <c r="AA2187">
        <v>0.99423660000000003</v>
      </c>
      <c r="AB2187">
        <v>32</v>
      </c>
      <c r="AC2187">
        <v>-5.6100000000014902E-2</v>
      </c>
      <c r="AD2187">
        <v>-6.6120999999999805E-2</v>
      </c>
      <c r="AE2187">
        <v>-6.9300000000000098E-2</v>
      </c>
      <c r="AF2187">
        <v>4.2995253238243998E-2</v>
      </c>
      <c r="AG2187">
        <v>-6.6120999999999805E-2</v>
      </c>
      <c r="AH2187">
        <v>3.8216796066666697E-2</v>
      </c>
      <c r="AI2187">
        <v>138.97690839524299</v>
      </c>
      <c r="AJ2187">
        <v>41.632640946943198</v>
      </c>
      <c r="AK2187">
        <v>8.7641896052184406E-2</v>
      </c>
    </row>
    <row r="2188" spans="1:37" x14ac:dyDescent="0.2">
      <c r="A2188" t="str">
        <f>"20200111150636600"</f>
        <v>20200111150636600</v>
      </c>
      <c r="B2188" t="str">
        <f>"1578726396589298"</f>
        <v>1578726396589298</v>
      </c>
      <c r="C2188" t="s">
        <v>37</v>
      </c>
      <c r="D2188">
        <v>5.1426210000000001</v>
      </c>
      <c r="E2188">
        <v>0.51591339999999997</v>
      </c>
      <c r="F2188" t="s">
        <v>38</v>
      </c>
      <c r="G2188">
        <v>-301.85759999999999</v>
      </c>
      <c r="H2188">
        <v>1.036483</v>
      </c>
      <c r="I2188">
        <v>-13.223319999999999</v>
      </c>
      <c r="J2188">
        <v>-301.88889999999998</v>
      </c>
      <c r="K2188">
        <v>1.102034</v>
      </c>
      <c r="L2188">
        <v>-12.602080000000001</v>
      </c>
      <c r="M2188">
        <v>0.16108739999999999</v>
      </c>
      <c r="N2188">
        <v>0</v>
      </c>
      <c r="O2188">
        <v>-0.98686419999999997</v>
      </c>
      <c r="P2188">
        <v>0.1265732</v>
      </c>
      <c r="Q2188">
        <v>0.15743689999999999</v>
      </c>
      <c r="R2188">
        <v>-0.97938389999999997</v>
      </c>
      <c r="S2188">
        <v>0.2654724</v>
      </c>
      <c r="T2188">
        <v>-0.21699389999999999</v>
      </c>
      <c r="U2188">
        <v>-3.0637509999999999</v>
      </c>
      <c r="V2188">
        <v>3.3408649999999998E-2</v>
      </c>
      <c r="W2188">
        <v>0.16939789999999999</v>
      </c>
      <c r="X2188">
        <v>0.98498129999999995</v>
      </c>
      <c r="Y2188">
        <v>7.55078E-2</v>
      </c>
      <c r="Z2188">
        <v>6.904043E-2</v>
      </c>
      <c r="AA2188">
        <v>0.99475219999999898</v>
      </c>
      <c r="AB2188">
        <v>32</v>
      </c>
      <c r="AC2188">
        <v>3.12999999999874E-2</v>
      </c>
      <c r="AD2188">
        <v>-6.5550999999999901E-2</v>
      </c>
      <c r="AE2188">
        <v>-0.62124000000000001</v>
      </c>
      <c r="AF2188">
        <v>6.8430318865822903E-2</v>
      </c>
      <c r="AG2188">
        <v>-6.5550999999999901E-2</v>
      </c>
      <c r="AH2188">
        <v>0.61137821362741296</v>
      </c>
      <c r="AI2188">
        <v>96.082091336406506</v>
      </c>
      <c r="AJ2188">
        <v>83.613580927701804</v>
      </c>
      <c r="AK2188">
        <v>0.61867839968704696</v>
      </c>
    </row>
    <row r="2189" spans="1:37" x14ac:dyDescent="0.2">
      <c r="A2189" t="str">
        <f>"20200111150636634"</f>
        <v>20200111150636634</v>
      </c>
      <c r="B2189" t="str">
        <f>"1578726396629298"</f>
        <v>1578726396629298</v>
      </c>
      <c r="C2189" t="s">
        <v>37</v>
      </c>
      <c r="D2189">
        <v>6.0988759999999997</v>
      </c>
      <c r="E2189">
        <v>0.51607930000000002</v>
      </c>
      <c r="F2189" t="s">
        <v>38</v>
      </c>
      <c r="G2189">
        <v>-301.8125</v>
      </c>
      <c r="H2189">
        <v>1.037452</v>
      </c>
      <c r="I2189">
        <v>-13.510619999999999</v>
      </c>
      <c r="J2189">
        <v>-301.81279999999998</v>
      </c>
      <c r="K2189">
        <v>1.101521</v>
      </c>
      <c r="L2189">
        <v>-13.09238</v>
      </c>
      <c r="M2189">
        <v>0.1573937</v>
      </c>
      <c r="N2189">
        <v>0</v>
      </c>
      <c r="O2189">
        <v>-0.98745939999999999</v>
      </c>
      <c r="P2189">
        <v>0.1197225</v>
      </c>
      <c r="Q2189">
        <v>0.15441649999999901</v>
      </c>
      <c r="R2189">
        <v>-0.98072539999999997</v>
      </c>
      <c r="S2189">
        <v>0.25793460000000001</v>
      </c>
      <c r="T2189">
        <v>-0.21783939999999999</v>
      </c>
      <c r="U2189">
        <v>-3.0648499999999999</v>
      </c>
      <c r="V2189">
        <v>3.6900189999999999E-2</v>
      </c>
      <c r="W2189">
        <v>0.1663924</v>
      </c>
      <c r="X2189">
        <v>0.98536900000000005</v>
      </c>
      <c r="Y2189">
        <v>7.4238020000000002E-2</v>
      </c>
      <c r="Z2189">
        <v>6.9356899999999999E-2</v>
      </c>
      <c r="AA2189">
        <v>0.99482579999999998</v>
      </c>
      <c r="AB2189">
        <v>32</v>
      </c>
      <c r="AC2189">
        <v>2.9999999998153699E-4</v>
      </c>
      <c r="AD2189">
        <v>-6.4068999999999904E-2</v>
      </c>
      <c r="AE2189">
        <v>-0.41824</v>
      </c>
      <c r="AF2189">
        <v>6.4034406330058302E-2</v>
      </c>
      <c r="AG2189">
        <v>-6.4068999999999904E-2</v>
      </c>
      <c r="AH2189">
        <v>0.40360240481836401</v>
      </c>
      <c r="AI2189">
        <v>98.9104038333967</v>
      </c>
      <c r="AJ2189">
        <v>80.984758034674797</v>
      </c>
      <c r="AK2189">
        <v>0.41364253061092399</v>
      </c>
    </row>
    <row r="2190" spans="1:37" x14ac:dyDescent="0.2">
      <c r="A2190" t="str">
        <f>"20200111150636667"</f>
        <v>20200111150636667</v>
      </c>
      <c r="B2190" t="str">
        <f>"1578726396658577"</f>
        <v>1578726396658577</v>
      </c>
      <c r="C2190" t="s">
        <v>37</v>
      </c>
      <c r="D2190">
        <v>5.9366269999999997</v>
      </c>
      <c r="E2190">
        <v>0.51603009999999905</v>
      </c>
      <c r="F2190" t="s">
        <v>38</v>
      </c>
      <c r="G2190">
        <v>-301.73649999999998</v>
      </c>
      <c r="H2190">
        <v>1.0284679999999999</v>
      </c>
      <c r="I2190">
        <v>-14.082100000000001</v>
      </c>
      <c r="J2190">
        <v>-301.74079999999998</v>
      </c>
      <c r="K2190">
        <v>1.101046</v>
      </c>
      <c r="L2190">
        <v>-13.574679999999899</v>
      </c>
      <c r="M2190">
        <v>0.1527992</v>
      </c>
      <c r="N2190">
        <v>0</v>
      </c>
      <c r="O2190">
        <v>-0.98817999999999995</v>
      </c>
      <c r="P2190">
        <v>0.113168899999999</v>
      </c>
      <c r="Q2190">
        <v>0.1549701</v>
      </c>
      <c r="R2190">
        <v>-0.98141619999999996</v>
      </c>
      <c r="S2190">
        <v>0.23608399999999999</v>
      </c>
      <c r="T2190">
        <v>-0.22637869999999999</v>
      </c>
      <c r="U2190">
        <v>-3.06579599999999</v>
      </c>
      <c r="V2190">
        <v>3.9093620000000003E-2</v>
      </c>
      <c r="W2190">
        <v>0.1669495</v>
      </c>
      <c r="X2190">
        <v>0.98519009999999996</v>
      </c>
      <c r="Y2190">
        <v>7.6684820000000001E-2</v>
      </c>
      <c r="Z2190">
        <v>7.2131990000000007E-2</v>
      </c>
      <c r="AA2190">
        <v>0.99444279999999996</v>
      </c>
      <c r="AB2190">
        <v>32</v>
      </c>
      <c r="AC2190">
        <v>4.3000000000006297E-3</v>
      </c>
      <c r="AD2190">
        <v>-7.2578000000000004E-2</v>
      </c>
      <c r="AE2190">
        <v>-0.50742000000000098</v>
      </c>
      <c r="AF2190">
        <v>7.1820552865711998E-2</v>
      </c>
      <c r="AG2190">
        <v>-7.2578000000000004E-2</v>
      </c>
      <c r="AH2190">
        <v>0.492051726769134</v>
      </c>
      <c r="AI2190">
        <v>98.303925193831503</v>
      </c>
      <c r="AJ2190">
        <v>81.695670974768404</v>
      </c>
      <c r="AK2190">
        <v>0.502534237355449</v>
      </c>
    </row>
    <row r="2191" spans="1:37" x14ac:dyDescent="0.2">
      <c r="A2191" t="str">
        <f>"20200111150636701"</f>
        <v>20200111150636701</v>
      </c>
      <c r="B2191" t="str">
        <f>"1578726396688833"</f>
        <v>1578726396688833</v>
      </c>
      <c r="C2191" t="s">
        <v>37</v>
      </c>
      <c r="D2191">
        <v>5.1362399999999999</v>
      </c>
      <c r="E2191">
        <v>0.51613710000000002</v>
      </c>
      <c r="F2191" t="s">
        <v>38</v>
      </c>
      <c r="G2191">
        <v>-301.68470000000002</v>
      </c>
      <c r="H2191">
        <v>1.0438229999999999</v>
      </c>
      <c r="I2191">
        <v>-14.375769999999999</v>
      </c>
      <c r="J2191">
        <v>-301.67290000000003</v>
      </c>
      <c r="K2191">
        <v>1.1006180000000001</v>
      </c>
      <c r="L2191">
        <v>-14.05057</v>
      </c>
      <c r="M2191">
        <v>0.14759810000000001</v>
      </c>
      <c r="N2191">
        <v>0</v>
      </c>
      <c r="O2191">
        <v>-0.9889694</v>
      </c>
      <c r="P2191">
        <v>0.10583720000000001</v>
      </c>
      <c r="Q2191">
        <v>0.15320020000000001</v>
      </c>
      <c r="R2191">
        <v>-0.98251109999999897</v>
      </c>
      <c r="S2191">
        <v>0.21615599999999999</v>
      </c>
      <c r="T2191">
        <v>-0.21866920000000001</v>
      </c>
      <c r="U2191">
        <v>-3.0664060000000002</v>
      </c>
      <c r="V2191">
        <v>4.1470979999999998E-2</v>
      </c>
      <c r="W2191">
        <v>0.1651791</v>
      </c>
      <c r="X2191">
        <v>0.98539129999999997</v>
      </c>
      <c r="Y2191">
        <v>7.7869910000000001E-2</v>
      </c>
      <c r="Z2191">
        <v>6.9771159999999999E-2</v>
      </c>
      <c r="AA2191">
        <v>0.99451909999999899</v>
      </c>
      <c r="AB2191">
        <v>32</v>
      </c>
      <c r="AC2191">
        <v>-1.17999999999938E-2</v>
      </c>
      <c r="AD2191">
        <v>-5.6795000000000102E-2</v>
      </c>
      <c r="AE2191">
        <v>-0.32519999999999999</v>
      </c>
      <c r="AF2191">
        <v>5.7909354548927199E-2</v>
      </c>
      <c r="AG2191">
        <v>-5.6795000000000102E-2</v>
      </c>
      <c r="AH2191">
        <v>0.31043950155683298</v>
      </c>
      <c r="AI2191">
        <v>100.195535668825</v>
      </c>
      <c r="AJ2191">
        <v>79.433495203012896</v>
      </c>
      <c r="AK2191">
        <v>0.32086110623777497</v>
      </c>
    </row>
    <row r="2192" spans="1:37" x14ac:dyDescent="0.2">
      <c r="A2192" t="str">
        <f>"20200111150636734"</f>
        <v>20200111150636734</v>
      </c>
      <c r="B2192" t="str">
        <f>"1578726396728675"</f>
        <v>1578726396728675</v>
      </c>
      <c r="C2192" t="s">
        <v>37</v>
      </c>
      <c r="D2192">
        <v>5.3139349999999999</v>
      </c>
      <c r="E2192">
        <v>0.51844460000000003</v>
      </c>
      <c r="F2192" t="s">
        <v>38</v>
      </c>
      <c r="G2192">
        <v>-301.61669999999998</v>
      </c>
      <c r="H2192">
        <v>1.0352749999999999</v>
      </c>
      <c r="I2192">
        <v>-14.9485299999999</v>
      </c>
      <c r="J2192">
        <v>-301.60719999999998</v>
      </c>
      <c r="K2192">
        <v>1.100257</v>
      </c>
      <c r="L2192">
        <v>-14.53177</v>
      </c>
      <c r="M2192">
        <v>0.14178389999999999</v>
      </c>
      <c r="N2192">
        <v>0</v>
      </c>
      <c r="O2192">
        <v>-0.98981929999999996</v>
      </c>
      <c r="P2192">
        <v>0.10076979999999899</v>
      </c>
      <c r="Q2192">
        <v>0.1483389</v>
      </c>
      <c r="R2192">
        <v>-0.98378929999999998</v>
      </c>
      <c r="S2192">
        <v>0.19250490000000001</v>
      </c>
      <c r="T2192">
        <v>-0.22304389999999999</v>
      </c>
      <c r="U2192">
        <v>-3.0674440000000001</v>
      </c>
      <c r="V2192">
        <v>4.0972710000000002E-2</v>
      </c>
      <c r="W2192">
        <v>0.1603398</v>
      </c>
      <c r="X2192">
        <v>0.98621109999999901</v>
      </c>
      <c r="Y2192">
        <v>7.9675289999999996E-2</v>
      </c>
      <c r="Z2192">
        <v>7.1240709999999999E-2</v>
      </c>
      <c r="AA2192">
        <v>0.99427189999999999</v>
      </c>
      <c r="AB2192">
        <v>32</v>
      </c>
      <c r="AC2192">
        <v>-9.5000000000027198E-3</v>
      </c>
      <c r="AD2192">
        <v>-6.4982000000000095E-2</v>
      </c>
      <c r="AE2192">
        <v>-0.41675999999999602</v>
      </c>
      <c r="AF2192">
        <v>6.6873493719314697E-2</v>
      </c>
      <c r="AG2192">
        <v>-6.4982000000000095E-2</v>
      </c>
      <c r="AH2192">
        <v>0.401447261178485</v>
      </c>
      <c r="AI2192">
        <v>99.071792414100798</v>
      </c>
      <c r="AJ2192">
        <v>80.542452496748894</v>
      </c>
      <c r="AK2192">
        <v>0.41213423540629801</v>
      </c>
    </row>
    <row r="2193" spans="1:37" x14ac:dyDescent="0.2">
      <c r="A2193" t="str">
        <f>"20200111150636767"</f>
        <v>20200111150636767</v>
      </c>
      <c r="B2193" t="str">
        <f>"1578726396758934"</f>
        <v>1578726396758934</v>
      </c>
      <c r="C2193" t="s">
        <v>37</v>
      </c>
      <c r="D2193">
        <v>5.1983480000000002</v>
      </c>
      <c r="E2193">
        <v>0.57737709999999998</v>
      </c>
      <c r="F2193" t="s">
        <v>38</v>
      </c>
      <c r="G2193">
        <v>-301.55709999999999</v>
      </c>
      <c r="H2193">
        <v>1.022275</v>
      </c>
      <c r="I2193">
        <v>-15.520189999999999</v>
      </c>
      <c r="J2193">
        <v>-301.54430000000002</v>
      </c>
      <c r="K2193">
        <v>1.0999969999999999</v>
      </c>
      <c r="L2193">
        <v>-15.0191</v>
      </c>
      <c r="M2193">
        <v>0.13545550000000001</v>
      </c>
      <c r="N2193">
        <v>0</v>
      </c>
      <c r="O2193">
        <v>-0.99070469999999899</v>
      </c>
      <c r="P2193">
        <v>9.7369059999999993E-2</v>
      </c>
      <c r="Q2193">
        <v>0.1474837</v>
      </c>
      <c r="R2193">
        <v>-0.98426039999999904</v>
      </c>
      <c r="S2193">
        <v>0.15661620000000001</v>
      </c>
      <c r="T2193">
        <v>-0.24187339999999999</v>
      </c>
      <c r="U2193">
        <v>-3.069855</v>
      </c>
      <c r="V2193">
        <v>3.819144E-2</v>
      </c>
      <c r="W2193">
        <v>0.1595213</v>
      </c>
      <c r="X2193">
        <v>0.98645539999999998</v>
      </c>
      <c r="Y2193">
        <v>8.4961620000000002E-2</v>
      </c>
      <c r="Z2193">
        <v>7.7271199999999998E-2</v>
      </c>
      <c r="AA2193">
        <v>0.99338349999999898</v>
      </c>
      <c r="AB2193">
        <v>32</v>
      </c>
      <c r="AC2193">
        <v>-1.2799999999970099E-2</v>
      </c>
      <c r="AD2193">
        <v>-7.7721999999999805E-2</v>
      </c>
      <c r="AE2193">
        <v>-0.50108999999999904</v>
      </c>
      <c r="AF2193">
        <v>7.8671274956079298E-2</v>
      </c>
      <c r="AG2193">
        <v>-7.7721999999999805E-2</v>
      </c>
      <c r="AH2193">
        <v>0.48312169901470198</v>
      </c>
      <c r="AI2193">
        <v>99.022284031320496</v>
      </c>
      <c r="AJ2193">
        <v>80.751165716359395</v>
      </c>
      <c r="AK2193">
        <v>0.49561724631621501</v>
      </c>
    </row>
    <row r="2194" spans="1:37" x14ac:dyDescent="0.2">
      <c r="A2194" t="str">
        <f>"20200111150636801"</f>
        <v>20200111150636801</v>
      </c>
      <c r="B2194" t="str">
        <f>"1578726396798948"</f>
        <v>1578726396798948</v>
      </c>
      <c r="C2194" t="s">
        <v>37</v>
      </c>
      <c r="D2194">
        <v>5.233981</v>
      </c>
      <c r="E2194">
        <v>0.57787159999999904</v>
      </c>
      <c r="F2194" t="s">
        <v>39</v>
      </c>
      <c r="G2194">
        <v>-302.75979999999998</v>
      </c>
      <c r="H2194" s="1">
        <v>-2.3148330000000001E-6</v>
      </c>
      <c r="I2194">
        <v>-26.726669999999999</v>
      </c>
      <c r="J2194">
        <v>-301.48540000000003</v>
      </c>
      <c r="K2194">
        <v>1.0998110000000001</v>
      </c>
      <c r="L2194">
        <v>-15.50296</v>
      </c>
      <c r="M2194">
        <v>0.12890019999999999</v>
      </c>
      <c r="N2194">
        <v>0</v>
      </c>
      <c r="O2194">
        <v>-0.99157830000000002</v>
      </c>
      <c r="P2194">
        <v>9.4334879999999996E-2</v>
      </c>
      <c r="Q2194">
        <v>0.14829510000000001</v>
      </c>
      <c r="R2194">
        <v>-0.98443369999999997</v>
      </c>
      <c r="S2194">
        <v>-0.32434079999999998</v>
      </c>
      <c r="T2194">
        <v>-0.29352459999999903</v>
      </c>
      <c r="U2194">
        <v>-3.1240540000000001</v>
      </c>
      <c r="V2194">
        <v>3.4770250000000003E-2</v>
      </c>
      <c r="W2194">
        <v>0.16037460000000001</v>
      </c>
      <c r="X2194">
        <v>0.98644359999999998</v>
      </c>
      <c r="Y2194">
        <v>0.23018659999999999</v>
      </c>
      <c r="Z2194">
        <v>9.0873229999999999E-2</v>
      </c>
      <c r="AA2194">
        <v>0.96889429999999999</v>
      </c>
      <c r="AB2194">
        <v>32</v>
      </c>
      <c r="AC2194">
        <v>-1.27439999999995</v>
      </c>
      <c r="AD2194">
        <v>-1.099813314833</v>
      </c>
      <c r="AE2194">
        <v>-11.223710000000001</v>
      </c>
      <c r="AF2194">
        <v>2.68516396521454</v>
      </c>
      <c r="AG2194">
        <v>-1.099813314833</v>
      </c>
      <c r="AH2194">
        <v>10.862801104055899</v>
      </c>
      <c r="AI2194">
        <v>95.613431996603097</v>
      </c>
      <c r="AJ2194">
        <v>76.115445770247604</v>
      </c>
      <c r="AK2194">
        <v>11.243671227577201</v>
      </c>
    </row>
    <row r="2195" spans="1:37" x14ac:dyDescent="0.2">
      <c r="A2195" t="str">
        <f>"20200111150636835"</f>
        <v>20200111150636835</v>
      </c>
      <c r="B2195" t="str">
        <f>"1578726396829203"</f>
        <v>1578726396829203</v>
      </c>
      <c r="C2195" t="s">
        <v>37</v>
      </c>
      <c r="D2195">
        <v>5.2591060000000001</v>
      </c>
      <c r="E2195">
        <v>0.57852799999999904</v>
      </c>
      <c r="F2195" t="s">
        <v>39</v>
      </c>
      <c r="G2195">
        <v>-302.82190000000003</v>
      </c>
      <c r="H2195" s="1">
        <v>-1.8702279999999901E-6</v>
      </c>
      <c r="I2195">
        <v>-27.801579999999898</v>
      </c>
      <c r="J2195">
        <v>-301.4298</v>
      </c>
      <c r="K2195">
        <v>1.099666</v>
      </c>
      <c r="L2195">
        <v>-15.98535</v>
      </c>
      <c r="M2195">
        <v>0.1221836</v>
      </c>
      <c r="N2195">
        <v>0</v>
      </c>
      <c r="O2195">
        <v>-0.99242809999999904</v>
      </c>
      <c r="P2195">
        <v>9.0297240000000001E-2</v>
      </c>
      <c r="Q2195">
        <v>0.1483196</v>
      </c>
      <c r="R2195">
        <v>-0.98480859999999903</v>
      </c>
      <c r="S2195">
        <v>-0.3392944</v>
      </c>
      <c r="T2195">
        <v>-0.27918789999999999</v>
      </c>
      <c r="U2195">
        <v>-3.1220089999999998</v>
      </c>
      <c r="V2195">
        <v>3.2189309999999999E-2</v>
      </c>
      <c r="W2195">
        <v>0.160436299999999</v>
      </c>
      <c r="X2195">
        <v>0.98652119999999999</v>
      </c>
      <c r="Y2195">
        <v>0.22829469999999999</v>
      </c>
      <c r="Z2195">
        <v>8.663788E-2</v>
      </c>
      <c r="AA2195">
        <v>0.96972950000000002</v>
      </c>
      <c r="AB2195">
        <v>32</v>
      </c>
      <c r="AC2195">
        <v>-1.3921000000000201</v>
      </c>
      <c r="AD2195">
        <v>-1.0996678702280001</v>
      </c>
      <c r="AE2195">
        <v>-11.8162299999999</v>
      </c>
      <c r="AF2195">
        <v>2.8015990714253101</v>
      </c>
      <c r="AG2195">
        <v>-1.0996678702280001</v>
      </c>
      <c r="AH2195">
        <v>11.4596849206555</v>
      </c>
      <c r="AI2195">
        <v>95.325409485684403</v>
      </c>
      <c r="AJ2195">
        <v>76.262114622890806</v>
      </c>
      <c r="AK2195">
        <v>11.8483165581665</v>
      </c>
    </row>
    <row r="2196" spans="1:37" x14ac:dyDescent="0.2">
      <c r="A2196" t="str">
        <f>"20200111150636868"</f>
        <v>20200111150636868</v>
      </c>
      <c r="B2196" t="str">
        <f>"1578726396858484"</f>
        <v>1578726396858484</v>
      </c>
      <c r="C2196" t="s">
        <v>37</v>
      </c>
      <c r="D2196">
        <v>5.250769</v>
      </c>
      <c r="E2196">
        <v>0.57878759999999996</v>
      </c>
      <c r="F2196" t="s">
        <v>39</v>
      </c>
      <c r="G2196">
        <v>-302.90429999999998</v>
      </c>
      <c r="H2196" s="1">
        <v>-1.4574170000000001E-6</v>
      </c>
      <c r="I2196">
        <v>-28.814959999999999</v>
      </c>
      <c r="J2196">
        <v>-301.3777</v>
      </c>
      <c r="K2196">
        <v>1.099559</v>
      </c>
      <c r="L2196">
        <v>-16.46979</v>
      </c>
      <c r="M2196">
        <v>0.115317499999999</v>
      </c>
      <c r="N2196">
        <v>0</v>
      </c>
      <c r="O2196">
        <v>-0.9932491</v>
      </c>
      <c r="P2196">
        <v>8.5810129999999998E-2</v>
      </c>
      <c r="Q2196">
        <v>0.14943489999999901</v>
      </c>
      <c r="R2196">
        <v>-0.9850411</v>
      </c>
      <c r="S2196">
        <v>-0.35852050000000002</v>
      </c>
      <c r="T2196">
        <v>-0.26737539999999999</v>
      </c>
      <c r="U2196">
        <v>-3.119415</v>
      </c>
      <c r="V2196">
        <v>2.9890529999999998E-2</v>
      </c>
      <c r="W2196">
        <v>0.16158410000000001</v>
      </c>
      <c r="X2196">
        <v>0.98640609999999995</v>
      </c>
      <c r="Y2196">
        <v>0.22758729999999999</v>
      </c>
      <c r="Z2196">
        <v>8.3151329999999996E-2</v>
      </c>
      <c r="AA2196">
        <v>0.97020099999999998</v>
      </c>
      <c r="AB2196">
        <v>32</v>
      </c>
      <c r="AC2196">
        <v>-1.52659999999997</v>
      </c>
      <c r="AD2196">
        <v>-1.0995604574169999</v>
      </c>
      <c r="AE2196">
        <v>-12.34517</v>
      </c>
      <c r="AF2196">
        <v>2.91734556487323</v>
      </c>
      <c r="AG2196">
        <v>-1.0995604574169999</v>
      </c>
      <c r="AH2196">
        <v>11.9930315926227</v>
      </c>
      <c r="AI2196">
        <v>95.0907823009277</v>
      </c>
      <c r="AJ2196">
        <v>76.3281440981917</v>
      </c>
      <c r="AK2196">
        <v>12.3916401305899</v>
      </c>
    </row>
    <row r="2197" spans="1:37" x14ac:dyDescent="0.2">
      <c r="A2197" t="str">
        <f>"20200111150636902"</f>
        <v>20200111150636902</v>
      </c>
      <c r="B2197" t="str">
        <f>"1578726396898499"</f>
        <v>1578726396898499</v>
      </c>
      <c r="C2197" t="s">
        <v>37</v>
      </c>
      <c r="D2197">
        <v>5.2432869999999996</v>
      </c>
      <c r="E2197">
        <v>0.57833990000000002</v>
      </c>
      <c r="F2197" t="s">
        <v>39</v>
      </c>
      <c r="G2197">
        <v>-302.98230000000001</v>
      </c>
      <c r="H2197" s="1">
        <v>-1.0719179999999999E-6</v>
      </c>
      <c r="I2197">
        <v>-29.76193</v>
      </c>
      <c r="J2197">
        <v>-301.32960000000003</v>
      </c>
      <c r="K2197">
        <v>1.0994619999999999</v>
      </c>
      <c r="L2197">
        <v>-16.949339999999999</v>
      </c>
      <c r="M2197">
        <v>0.1084321</v>
      </c>
      <c r="N2197">
        <v>0</v>
      </c>
      <c r="O2197">
        <v>-0.99402409999999997</v>
      </c>
      <c r="P2197">
        <v>7.9456089999999993E-2</v>
      </c>
      <c r="Q2197">
        <v>0.15020500000000001</v>
      </c>
      <c r="R2197">
        <v>-0.98545709999999997</v>
      </c>
      <c r="S2197">
        <v>-0.37634279999999998</v>
      </c>
      <c r="T2197">
        <v>-0.25788440000000001</v>
      </c>
      <c r="U2197">
        <v>-3.11746199999999</v>
      </c>
      <c r="V2197">
        <v>2.9444359999999999E-2</v>
      </c>
      <c r="W2197">
        <v>0.1623685</v>
      </c>
      <c r="X2197">
        <v>0.98629080000000002</v>
      </c>
      <c r="Y2197">
        <v>0.22640850000000001</v>
      </c>
      <c r="Z2197">
        <v>8.0349909999999997E-2</v>
      </c>
      <c r="AA2197">
        <v>0.97071269999999998</v>
      </c>
      <c r="AB2197">
        <v>32</v>
      </c>
      <c r="AC2197">
        <v>-1.6526999999999801</v>
      </c>
      <c r="AD2197">
        <v>-1.0994630719180001</v>
      </c>
      <c r="AE2197">
        <v>-12.81259</v>
      </c>
      <c r="AF2197">
        <v>3.0105545309677999</v>
      </c>
      <c r="AG2197">
        <v>-1.0994630719180001</v>
      </c>
      <c r="AH2197">
        <v>12.467510509546001</v>
      </c>
      <c r="AI2197">
        <v>94.899558413566695</v>
      </c>
      <c r="AJ2197">
        <v>76.424548107470997</v>
      </c>
      <c r="AK2197">
        <v>12.872881415444001</v>
      </c>
    </row>
    <row r="2198" spans="1:37" x14ac:dyDescent="0.2">
      <c r="A2198" t="str">
        <f>"20200111150636935"</f>
        <v>20200111150636935</v>
      </c>
      <c r="B2198" t="str">
        <f>"1578726396928755"</f>
        <v>1578726396928755</v>
      </c>
      <c r="C2198" t="s">
        <v>37</v>
      </c>
      <c r="D2198">
        <v>5.2156010000000004</v>
      </c>
      <c r="E2198">
        <v>0.57801250000000004</v>
      </c>
      <c r="F2198" t="s">
        <v>39</v>
      </c>
      <c r="G2198">
        <v>-303.04410000000001</v>
      </c>
      <c r="H2198" s="1">
        <v>-4.7906100000000002E-6</v>
      </c>
      <c r="I2198">
        <v>-30.52252</v>
      </c>
      <c r="J2198">
        <v>-301.28390000000002</v>
      </c>
      <c r="K2198">
        <v>1.099375</v>
      </c>
      <c r="L2198">
        <v>-17.440249999999999</v>
      </c>
      <c r="M2198">
        <v>0.1013022</v>
      </c>
      <c r="N2198">
        <v>0</v>
      </c>
      <c r="O2198">
        <v>-0.99477579999999999</v>
      </c>
      <c r="P2198">
        <v>7.1107680000000006E-2</v>
      </c>
      <c r="Q2198">
        <v>0.14660300000000001</v>
      </c>
      <c r="R2198">
        <v>-0.98663659999999997</v>
      </c>
      <c r="S2198">
        <v>-0.39340209999999998</v>
      </c>
      <c r="T2198">
        <v>-0.25227870000000002</v>
      </c>
      <c r="U2198">
        <v>-3.1144409999999998</v>
      </c>
      <c r="V2198">
        <v>3.0777599999999999E-2</v>
      </c>
      <c r="W2198">
        <v>0.15877040000000001</v>
      </c>
      <c r="X2198">
        <v>0.98683569999999998</v>
      </c>
      <c r="Y2198">
        <v>0.22479089999999999</v>
      </c>
      <c r="Z2198">
        <v>7.8769740000000005E-2</v>
      </c>
      <c r="AA2198">
        <v>0.97121800000000003</v>
      </c>
      <c r="AB2198">
        <v>32</v>
      </c>
      <c r="AC2198">
        <v>-1.76019999999999</v>
      </c>
      <c r="AD2198">
        <v>-1.09937979061</v>
      </c>
      <c r="AE2198">
        <v>-13.082269999999999</v>
      </c>
      <c r="AF2198">
        <v>3.05531857140795</v>
      </c>
      <c r="AG2198">
        <v>-1.09937979061</v>
      </c>
      <c r="AH2198">
        <v>12.7482065130515</v>
      </c>
      <c r="AI2198">
        <v>94.793782990153403</v>
      </c>
      <c r="AJ2198">
        <v>76.522333268486605</v>
      </c>
      <c r="AK2198">
        <v>13.1552414191531</v>
      </c>
    </row>
    <row r="2199" spans="1:37" x14ac:dyDescent="0.2">
      <c r="A2199" t="str">
        <f>"20200111150636968"</f>
        <v>20200111150636968</v>
      </c>
      <c r="B2199" t="str">
        <f>"1578726396959011"</f>
        <v>1578726396959011</v>
      </c>
      <c r="C2199" t="s">
        <v>37</v>
      </c>
      <c r="D2199">
        <v>5.2027729999999996</v>
      </c>
      <c r="E2199">
        <v>0.57778059999999998</v>
      </c>
      <c r="F2199" t="s">
        <v>39</v>
      </c>
      <c r="G2199">
        <v>-303.0385</v>
      </c>
      <c r="H2199" s="1">
        <v>-4.7883060000000001E-6</v>
      </c>
      <c r="I2199">
        <v>-30.526359999999901</v>
      </c>
      <c r="J2199">
        <v>-301.24270000000001</v>
      </c>
      <c r="K2199">
        <v>1.0993109999999999</v>
      </c>
      <c r="L2199">
        <v>-17.920379999999899</v>
      </c>
      <c r="M2199">
        <v>9.4269610000000004E-2</v>
      </c>
      <c r="N2199">
        <v>0</v>
      </c>
      <c r="O2199">
        <v>-0.99546659999999998</v>
      </c>
      <c r="P2199">
        <v>6.2382960000000001E-2</v>
      </c>
      <c r="Q2199">
        <v>0.14326529999999901</v>
      </c>
      <c r="R2199">
        <v>-0.98771640000000005</v>
      </c>
      <c r="S2199">
        <v>-0.4169312</v>
      </c>
      <c r="T2199">
        <v>-0.26123259999999998</v>
      </c>
      <c r="U2199">
        <v>-3.1094970000000002</v>
      </c>
      <c r="V2199">
        <v>3.2565209999999997E-2</v>
      </c>
      <c r="W2199">
        <v>0.15542919999999999</v>
      </c>
      <c r="X2199">
        <v>0.98731009999999997</v>
      </c>
      <c r="Y2199">
        <v>0.225292299999999</v>
      </c>
      <c r="Z2199">
        <v>8.171631E-2</v>
      </c>
      <c r="AA2199">
        <v>0.97085829999999995</v>
      </c>
      <c r="AB2199">
        <v>32</v>
      </c>
      <c r="AC2199">
        <v>-1.7957999999999801</v>
      </c>
      <c r="AD2199">
        <v>-1.0993157883060001</v>
      </c>
      <c r="AE2199">
        <v>-12.605980000000001</v>
      </c>
      <c r="AF2199">
        <v>2.95423736480666</v>
      </c>
      <c r="AG2199">
        <v>-1.0993157883060001</v>
      </c>
      <c r="AH2199">
        <v>12.2889331291865</v>
      </c>
      <c r="AI2199">
        <v>94.970949271856099</v>
      </c>
      <c r="AJ2199">
        <v>76.4826962451735</v>
      </c>
      <c r="AK2199">
        <v>12.686760463714</v>
      </c>
    </row>
    <row r="2200" spans="1:37" x14ac:dyDescent="0.2">
      <c r="A2200" t="str">
        <f>"20200111150637001"</f>
        <v>20200111150637001</v>
      </c>
      <c r="B2200" t="str">
        <f>"1578726396999029"</f>
        <v>1578726396999029</v>
      </c>
      <c r="C2200" t="s">
        <v>37</v>
      </c>
      <c r="D2200">
        <v>5.1420149999999998</v>
      </c>
      <c r="E2200">
        <v>0.57659419999999995</v>
      </c>
      <c r="F2200" t="s">
        <v>39</v>
      </c>
      <c r="G2200">
        <v>-303.0539</v>
      </c>
      <c r="H2200" s="1">
        <v>-4.7702560000000004E-6</v>
      </c>
      <c r="I2200">
        <v>-30.587409999999998</v>
      </c>
      <c r="J2200">
        <v>-301.20510000000002</v>
      </c>
      <c r="K2200">
        <v>1.099275</v>
      </c>
      <c r="L2200">
        <v>-18.399750000000001</v>
      </c>
      <c r="M2200">
        <v>8.721073E-2</v>
      </c>
      <c r="N2200">
        <v>0</v>
      </c>
      <c r="O2200">
        <v>-0.99610980000000005</v>
      </c>
      <c r="P2200">
        <v>5.5955779999999997E-2</v>
      </c>
      <c r="Q2200">
        <v>0.1439887</v>
      </c>
      <c r="R2200">
        <v>-0.98799629999999905</v>
      </c>
      <c r="S2200">
        <v>-0.4438782</v>
      </c>
      <c r="T2200">
        <v>-0.26941979999999999</v>
      </c>
      <c r="U2200">
        <v>-3.1044309999999999</v>
      </c>
      <c r="V2200">
        <v>3.1999819999999998E-2</v>
      </c>
      <c r="W2200">
        <v>0.156164</v>
      </c>
      <c r="X2200">
        <v>0.98721270000000005</v>
      </c>
      <c r="Y2200">
        <v>0.22683159999999999</v>
      </c>
      <c r="Z2200">
        <v>8.4412050000000002E-2</v>
      </c>
      <c r="AA2200">
        <v>0.970269099999999</v>
      </c>
      <c r="AB2200">
        <v>32</v>
      </c>
      <c r="AC2200">
        <v>-1.84879999999998</v>
      </c>
      <c r="AD2200">
        <v>-1.099279770256</v>
      </c>
      <c r="AE2200">
        <v>-12.1876599999999</v>
      </c>
      <c r="AF2200">
        <v>2.8818170508265299</v>
      </c>
      <c r="AG2200">
        <v>-1.099279770256</v>
      </c>
      <c r="AH2200">
        <v>11.885450885069099</v>
      </c>
      <c r="AI2200">
        <v>95.136234189917602</v>
      </c>
      <c r="AJ2200">
        <v>76.370748543920698</v>
      </c>
      <c r="AK2200">
        <v>12.2791379285811</v>
      </c>
    </row>
    <row r="2201" spans="1:37" x14ac:dyDescent="0.2">
      <c r="A2201" t="str">
        <f>"20200111150637036"</f>
        <v>20200111150637036</v>
      </c>
      <c r="B2201" t="str">
        <f>"1578726397029283"</f>
        <v>1578726397029283</v>
      </c>
      <c r="C2201" t="s">
        <v>37</v>
      </c>
      <c r="D2201">
        <v>5.061293</v>
      </c>
      <c r="E2201">
        <v>0.57554209999999995</v>
      </c>
      <c r="F2201" t="s">
        <v>39</v>
      </c>
      <c r="G2201">
        <v>-303.08760000000001</v>
      </c>
      <c r="H2201" s="1">
        <v>-4.5573340000000001E-6</v>
      </c>
      <c r="I2201">
        <v>-31.230699999999999</v>
      </c>
      <c r="J2201">
        <v>-301.17020000000002</v>
      </c>
      <c r="K2201">
        <v>1.099264</v>
      </c>
      <c r="L2201">
        <v>-18.88852</v>
      </c>
      <c r="M2201">
        <v>7.9992969999999997E-2</v>
      </c>
      <c r="N2201">
        <v>0</v>
      </c>
      <c r="O2201">
        <v>-0.99671520000000002</v>
      </c>
      <c r="P2201">
        <v>5.0570200000000003E-2</v>
      </c>
      <c r="Q2201">
        <v>0.14495569999999999</v>
      </c>
      <c r="R2201">
        <v>-0.988145099999999</v>
      </c>
      <c r="S2201">
        <v>-0.45495609999999997</v>
      </c>
      <c r="T2201">
        <v>-0.26566849999999997</v>
      </c>
      <c r="U2201">
        <v>-3.1009220000000002</v>
      </c>
      <c r="V2201">
        <v>3.0231790000000001E-2</v>
      </c>
      <c r="W2201">
        <v>0.1571553</v>
      </c>
      <c r="X2201">
        <v>0.98711099999999996</v>
      </c>
      <c r="Y2201">
        <v>0.223337799999999</v>
      </c>
      <c r="Z2201">
        <v>8.3428340000000004E-2</v>
      </c>
      <c r="AA2201">
        <v>0.97116420000000003</v>
      </c>
      <c r="AB2201">
        <v>32</v>
      </c>
      <c r="AC2201">
        <v>-1.91739999999998</v>
      </c>
      <c r="AD2201">
        <v>-1.099268557334</v>
      </c>
      <c r="AE2201">
        <v>-12.342180000000001</v>
      </c>
      <c r="AF2201">
        <v>2.87634157105505</v>
      </c>
      <c r="AG2201">
        <v>-1.099268557334</v>
      </c>
      <c r="AH2201">
        <v>12.055849163068601</v>
      </c>
      <c r="AI2201">
        <v>95.0684145497803</v>
      </c>
      <c r="AJ2201">
        <v>76.580963718129894</v>
      </c>
      <c r="AK2201">
        <v>12.442878735935</v>
      </c>
    </row>
    <row r="2202" spans="1:37" x14ac:dyDescent="0.2">
      <c r="A2202" t="str">
        <f>"20200111150637068"</f>
        <v>20200111150637068</v>
      </c>
      <c r="B2202" t="str">
        <f>"1578726397058564"</f>
        <v>1578726397058564</v>
      </c>
      <c r="C2202" t="s">
        <v>37</v>
      </c>
      <c r="D2202">
        <v>4.8688039999999999</v>
      </c>
      <c r="E2202">
        <v>0.60465469999999999</v>
      </c>
      <c r="F2202" t="s">
        <v>39</v>
      </c>
      <c r="G2202">
        <v>-303.11540000000002</v>
      </c>
      <c r="H2202" s="1">
        <v>-4.3371730000000001E-6</v>
      </c>
      <c r="I2202">
        <v>-31.89209</v>
      </c>
      <c r="J2202">
        <v>-301.13929999999999</v>
      </c>
      <c r="K2202">
        <v>1.099254</v>
      </c>
      <c r="L2202">
        <v>-19.370419999999999</v>
      </c>
      <c r="M2202">
        <v>7.2868890000000006E-2</v>
      </c>
      <c r="N2202">
        <v>0</v>
      </c>
      <c r="O2202">
        <v>-0.99726119999999996</v>
      </c>
      <c r="P2202">
        <v>4.7038280000000002E-2</v>
      </c>
      <c r="Q2202">
        <v>0.14549329999999999</v>
      </c>
      <c r="R2202">
        <v>-0.98824020000000001</v>
      </c>
      <c r="S2202">
        <v>-0.46343990000000002</v>
      </c>
      <c r="T2202">
        <v>-0.26190189999999902</v>
      </c>
      <c r="U2202">
        <v>-3.0981139999999998</v>
      </c>
      <c r="V2202">
        <v>2.6703149999999998E-2</v>
      </c>
      <c r="W2202">
        <v>0.1577336</v>
      </c>
      <c r="X2202">
        <v>0.98712060000000001</v>
      </c>
      <c r="Y2202">
        <v>0.21911340000000001</v>
      </c>
      <c r="Z2202">
        <v>8.2419720000000002E-2</v>
      </c>
      <c r="AA2202">
        <v>0.97221209999999902</v>
      </c>
      <c r="AB2202">
        <v>32</v>
      </c>
      <c r="AC2202">
        <v>-1.9761000000000299</v>
      </c>
      <c r="AD2202">
        <v>-1.099258337173</v>
      </c>
      <c r="AE2202">
        <v>-12.52167</v>
      </c>
      <c r="AF2202">
        <v>2.8618393375922699</v>
      </c>
      <c r="AG2202">
        <v>-1.099258337173</v>
      </c>
      <c r="AH2202">
        <v>12.2522372242238</v>
      </c>
      <c r="AI2202">
        <v>94.993101289564706</v>
      </c>
      <c r="AJ2202">
        <v>76.852744739830996</v>
      </c>
      <c r="AK2202">
        <v>12.6299568599695</v>
      </c>
    </row>
    <row r="2203" spans="1:37" x14ac:dyDescent="0.2">
      <c r="A2203" t="str">
        <f>"20200111150637102"</f>
        <v>20200111150637102</v>
      </c>
      <c r="B2203" t="str">
        <f>"1578726397098580"</f>
        <v>1578726397098580</v>
      </c>
      <c r="C2203" t="s">
        <v>37</v>
      </c>
      <c r="D2203">
        <v>4.7484209999999996</v>
      </c>
      <c r="E2203">
        <v>0.60462349999999998</v>
      </c>
      <c r="F2203" t="s">
        <v>39</v>
      </c>
      <c r="G2203">
        <v>-305.30020000000002</v>
      </c>
      <c r="H2203" s="1">
        <v>-2.609878E-6</v>
      </c>
      <c r="I2203">
        <v>-37.614519999999999</v>
      </c>
      <c r="J2203">
        <v>-301.11200000000002</v>
      </c>
      <c r="K2203">
        <v>1.099254</v>
      </c>
      <c r="L2203">
        <v>-19.853149999999999</v>
      </c>
      <c r="M2203">
        <v>6.5733890000000003E-2</v>
      </c>
      <c r="N2203">
        <v>0</v>
      </c>
      <c r="O2203">
        <v>-0.99775709999999995</v>
      </c>
      <c r="P2203">
        <v>4.0988199999999898E-2</v>
      </c>
      <c r="Q2203">
        <v>0.14547789999999999</v>
      </c>
      <c r="R2203">
        <v>-0.98851250000000002</v>
      </c>
      <c r="S2203">
        <v>-0.70626829999999996</v>
      </c>
      <c r="T2203">
        <v>-0.1865889</v>
      </c>
      <c r="U2203">
        <v>-3.0967709999999999</v>
      </c>
      <c r="V2203">
        <v>2.5685260000000001E-2</v>
      </c>
      <c r="W2203">
        <v>0.1577336</v>
      </c>
      <c r="X2203">
        <v>0.98714760000000001</v>
      </c>
      <c r="Y2203">
        <v>0.28559200000000001</v>
      </c>
      <c r="Z2203">
        <v>5.7953899999999899E-2</v>
      </c>
      <c r="AA2203">
        <v>0.95659740000000004</v>
      </c>
      <c r="AB2203">
        <v>32</v>
      </c>
      <c r="AC2203">
        <v>-4.1881999999999904</v>
      </c>
      <c r="AD2203">
        <v>-1.0992566098779999</v>
      </c>
      <c r="AE2203">
        <v>-17.761369999999999</v>
      </c>
      <c r="AF2203">
        <v>5.3274261817055502</v>
      </c>
      <c r="AG2203">
        <v>-1.0992566098779999</v>
      </c>
      <c r="AH2203">
        <v>17.384538372765899</v>
      </c>
      <c r="AI2203">
        <v>93.459709362497406</v>
      </c>
      <c r="AJ2203">
        <v>72.962514334292294</v>
      </c>
      <c r="AK2203">
        <v>18.215707761436299</v>
      </c>
    </row>
    <row r="2204" spans="1:37" x14ac:dyDescent="0.2">
      <c r="A2204" t="str">
        <f>"20200111150637137"</f>
        <v>20200111150637137</v>
      </c>
      <c r="B2204" t="str">
        <f>"1578726397128835"</f>
        <v>1578726397128835</v>
      </c>
      <c r="C2204" t="s">
        <v>37</v>
      </c>
      <c r="D2204">
        <v>4.6779019999999996</v>
      </c>
      <c r="E2204">
        <v>0.60417549999999998</v>
      </c>
      <c r="F2204" t="s">
        <v>39</v>
      </c>
      <c r="G2204">
        <v>-305.32749999999999</v>
      </c>
      <c r="H2204" s="1">
        <v>-2.5235399999999999E-6</v>
      </c>
      <c r="I2204">
        <v>-37.832679999999897</v>
      </c>
      <c r="J2204">
        <v>-301.0872</v>
      </c>
      <c r="K2204">
        <v>1.0992459999999999</v>
      </c>
      <c r="L2204">
        <v>-20.35239</v>
      </c>
      <c r="M2204">
        <v>5.8355310000000001E-2</v>
      </c>
      <c r="N2204">
        <v>0</v>
      </c>
      <c r="O2204">
        <v>-0.99821559999999898</v>
      </c>
      <c r="P2204">
        <v>3.261878E-2</v>
      </c>
      <c r="Q2204">
        <v>0.145128799999999</v>
      </c>
      <c r="R2204">
        <v>-0.98887499999999995</v>
      </c>
      <c r="S2204">
        <v>-0.725128199999999</v>
      </c>
      <c r="T2204">
        <v>-0.18909010000000001</v>
      </c>
      <c r="U2204">
        <v>-3.09277299999999</v>
      </c>
      <c r="V2204">
        <v>2.6746180000000001E-2</v>
      </c>
      <c r="W2204">
        <v>0.15737860000000001</v>
      </c>
      <c r="X2204">
        <v>0.9871761</v>
      </c>
      <c r="Y2204">
        <v>0.28430090000000002</v>
      </c>
      <c r="Z2204">
        <v>5.881509E-2</v>
      </c>
      <c r="AA2204">
        <v>0.95692929999999998</v>
      </c>
      <c r="AB2204">
        <v>32</v>
      </c>
      <c r="AC2204">
        <v>-4.2402999999999897</v>
      </c>
      <c r="AD2204">
        <v>-1.09924852354</v>
      </c>
      <c r="AE2204">
        <v>-17.480289999999901</v>
      </c>
      <c r="AF2204">
        <v>5.2336758126712803</v>
      </c>
      <c r="AG2204">
        <v>-1.09924852354</v>
      </c>
      <c r="AH2204">
        <v>17.139022638163599</v>
      </c>
      <c r="AI2204">
        <v>93.510178627943503</v>
      </c>
      <c r="AJ2204">
        <v>73.019107414694204</v>
      </c>
      <c r="AK2204">
        <v>17.953991389664001</v>
      </c>
    </row>
    <row r="2205" spans="1:37" x14ac:dyDescent="0.2">
      <c r="A2205" t="str">
        <f>"20200111150637168"</f>
        <v>20200111150637168</v>
      </c>
      <c r="B2205" t="str">
        <f>"1578726397159092"</f>
        <v>1578726397159092</v>
      </c>
      <c r="C2205" t="s">
        <v>37</v>
      </c>
      <c r="D2205">
        <v>4.6402469999999996</v>
      </c>
      <c r="E2205">
        <v>0.60345459999999995</v>
      </c>
      <c r="F2205" t="s">
        <v>39</v>
      </c>
      <c r="G2205">
        <v>-305.27199999999999</v>
      </c>
      <c r="H2205" s="1">
        <v>-2.5874969999999999E-6</v>
      </c>
      <c r="I2205">
        <v>-37.64922</v>
      </c>
      <c r="J2205">
        <v>-301.0675</v>
      </c>
      <c r="K2205">
        <v>1.099248</v>
      </c>
      <c r="L2205">
        <v>-20.820160000000001</v>
      </c>
      <c r="M2205">
        <v>5.1442420000000003E-2</v>
      </c>
      <c r="N2205">
        <v>0</v>
      </c>
      <c r="O2205">
        <v>-0.99859580000000003</v>
      </c>
      <c r="P2205">
        <v>2.539916E-2</v>
      </c>
      <c r="Q2205">
        <v>0.14467479999999999</v>
      </c>
      <c r="R2205">
        <v>-0.98915359999999997</v>
      </c>
      <c r="S2205">
        <v>-0.74691770000000002</v>
      </c>
      <c r="T2205">
        <v>-0.19619700000000001</v>
      </c>
      <c r="U2205">
        <v>-3.087189</v>
      </c>
      <c r="V2205">
        <v>2.711771E-2</v>
      </c>
      <c r="W2205">
        <v>0.1569246</v>
      </c>
      <c r="X2205">
        <v>0.98723819999999995</v>
      </c>
      <c r="Y2205">
        <v>0.28440679999999902</v>
      </c>
      <c r="Z2205">
        <v>6.1109860000000002E-2</v>
      </c>
      <c r="AA2205">
        <v>0.95675409999999905</v>
      </c>
      <c r="AB2205">
        <v>32</v>
      </c>
      <c r="AC2205">
        <v>-4.2044999999999897</v>
      </c>
      <c r="AD2205">
        <v>-1.099250587497</v>
      </c>
      <c r="AE2205">
        <v>-16.829059999999998</v>
      </c>
      <c r="AF2205">
        <v>5.0444711969618803</v>
      </c>
      <c r="AG2205">
        <v>-1.099250587497</v>
      </c>
      <c r="AH2205">
        <v>16.524108675402701</v>
      </c>
      <c r="AI2205">
        <v>93.640553009631702</v>
      </c>
      <c r="AJ2205">
        <v>73.023645404885499</v>
      </c>
      <c r="AK2205">
        <v>17.311880574553701</v>
      </c>
    </row>
    <row r="2206" spans="1:37" x14ac:dyDescent="0.2">
      <c r="A2206" t="str">
        <f>"20200111150637203"</f>
        <v>20200111150637203</v>
      </c>
      <c r="B2206" t="str">
        <f>"1578726397199108"</f>
        <v>1578726397199108</v>
      </c>
      <c r="C2206" t="s">
        <v>37</v>
      </c>
      <c r="D2206">
        <v>4.6019559999999897</v>
      </c>
      <c r="E2206">
        <v>0.60281680000000004</v>
      </c>
      <c r="F2206" t="s">
        <v>39</v>
      </c>
      <c r="G2206">
        <v>-305.34530000000001</v>
      </c>
      <c r="H2206" s="1">
        <v>-2.4200940000000002E-6</v>
      </c>
      <c r="I2206">
        <v>-38.084879999999998</v>
      </c>
      <c r="J2206">
        <v>-301.05020000000002</v>
      </c>
      <c r="K2206">
        <v>1.0992420000000001</v>
      </c>
      <c r="L2206">
        <v>-21.31317</v>
      </c>
      <c r="M2206">
        <v>4.4159579999999997E-2</v>
      </c>
      <c r="N2206">
        <v>0</v>
      </c>
      <c r="O2206">
        <v>-0.99894419999999995</v>
      </c>
      <c r="P2206">
        <v>1.8058189999999998E-2</v>
      </c>
      <c r="Q2206">
        <v>0.1452204</v>
      </c>
      <c r="R2206">
        <v>-0.98923459999999996</v>
      </c>
      <c r="S2206">
        <v>-0.76345830000000003</v>
      </c>
      <c r="T2206">
        <v>-0.19618139999999901</v>
      </c>
      <c r="U2206">
        <v>-3.081207</v>
      </c>
      <c r="V2206">
        <v>2.724706E-2</v>
      </c>
      <c r="W2206">
        <v>0.1574709</v>
      </c>
      <c r="X2206">
        <v>0.98714769999999896</v>
      </c>
      <c r="Y2206">
        <v>0.28268480000000001</v>
      </c>
      <c r="Z2206">
        <v>6.1230229999999997E-2</v>
      </c>
      <c r="AA2206">
        <v>0.95725659999999901</v>
      </c>
      <c r="AB2206">
        <v>32</v>
      </c>
      <c r="AC2206">
        <v>-4.2950999999999899</v>
      </c>
      <c r="AD2206">
        <v>-1.0992444200939999</v>
      </c>
      <c r="AE2206">
        <v>-16.771709999999999</v>
      </c>
      <c r="AF2206">
        <v>5.0113979812763096</v>
      </c>
      <c r="AG2206">
        <v>-1.0992444200939999</v>
      </c>
      <c r="AH2206">
        <v>16.499148142614001</v>
      </c>
      <c r="AI2206">
        <v>93.647588869350002</v>
      </c>
      <c r="AJ2206">
        <v>73.104535214128205</v>
      </c>
      <c r="AK2206">
        <v>17.2784356194006</v>
      </c>
    </row>
    <row r="2207" spans="1:37" x14ac:dyDescent="0.2">
      <c r="A2207" t="str">
        <f>"20200111150637237"</f>
        <v>20200111150637237</v>
      </c>
      <c r="B2207" t="str">
        <f>"1578726397229363"</f>
        <v>1578726397229363</v>
      </c>
      <c r="C2207" t="s">
        <v>37</v>
      </c>
      <c r="D2207">
        <v>4.6097960000000002</v>
      </c>
      <c r="E2207">
        <v>0.60229379999999999</v>
      </c>
      <c r="F2207" t="s">
        <v>39</v>
      </c>
      <c r="G2207">
        <v>-305.3526</v>
      </c>
      <c r="H2207" s="1">
        <v>-2.3311049999999999E-6</v>
      </c>
      <c r="I2207">
        <v>-38.296859999999903</v>
      </c>
      <c r="J2207">
        <v>-301.03649999999999</v>
      </c>
      <c r="K2207">
        <v>1.0992440000000001</v>
      </c>
      <c r="L2207">
        <v>-21.799769999999999</v>
      </c>
      <c r="M2207">
        <v>3.6975279999999999E-2</v>
      </c>
      <c r="N2207">
        <v>0</v>
      </c>
      <c r="O2207">
        <v>-0.99923589999999995</v>
      </c>
      <c r="P2207">
        <v>1.090955E-2</v>
      </c>
      <c r="Q2207">
        <v>0.14536370000000001</v>
      </c>
      <c r="R2207">
        <v>-0.98931809999999998</v>
      </c>
      <c r="S2207">
        <v>-0.77926640000000003</v>
      </c>
      <c r="T2207">
        <v>-0.19909689999999999</v>
      </c>
      <c r="U2207">
        <v>-3.076111</v>
      </c>
      <c r="V2207">
        <v>2.7281260000000002E-2</v>
      </c>
      <c r="W2207">
        <v>0.15761549999999999</v>
      </c>
      <c r="X2207">
        <v>0.98712369999999905</v>
      </c>
      <c r="Y2207">
        <v>0.2807712</v>
      </c>
      <c r="Z2207">
        <v>6.2243689999999997E-2</v>
      </c>
      <c r="AA2207">
        <v>0.95775429999999995</v>
      </c>
      <c r="AB2207">
        <v>32</v>
      </c>
      <c r="AC2207">
        <v>-4.3160999999999996</v>
      </c>
      <c r="AD2207">
        <v>-1.099246331105</v>
      </c>
      <c r="AE2207">
        <v>-16.497089999999901</v>
      </c>
      <c r="AF2207">
        <v>4.9028080208939802</v>
      </c>
      <c r="AG2207">
        <v>-1.099246331105</v>
      </c>
      <c r="AH2207">
        <v>16.258642837069299</v>
      </c>
      <c r="AI2207">
        <v>93.703640812805403</v>
      </c>
      <c r="AJ2207">
        <v>73.219268807202894</v>
      </c>
      <c r="AK2207">
        <v>17.0173245808374</v>
      </c>
    </row>
    <row r="2208" spans="1:37" x14ac:dyDescent="0.2">
      <c r="A2208" t="str">
        <f>"20200111150637270"</f>
        <v>20200111150637270</v>
      </c>
      <c r="B2208" t="str">
        <f>"1578726397258643"</f>
        <v>1578726397258643</v>
      </c>
      <c r="C2208" t="s">
        <v>37</v>
      </c>
      <c r="D2208">
        <v>4.6651629999999997</v>
      </c>
      <c r="E2208">
        <v>0.60196349999999998</v>
      </c>
      <c r="F2208" t="s">
        <v>39</v>
      </c>
      <c r="G2208">
        <v>-305.39420000000001</v>
      </c>
      <c r="H2208" s="1">
        <v>-2.21730799999999E-6</v>
      </c>
      <c r="I2208">
        <v>-38.587910000000001</v>
      </c>
      <c r="J2208">
        <v>-301.0265</v>
      </c>
      <c r="K2208">
        <v>1.0992500000000001</v>
      </c>
      <c r="L2208">
        <v>-22.282710000000002</v>
      </c>
      <c r="M2208">
        <v>2.9855050000000001E-2</v>
      </c>
      <c r="N2208">
        <v>0</v>
      </c>
      <c r="O2208">
        <v>-0.99947399999999997</v>
      </c>
      <c r="P2208">
        <v>4.6854849999999997E-3</v>
      </c>
      <c r="Q2208">
        <v>0.1454481</v>
      </c>
      <c r="R2208">
        <v>-0.98935529999999905</v>
      </c>
      <c r="S2208">
        <v>-0.79705809999999999</v>
      </c>
      <c r="T2208">
        <v>-0.20106270000000001</v>
      </c>
      <c r="U2208">
        <v>-3.0707089999999999</v>
      </c>
      <c r="V2208">
        <v>2.6454350000000001E-2</v>
      </c>
      <c r="W2208">
        <v>0.15770960000000001</v>
      </c>
      <c r="X2208">
        <v>0.98713109999999904</v>
      </c>
      <c r="Y2208">
        <v>0.27953030000000001</v>
      </c>
      <c r="Z2208">
        <v>6.2952720000000004E-2</v>
      </c>
      <c r="AA2208">
        <v>0.95807089999999995</v>
      </c>
      <c r="AB2208">
        <v>32</v>
      </c>
      <c r="AC2208">
        <v>-4.3677000000000099</v>
      </c>
      <c r="AD2208">
        <v>-1.0992522173079999</v>
      </c>
      <c r="AE2208">
        <v>-16.305199999999999</v>
      </c>
      <c r="AF2208">
        <v>4.8320924493299504</v>
      </c>
      <c r="AG2208">
        <v>-1.0992522173079999</v>
      </c>
      <c r="AH2208">
        <v>16.099248699768498</v>
      </c>
      <c r="AI2208">
        <v>93.741673783043296</v>
      </c>
      <c r="AJ2208">
        <v>73.293188192384406</v>
      </c>
      <c r="AK2208">
        <v>16.8446811063056</v>
      </c>
    </row>
    <row r="2209" spans="1:37" x14ac:dyDescent="0.2">
      <c r="A2209" t="str">
        <f>"20200111150637304"</f>
        <v>20200111150637304</v>
      </c>
      <c r="B2209" t="str">
        <f>"1578726397298659"</f>
        <v>1578726397298659</v>
      </c>
      <c r="C2209" t="s">
        <v>37</v>
      </c>
      <c r="D2209">
        <v>4.699255</v>
      </c>
      <c r="E2209">
        <v>0.60114209999999901</v>
      </c>
      <c r="F2209" t="s">
        <v>39</v>
      </c>
      <c r="G2209">
        <v>-305.42720000000003</v>
      </c>
      <c r="H2209" s="1">
        <v>-2.0960119999999998E-6</v>
      </c>
      <c r="I2209">
        <v>-38.891109999999998</v>
      </c>
      <c r="J2209">
        <v>-301.01990000000001</v>
      </c>
      <c r="K2209">
        <v>1.0992690000000001</v>
      </c>
      <c r="L2209">
        <v>-22.771000000000001</v>
      </c>
      <c r="M2209">
        <v>2.270113E-2</v>
      </c>
      <c r="N2209">
        <v>0</v>
      </c>
      <c r="O2209">
        <v>-0.999662099999999</v>
      </c>
      <c r="P2209">
        <v>-1.889874E-4</v>
      </c>
      <c r="Q2209">
        <v>0.14558789999999999</v>
      </c>
      <c r="R2209">
        <v>-0.98934529999999998</v>
      </c>
      <c r="S2209">
        <v>-0.81237789999999999</v>
      </c>
      <c r="T2209">
        <v>-0.2029244</v>
      </c>
      <c r="U2209">
        <v>-3.0659480000000001</v>
      </c>
      <c r="V2209">
        <v>2.4240830000000001E-2</v>
      </c>
      <c r="W2209">
        <v>0.15787300000000001</v>
      </c>
      <c r="X2209">
        <v>0.98716179999999998</v>
      </c>
      <c r="Y2209">
        <v>0.27748889999999998</v>
      </c>
      <c r="Z2209">
        <v>6.3626370000000002E-2</v>
      </c>
      <c r="AA2209">
        <v>0.95861960000000002</v>
      </c>
      <c r="AB2209">
        <v>32</v>
      </c>
      <c r="AC2209">
        <v>-4.4073000000000198</v>
      </c>
      <c r="AD2209">
        <v>-1.099271096012</v>
      </c>
      <c r="AE2209">
        <v>-16.120109999999901</v>
      </c>
      <c r="AF2209">
        <v>4.7515789872344003</v>
      </c>
      <c r="AG2209">
        <v>-1.099271096012</v>
      </c>
      <c r="AH2209">
        <v>15.9468974536895</v>
      </c>
      <c r="AI2209">
        <v>93.779638145786905</v>
      </c>
      <c r="AJ2209">
        <v>73.407911660227995</v>
      </c>
      <c r="AK2209">
        <v>16.676013858621701</v>
      </c>
    </row>
    <row r="2210" spans="1:37" x14ac:dyDescent="0.2">
      <c r="A2210" t="str">
        <f>"20200111150637337"</f>
        <v>20200111150637337</v>
      </c>
      <c r="B2210" t="str">
        <f>"1578726397328915"</f>
        <v>1578726397328915</v>
      </c>
      <c r="C2210" t="s">
        <v>37</v>
      </c>
      <c r="D2210">
        <v>4.7533510000000003</v>
      </c>
      <c r="E2210">
        <v>0.60044249999999999</v>
      </c>
      <c r="F2210" t="s">
        <v>39</v>
      </c>
      <c r="G2210">
        <v>-305.41140000000001</v>
      </c>
      <c r="H2210" s="1">
        <v>-1.9741619999999999E-6</v>
      </c>
      <c r="I2210">
        <v>-39.165370000000003</v>
      </c>
      <c r="J2210">
        <v>-301.01659999999998</v>
      </c>
      <c r="K2210">
        <v>1.0992959999999901</v>
      </c>
      <c r="L2210">
        <v>-23.250610000000002</v>
      </c>
      <c r="M2210">
        <v>1.5763180000000002E-2</v>
      </c>
      <c r="N2210">
        <v>0</v>
      </c>
      <c r="O2210">
        <v>-0.99979560000000001</v>
      </c>
      <c r="P2210">
        <v>-6.4993369999999896E-3</v>
      </c>
      <c r="Q2210">
        <v>0.14447679999999999</v>
      </c>
      <c r="R2210">
        <v>-0.98948670000000005</v>
      </c>
      <c r="S2210">
        <v>-0.8203125</v>
      </c>
      <c r="T2210">
        <v>-0.20533779999999899</v>
      </c>
      <c r="U2210">
        <v>-3.0623779999999998</v>
      </c>
      <c r="V2210">
        <v>2.3658530000000001E-2</v>
      </c>
      <c r="W2210">
        <v>0.15677060000000001</v>
      </c>
      <c r="X2210">
        <v>0.98735169999999906</v>
      </c>
      <c r="Y2210">
        <v>0.27340189999999998</v>
      </c>
      <c r="Z2210">
        <v>6.4482750000000005E-2</v>
      </c>
      <c r="AA2210">
        <v>0.95973609999999898</v>
      </c>
      <c r="AB2210">
        <v>32</v>
      </c>
      <c r="AC2210">
        <v>-4.3948000000000302</v>
      </c>
      <c r="AD2210">
        <v>-1.0992979741619999</v>
      </c>
      <c r="AE2210">
        <v>-15.914759999999999</v>
      </c>
      <c r="AF2210">
        <v>4.6246393748611503</v>
      </c>
      <c r="AG2210">
        <v>-1.0992979741619999</v>
      </c>
      <c r="AH2210">
        <v>15.7735737513981</v>
      </c>
      <c r="AI2210">
        <v>93.826087167249</v>
      </c>
      <c r="AJ2210">
        <v>73.659439708010296</v>
      </c>
      <c r="AK2210">
        <v>16.4742639979548</v>
      </c>
    </row>
    <row r="2211" spans="1:37" x14ac:dyDescent="0.2">
      <c r="A2211" t="str">
        <f>"20200111150637382"</f>
        <v>20200111150637382</v>
      </c>
      <c r="B2211" t="str">
        <f>"1578726397378692"</f>
        <v>1578726397378692</v>
      </c>
      <c r="C2211" t="s">
        <v>37</v>
      </c>
      <c r="D2211">
        <v>4.7644699999999904</v>
      </c>
      <c r="E2211">
        <v>0.60006990000000004</v>
      </c>
      <c r="F2211" t="s">
        <v>39</v>
      </c>
      <c r="G2211">
        <v>-305.3691</v>
      </c>
      <c r="H2211" s="1">
        <v>-1.939347E-6</v>
      </c>
      <c r="I2211">
        <v>-39.220279999999903</v>
      </c>
      <c r="J2211">
        <v>-301.0172</v>
      </c>
      <c r="K2211">
        <v>1.09939599999999</v>
      </c>
      <c r="L2211">
        <v>-23.895289999999999</v>
      </c>
      <c r="M2211">
        <v>6.6502139999999998E-3</v>
      </c>
      <c r="N2211">
        <v>0</v>
      </c>
      <c r="O2211">
        <v>-0.99989779999999995</v>
      </c>
      <c r="P2211">
        <v>-1.540099E-2</v>
      </c>
      <c r="Q2211">
        <v>0.14322939999999901</v>
      </c>
      <c r="R2211">
        <v>-0.98956980000000005</v>
      </c>
      <c r="S2211">
        <v>-0.8332214</v>
      </c>
      <c r="T2211">
        <v>-0.2104425</v>
      </c>
      <c r="U2211">
        <v>-3.0571290000000002</v>
      </c>
      <c r="V2211">
        <v>2.3492499999999999E-2</v>
      </c>
      <c r="W2211">
        <v>0.15552669999999999</v>
      </c>
      <c r="X2211">
        <v>0.98755230000000005</v>
      </c>
      <c r="Y2211">
        <v>0.26879219999999998</v>
      </c>
      <c r="Z2211">
        <v>6.6206230000000005E-2</v>
      </c>
      <c r="AA2211">
        <v>0.960920199999999</v>
      </c>
      <c r="AB2211">
        <v>32</v>
      </c>
      <c r="AC2211">
        <v>-4.3518999999999997</v>
      </c>
      <c r="AD2211">
        <v>-1.0993979393469999</v>
      </c>
      <c r="AE2211">
        <v>-15.3249899999999</v>
      </c>
      <c r="AF2211">
        <v>4.4326163867303796</v>
      </c>
      <c r="AG2211">
        <v>-1.0993979393469999</v>
      </c>
      <c r="AH2211">
        <v>15.2232083375449</v>
      </c>
      <c r="AI2211">
        <v>93.9664811148307</v>
      </c>
      <c r="AJ2211">
        <v>73.7657650988277</v>
      </c>
      <c r="AK2211">
        <v>15.893484072073299</v>
      </c>
    </row>
    <row r="2212" spans="1:37" x14ac:dyDescent="0.2">
      <c r="A2212" t="str">
        <f>"20200111150637427"</f>
        <v>20200111150637427</v>
      </c>
      <c r="B2212" t="str">
        <f>"1578726397418707"</f>
        <v>1578726397418707</v>
      </c>
      <c r="C2212" t="s">
        <v>37</v>
      </c>
      <c r="D2212">
        <v>4.8006339999999996</v>
      </c>
      <c r="E2212">
        <v>0.59939339999999997</v>
      </c>
      <c r="F2212" t="s">
        <v>39</v>
      </c>
      <c r="G2212">
        <v>-305.41730000000001</v>
      </c>
      <c r="H2212" s="1">
        <v>-1.803287E-6</v>
      </c>
      <c r="I2212">
        <v>-39.567329999999998</v>
      </c>
      <c r="J2212">
        <v>-301.02339999999998</v>
      </c>
      <c r="K2212">
        <v>1.0995549999999901</v>
      </c>
      <c r="L2212">
        <v>-24.547090000000001</v>
      </c>
      <c r="M2212">
        <v>-2.2140440000000001E-3</v>
      </c>
      <c r="N2212">
        <v>0</v>
      </c>
      <c r="O2212">
        <v>-0.99991749999999902</v>
      </c>
      <c r="P2212">
        <v>-2.2033199999999999E-2</v>
      </c>
      <c r="Q2212">
        <v>0.14458670000000001</v>
      </c>
      <c r="R2212">
        <v>-0.98924709999999905</v>
      </c>
      <c r="S2212">
        <v>-0.85610959999999903</v>
      </c>
      <c r="T2212">
        <v>-0.21390619999999999</v>
      </c>
      <c r="U2212">
        <v>-3.049255</v>
      </c>
      <c r="V2212">
        <v>2.1312009999999999E-2</v>
      </c>
      <c r="W2212">
        <v>0.1569016</v>
      </c>
      <c r="X2212">
        <v>0.98738429999999999</v>
      </c>
      <c r="Y2212">
        <v>0.2675614</v>
      </c>
      <c r="Z2212">
        <v>6.7405569999999998E-2</v>
      </c>
      <c r="AA2212">
        <v>0.96118019999999904</v>
      </c>
      <c r="AB2212">
        <v>32</v>
      </c>
      <c r="AC2212">
        <v>-4.3939000000000297</v>
      </c>
      <c r="AD2212">
        <v>-1.09955680328699</v>
      </c>
      <c r="AE2212">
        <v>-15.0202399999999</v>
      </c>
      <c r="AF2212">
        <v>4.3392104514065402</v>
      </c>
      <c r="AG2212">
        <v>-1.09955680328699</v>
      </c>
      <c r="AH2212">
        <v>14.956101003816499</v>
      </c>
      <c r="AI2212">
        <v>94.038796813041699</v>
      </c>
      <c r="AJ2212">
        <v>73.820981661769906</v>
      </c>
      <c r="AK2212">
        <v>15.6116216243416</v>
      </c>
    </row>
    <row r="2213" spans="1:37" x14ac:dyDescent="0.2">
      <c r="A2213" t="str">
        <f>"20200111150637471"</f>
        <v>20200111150637471</v>
      </c>
      <c r="B2213" t="str">
        <f>"1578726397469460"</f>
        <v>1578726397469460</v>
      </c>
      <c r="C2213" t="s">
        <v>37</v>
      </c>
      <c r="D2213">
        <v>4.8299669999999999</v>
      </c>
      <c r="E2213">
        <v>0.5986378</v>
      </c>
      <c r="F2213" t="s">
        <v>85</v>
      </c>
      <c r="G2213">
        <v>-305.61619999999999</v>
      </c>
      <c r="H2213" s="1">
        <v>-1.580378E-6</v>
      </c>
      <c r="I2213">
        <v>-40.583620000000003</v>
      </c>
      <c r="J2213">
        <v>-301.03449999999998</v>
      </c>
      <c r="K2213">
        <v>1.099785</v>
      </c>
      <c r="L2213">
        <v>-25.185579999999899</v>
      </c>
      <c r="M2213">
        <v>-1.033596E-2</v>
      </c>
      <c r="N2213">
        <v>0</v>
      </c>
      <c r="O2213">
        <v>-0.9998667</v>
      </c>
      <c r="P2213">
        <v>-2.8148679999999999E-2</v>
      </c>
      <c r="Q2213">
        <v>0.14609469999999999</v>
      </c>
      <c r="R2213">
        <v>-0.98887009999999897</v>
      </c>
      <c r="S2213">
        <v>-0.87170409999999898</v>
      </c>
      <c r="T2213">
        <v>-0.20869369999999901</v>
      </c>
      <c r="U2213">
        <v>-3.043701</v>
      </c>
      <c r="V2213">
        <v>1.9320110000000001E-2</v>
      </c>
      <c r="W2213">
        <v>0.15842290000000001</v>
      </c>
      <c r="X2213">
        <v>0.98718229999999996</v>
      </c>
      <c r="Y2213">
        <v>0.2647776</v>
      </c>
      <c r="Z2213">
        <v>6.5861249999999996E-2</v>
      </c>
      <c r="AA2213">
        <v>0.96205779999999996</v>
      </c>
      <c r="AB2213">
        <v>32</v>
      </c>
      <c r="AC2213">
        <v>-4.5817000000000103</v>
      </c>
      <c r="AD2213">
        <v>-1.099786580378</v>
      </c>
      <c r="AE2213">
        <v>-15.39804</v>
      </c>
      <c r="AF2213">
        <v>4.4016608646842599</v>
      </c>
      <c r="AG2213">
        <v>-1.099786580378</v>
      </c>
      <c r="AH2213">
        <v>15.3725349520485</v>
      </c>
      <c r="AI2213">
        <v>93.934515306083398</v>
      </c>
      <c r="AJ2213">
        <v>74.021846165287997</v>
      </c>
      <c r="AK2213">
        <v>16.028068496922</v>
      </c>
    </row>
    <row r="2214" spans="1:37" x14ac:dyDescent="0.2">
      <c r="A2214" t="str">
        <f>"20200111150637504"</f>
        <v>20200111150637504</v>
      </c>
      <c r="B2214" t="str">
        <f>"1578726397498741"</f>
        <v>1578726397498741</v>
      </c>
      <c r="C2214" t="s">
        <v>37</v>
      </c>
      <c r="D2214">
        <v>4.9726790000000003</v>
      </c>
      <c r="E2214">
        <v>0.59845090000000001</v>
      </c>
      <c r="F2214" t="s">
        <v>85</v>
      </c>
      <c r="G2214">
        <v>-305.75080000000003</v>
      </c>
      <c r="H2214" s="1">
        <v>-1.9233279999999998E-6</v>
      </c>
      <c r="I2214">
        <v>-41.387770000000003</v>
      </c>
      <c r="J2214">
        <v>-301.04559999999998</v>
      </c>
      <c r="K2214">
        <v>1.1000259999999999</v>
      </c>
      <c r="L2214">
        <v>-25.658940000000001</v>
      </c>
      <c r="M2214">
        <v>-1.5844859999999999E-2</v>
      </c>
      <c r="N2214">
        <v>0</v>
      </c>
      <c r="O2214">
        <v>-0.99979479999999998</v>
      </c>
      <c r="P2214">
        <v>-3.3213300000000001E-2</v>
      </c>
      <c r="Q2214">
        <v>0.1457183</v>
      </c>
      <c r="R2214">
        <v>-0.9887688</v>
      </c>
      <c r="S2214">
        <v>-0.88464359999999997</v>
      </c>
      <c r="T2214">
        <v>-0.2062882</v>
      </c>
      <c r="U2214">
        <v>-3.0390630000000001</v>
      </c>
      <c r="V2214">
        <v>1.884106E-2</v>
      </c>
      <c r="W2214">
        <v>0.15804860000000001</v>
      </c>
      <c r="X2214">
        <v>0.98725160000000001</v>
      </c>
      <c r="Y2214">
        <v>0.26364720000000003</v>
      </c>
      <c r="Z2214">
        <v>6.5166150000000006E-2</v>
      </c>
      <c r="AA2214">
        <v>0.96241549999999998</v>
      </c>
      <c r="AB2214">
        <v>32</v>
      </c>
      <c r="AC2214">
        <v>-4.7052000000000396</v>
      </c>
      <c r="AD2214">
        <v>-1.1000279233279999</v>
      </c>
      <c r="AE2214">
        <v>-15.72883</v>
      </c>
      <c r="AF2214">
        <v>4.4354555488927598</v>
      </c>
      <c r="AG2214">
        <v>-1.1000279233279999</v>
      </c>
      <c r="AH2214">
        <v>15.7307918397342</v>
      </c>
      <c r="AI2214">
        <v>93.850433752194405</v>
      </c>
      <c r="AJ2214">
        <v>74.2536661212864</v>
      </c>
      <c r="AK2214">
        <v>16.381121428746901</v>
      </c>
    </row>
    <row r="2215" spans="1:37" x14ac:dyDescent="0.2">
      <c r="A2215" t="str">
        <f>"20200111150637529"</f>
        <v>20200111150637529</v>
      </c>
      <c r="B2215" t="str">
        <f>"1578726397519235"</f>
        <v>1578726397519235</v>
      </c>
      <c r="C2215" t="s">
        <v>37</v>
      </c>
      <c r="D2215">
        <v>4.9290399999999996</v>
      </c>
      <c r="E2215">
        <v>0.53742979999999996</v>
      </c>
      <c r="F2215" t="s">
        <v>85</v>
      </c>
      <c r="G2215">
        <v>-305.77929999999998</v>
      </c>
      <c r="H2215" s="1">
        <v>-2.028818E-6</v>
      </c>
      <c r="I2215">
        <v>-41.644129999999997</v>
      </c>
      <c r="J2215">
        <v>-301.05549999999999</v>
      </c>
      <c r="K2215">
        <v>1.1002379999999901</v>
      </c>
      <c r="L2215">
        <v>-26.02524</v>
      </c>
      <c r="M2215">
        <v>-1.9788360000000001E-2</v>
      </c>
      <c r="N2215">
        <v>0</v>
      </c>
      <c r="O2215">
        <v>-0.99972459999999996</v>
      </c>
      <c r="P2215">
        <v>-3.631181E-2</v>
      </c>
      <c r="Q2215">
        <v>0.14626810000000001</v>
      </c>
      <c r="R2215">
        <v>-0.98857859999999997</v>
      </c>
      <c r="S2215">
        <v>-0.89865110000000004</v>
      </c>
      <c r="T2215">
        <v>-0.20883199999999999</v>
      </c>
      <c r="U2215">
        <v>-3.0346679999999999</v>
      </c>
      <c r="V2215">
        <v>1.796472E-2</v>
      </c>
      <c r="W2215">
        <v>0.15860279999999999</v>
      </c>
      <c r="X2215">
        <v>0.98717900000000003</v>
      </c>
      <c r="Y2215">
        <v>0.26429069999999999</v>
      </c>
      <c r="Z2215">
        <v>6.6002580000000005E-2</v>
      </c>
      <c r="AA2215">
        <v>0.96218189999999904</v>
      </c>
      <c r="AB2215">
        <v>32</v>
      </c>
      <c r="AC2215">
        <v>-4.7237999999999802</v>
      </c>
      <c r="AD2215">
        <v>-1.1002400288179901</v>
      </c>
      <c r="AE2215">
        <v>-15.618889999999899</v>
      </c>
      <c r="AF2215">
        <v>4.3938023342685204</v>
      </c>
      <c r="AG2215">
        <v>-1.1002400288179901</v>
      </c>
      <c r="AH2215">
        <v>15.638218152863899</v>
      </c>
      <c r="AI2215">
        <v>93.874904329284703</v>
      </c>
      <c r="AJ2215">
        <v>74.306460385416997</v>
      </c>
      <c r="AK2215">
        <v>16.2809672338654</v>
      </c>
    </row>
    <row r="2216" spans="1:37" x14ac:dyDescent="0.2">
      <c r="A2216" t="str">
        <f>"20200111150637560"</f>
        <v>20200111150637560</v>
      </c>
      <c r="B2216" t="str">
        <f>"1578726397548515"</f>
        <v>1578726397548515</v>
      </c>
      <c r="C2216" t="s">
        <v>37</v>
      </c>
      <c r="D2216">
        <v>5.5293679999999998</v>
      </c>
      <c r="E2216">
        <v>0.51488140000000004</v>
      </c>
      <c r="F2216" t="s">
        <v>85</v>
      </c>
      <c r="G2216">
        <v>-303.61829999999998</v>
      </c>
      <c r="H2216" s="1">
        <v>-3.1514229999999899E-6</v>
      </c>
      <c r="I2216">
        <v>-44.542250000000003</v>
      </c>
      <c r="J2216">
        <v>-301.06909999999999</v>
      </c>
      <c r="K2216">
        <v>1.1005129999999901</v>
      </c>
      <c r="L2216">
        <v>-26.466279999999902</v>
      </c>
      <c r="M2216">
        <v>-2.4090179999999999E-2</v>
      </c>
      <c r="N2216">
        <v>0</v>
      </c>
      <c r="O2216">
        <v>-0.99963049999999998</v>
      </c>
      <c r="P2216">
        <v>-3.9113849999999999E-2</v>
      </c>
      <c r="Q2216">
        <v>0.1469347</v>
      </c>
      <c r="R2216">
        <v>-0.98837260000000005</v>
      </c>
      <c r="S2216">
        <v>-0.42156979999999999</v>
      </c>
      <c r="T2216">
        <v>-0.18098439999999999</v>
      </c>
      <c r="U2216">
        <v>-3.0459589999999999</v>
      </c>
      <c r="V2216">
        <v>1.6416010000000002E-2</v>
      </c>
      <c r="W2216">
        <v>0.1592769</v>
      </c>
      <c r="X2216">
        <v>0.98709740000000001</v>
      </c>
      <c r="Y2216">
        <v>0.1129545</v>
      </c>
      <c r="Z2216">
        <v>5.8818389999999998E-2</v>
      </c>
      <c r="AA2216">
        <v>0.99185769999999995</v>
      </c>
      <c r="AB2216">
        <v>32</v>
      </c>
      <c r="AC2216">
        <v>-2.5491999999999799</v>
      </c>
      <c r="AD2216">
        <v>-1.10051615142299</v>
      </c>
      <c r="AE2216">
        <v>-18.075970000000002</v>
      </c>
      <c r="AF2216">
        <v>2.1053205374532502</v>
      </c>
      <c r="AG2216">
        <v>-1.10051615142299</v>
      </c>
      <c r="AH2216">
        <v>18.066477453995301</v>
      </c>
      <c r="AI2216">
        <v>93.462481738433198</v>
      </c>
      <c r="AJ2216">
        <v>83.353194217721807</v>
      </c>
      <c r="AK2216">
        <v>18.221995443987101</v>
      </c>
    </row>
    <row r="2217" spans="1:37" x14ac:dyDescent="0.2">
      <c r="A2217" t="str">
        <f>"20200111150637605"</f>
        <v>20200111150637605</v>
      </c>
      <c r="B2217" t="str">
        <f>"1578726397599270"</f>
        <v>1578726397599270</v>
      </c>
      <c r="C2217" t="s">
        <v>37</v>
      </c>
      <c r="D2217">
        <v>5.0297809999999998</v>
      </c>
      <c r="E2217">
        <v>0.50323989999999996</v>
      </c>
      <c r="F2217" t="s">
        <v>38</v>
      </c>
      <c r="G2217">
        <v>-301.14400000000001</v>
      </c>
      <c r="H2217">
        <v>1.05098</v>
      </c>
      <c r="I2217">
        <v>-27.38008</v>
      </c>
      <c r="J2217">
        <v>-301.09140000000002</v>
      </c>
      <c r="K2217">
        <v>1.100903</v>
      </c>
      <c r="L2217">
        <v>-27.111079999999902</v>
      </c>
      <c r="M2217">
        <v>-2.9594200000000001E-2</v>
      </c>
      <c r="N2217">
        <v>0</v>
      </c>
      <c r="O2217">
        <v>-0.99948269999999995</v>
      </c>
      <c r="P2217">
        <v>-4.1458469999999997E-2</v>
      </c>
      <c r="Q2217">
        <v>0.1471372</v>
      </c>
      <c r="R2217">
        <v>-0.98824690000000004</v>
      </c>
      <c r="S2217">
        <v>-0.2496033</v>
      </c>
      <c r="T2217">
        <v>-0.16524710000000001</v>
      </c>
      <c r="U2217">
        <v>-3.0499879999999999</v>
      </c>
      <c r="V2217">
        <v>1.317142E-2</v>
      </c>
      <c r="W2217">
        <v>0.15949440000000001</v>
      </c>
      <c r="X2217">
        <v>0.98711099999999996</v>
      </c>
      <c r="Y2217">
        <v>5.1912359999999998E-2</v>
      </c>
      <c r="Z2217">
        <v>5.3938399999999997E-2</v>
      </c>
      <c r="AA2217">
        <v>0.99719389999999997</v>
      </c>
      <c r="AB2217">
        <v>32</v>
      </c>
      <c r="AC2217">
        <v>-5.2599999999983903E-2</v>
      </c>
      <c r="AD2217">
        <v>-4.9922999999999898E-2</v>
      </c>
      <c r="AE2217">
        <v>-0.26900000000000102</v>
      </c>
      <c r="AF2217">
        <v>4.3182925974834897E-2</v>
      </c>
      <c r="AG2217">
        <v>-4.9922999999999898E-2</v>
      </c>
      <c r="AH2217">
        <v>0.26175540140928999</v>
      </c>
      <c r="AI2217">
        <v>100.65730194055899</v>
      </c>
      <c r="AJ2217">
        <v>80.632045858170301</v>
      </c>
      <c r="AK2217">
        <v>0.26994992348894298</v>
      </c>
    </row>
    <row r="2218" spans="1:37" x14ac:dyDescent="0.2">
      <c r="A2218" t="str">
        <f>"20200111150637650"</f>
        <v>20200111150637650</v>
      </c>
      <c r="B2218" t="str">
        <f>"1578726397639286"</f>
        <v>1578726397639286</v>
      </c>
      <c r="C2218" t="s">
        <v>37</v>
      </c>
      <c r="D2218">
        <v>5.1107750000000003</v>
      </c>
      <c r="E2218">
        <v>0.49866159999999998</v>
      </c>
      <c r="F2218" t="s">
        <v>85</v>
      </c>
      <c r="G2218">
        <v>-302.26190000000003</v>
      </c>
      <c r="H2218" s="1">
        <v>-5.1740689999999902E-6</v>
      </c>
      <c r="I2218">
        <v>-49.041469999999997</v>
      </c>
      <c r="J2218">
        <v>-301.11610000000002</v>
      </c>
      <c r="K2218">
        <v>1.10124</v>
      </c>
      <c r="L2218">
        <v>-27.74963</v>
      </c>
      <c r="M2218">
        <v>-3.4282800000000002E-2</v>
      </c>
      <c r="N2218">
        <v>0</v>
      </c>
      <c r="O2218">
        <v>-0.99933309999999997</v>
      </c>
      <c r="P2218">
        <v>-4.3968279999999998E-2</v>
      </c>
      <c r="Q2218">
        <v>0.14957799999999999</v>
      </c>
      <c r="R2218">
        <v>-0.98777199999999998</v>
      </c>
      <c r="S2218">
        <v>-0.1628723</v>
      </c>
      <c r="T2218">
        <v>-0.1531941</v>
      </c>
      <c r="U2218">
        <v>-3.051666</v>
      </c>
      <c r="V2218">
        <v>1.094728E-2</v>
      </c>
      <c r="W2218">
        <v>0.1619351</v>
      </c>
      <c r="X2218">
        <v>0.98674069999999903</v>
      </c>
      <c r="Y2218">
        <v>1.89608E-2</v>
      </c>
      <c r="Z2218">
        <v>5.0052840000000001E-2</v>
      </c>
      <c r="AA2218">
        <v>0.99856659999999997</v>
      </c>
      <c r="AB2218">
        <v>32</v>
      </c>
      <c r="AC2218">
        <v>-1.1457999999999999</v>
      </c>
      <c r="AD2218">
        <v>-1.1012451740689999</v>
      </c>
      <c r="AE2218">
        <v>-21.291840000000001</v>
      </c>
      <c r="AF2218">
        <v>0.41402042705038</v>
      </c>
      <c r="AG2218">
        <v>-1.1012451740689999</v>
      </c>
      <c r="AH2218">
        <v>21.261892756467699</v>
      </c>
      <c r="AI2218">
        <v>92.9643852948074</v>
      </c>
      <c r="AJ2218">
        <v>88.884453710667501</v>
      </c>
      <c r="AK2218">
        <v>21.294417987701799</v>
      </c>
    </row>
    <row r="2219" spans="1:37" x14ac:dyDescent="0.2">
      <c r="A2219" t="str">
        <f>"20200111150637696"</f>
        <v>20200111150637696</v>
      </c>
      <c r="B2219" t="str">
        <f>"1578726397689062"</f>
        <v>1578726397689062</v>
      </c>
      <c r="C2219" t="s">
        <v>37</v>
      </c>
      <c r="D2219">
        <v>5.0889860000000002</v>
      </c>
      <c r="E2219">
        <v>0.496123499999999</v>
      </c>
      <c r="F2219" t="s">
        <v>85</v>
      </c>
      <c r="G2219">
        <v>-302.1474</v>
      </c>
      <c r="H2219" s="1">
        <v>-6.2067039999999902E-6</v>
      </c>
      <c r="I2219">
        <v>-51.256189999999997</v>
      </c>
      <c r="J2219">
        <v>-301.14359999999999</v>
      </c>
      <c r="K2219">
        <v>1.1015239999999999</v>
      </c>
      <c r="L2219">
        <v>-28.39883</v>
      </c>
      <c r="M2219">
        <v>-3.8417470000000002E-2</v>
      </c>
      <c r="N2219">
        <v>0</v>
      </c>
      <c r="O2219">
        <v>-0.9991833</v>
      </c>
      <c r="P2219">
        <v>-4.5531809999999999E-2</v>
      </c>
      <c r="Q2219">
        <v>0.1505368</v>
      </c>
      <c r="R2219">
        <v>-0.98755569999999904</v>
      </c>
      <c r="S2219">
        <v>-0.1339417</v>
      </c>
      <c r="T2219">
        <v>-0.14302029999999999</v>
      </c>
      <c r="U2219">
        <v>-3.052826</v>
      </c>
      <c r="V2219">
        <v>8.3245779999999991E-3</v>
      </c>
      <c r="W2219">
        <v>0.16289589999999901</v>
      </c>
      <c r="X2219">
        <v>0.98660809999999999</v>
      </c>
      <c r="Y2219">
        <v>5.3686559999999899E-3</v>
      </c>
      <c r="Z2219">
        <v>4.6722630000000001E-2</v>
      </c>
      <c r="AA2219">
        <v>0.99889349999999999</v>
      </c>
      <c r="AB2219">
        <v>32</v>
      </c>
      <c r="AC2219">
        <v>-1.00380000000001</v>
      </c>
      <c r="AD2219">
        <v>-1.101530206704</v>
      </c>
      <c r="AE2219">
        <v>-22.85736</v>
      </c>
      <c r="AF2219">
        <v>0.124579277998785</v>
      </c>
      <c r="AG2219">
        <v>-1.101530206704</v>
      </c>
      <c r="AH2219">
        <v>22.826140159920701</v>
      </c>
      <c r="AI2219">
        <v>92.762761024265401</v>
      </c>
      <c r="AJ2219">
        <v>89.687297286202806</v>
      </c>
      <c r="AK2219">
        <v>22.853042760059999</v>
      </c>
    </row>
    <row r="2220" spans="1:37" x14ac:dyDescent="0.2">
      <c r="A2220" t="str">
        <f>"20200111150637725"</f>
        <v>20200111150637725</v>
      </c>
      <c r="B2220" t="str">
        <f>"1578726397719315"</f>
        <v>1578726397719315</v>
      </c>
      <c r="C2220" t="s">
        <v>37</v>
      </c>
      <c r="D2220">
        <v>5.0831220000000004</v>
      </c>
      <c r="E2220">
        <v>0.4951178</v>
      </c>
      <c r="F2220" t="s">
        <v>85</v>
      </c>
      <c r="G2220">
        <v>-302.02870000000001</v>
      </c>
      <c r="H2220" s="1">
        <v>-6.172034E-6</v>
      </c>
      <c r="I2220">
        <v>-51.187989999999999</v>
      </c>
      <c r="J2220">
        <v>-301.16309999999999</v>
      </c>
      <c r="K2220">
        <v>1.101664</v>
      </c>
      <c r="L2220">
        <v>-28.830439999999999</v>
      </c>
      <c r="M2220">
        <v>-4.0921680000000002E-2</v>
      </c>
      <c r="N2220">
        <v>0</v>
      </c>
      <c r="O2220">
        <v>-0.99908379999999997</v>
      </c>
      <c r="P2220">
        <v>-4.6381980000000003E-2</v>
      </c>
      <c r="Q2220">
        <v>0.15074779999999999</v>
      </c>
      <c r="R2220">
        <v>-0.98748369999999996</v>
      </c>
      <c r="S2220">
        <v>-0.1186523</v>
      </c>
      <c r="T2220">
        <v>-0.14765780000000001</v>
      </c>
      <c r="U2220">
        <v>-3.05484</v>
      </c>
      <c r="V2220">
        <v>6.6434299999999996E-3</v>
      </c>
      <c r="W2220">
        <v>0.16310759999999999</v>
      </c>
      <c r="X2220">
        <v>0.98658590000000002</v>
      </c>
      <c r="Y2220">
        <v>-2.160225E-3</v>
      </c>
      <c r="Z2220">
        <v>4.820054E-2</v>
      </c>
      <c r="AA2220">
        <v>0.99883529999999998</v>
      </c>
      <c r="AB2220">
        <v>32</v>
      </c>
      <c r="AC2220">
        <v>-0.86560000000002901</v>
      </c>
      <c r="AD2220">
        <v>-1.1016701720340001</v>
      </c>
      <c r="AE2220">
        <v>-22.35755</v>
      </c>
      <c r="AF2220">
        <v>-4.9984320273226003E-2</v>
      </c>
      <c r="AG2220">
        <v>-1.1016701720340001</v>
      </c>
      <c r="AH2220">
        <v>22.320131080764298</v>
      </c>
      <c r="AI2220">
        <v>92.825687260872002</v>
      </c>
      <c r="AJ2220">
        <v>90.128309542432007</v>
      </c>
      <c r="AK2220">
        <v>22.347358391154899</v>
      </c>
    </row>
    <row r="2221" spans="1:37" x14ac:dyDescent="0.2">
      <c r="A2221" t="str">
        <f>"20200111150637761"</f>
        <v>20200111150637761</v>
      </c>
      <c r="B2221" t="str">
        <f>"1578726397758355"</f>
        <v>1578726397758355</v>
      </c>
      <c r="C2221" t="s">
        <v>37</v>
      </c>
      <c r="D2221">
        <v>5.0970740000000001</v>
      </c>
      <c r="E2221">
        <v>0.49406640000000002</v>
      </c>
      <c r="F2221" t="s">
        <v>85</v>
      </c>
      <c r="G2221">
        <v>-301.9862</v>
      </c>
      <c r="H2221" s="1">
        <v>-6.121653E-6</v>
      </c>
      <c r="I2221">
        <v>-51.070349999999998</v>
      </c>
      <c r="J2221">
        <v>-301.18770000000001</v>
      </c>
      <c r="K2221">
        <v>1.1017760000000001</v>
      </c>
      <c r="L2221">
        <v>-29.348600000000001</v>
      </c>
      <c r="M2221">
        <v>-4.3793949999999998E-2</v>
      </c>
      <c r="N2221">
        <v>0</v>
      </c>
      <c r="O2221">
        <v>-0.99896189999999996</v>
      </c>
      <c r="P2221">
        <v>-4.5603640000000001E-2</v>
      </c>
      <c r="Q2221">
        <v>0.15047949999999999</v>
      </c>
      <c r="R2221">
        <v>-0.98756089999999996</v>
      </c>
      <c r="S2221">
        <v>-0.11309809999999999</v>
      </c>
      <c r="T2221">
        <v>-0.15137210000000001</v>
      </c>
      <c r="U2221">
        <v>-3.0558169999999998</v>
      </c>
      <c r="V2221">
        <v>2.9724590000000002E-3</v>
      </c>
      <c r="W2221">
        <v>0.16284789999999999</v>
      </c>
      <c r="X2221">
        <v>0.98664669999999899</v>
      </c>
      <c r="Y2221">
        <v>-6.8626349999999997E-3</v>
      </c>
      <c r="Z2221">
        <v>4.9386480000000003E-2</v>
      </c>
      <c r="AA2221">
        <v>0.99875619999999998</v>
      </c>
      <c r="AB2221">
        <v>32</v>
      </c>
      <c r="AC2221">
        <v>-0.79849999999999</v>
      </c>
      <c r="AD2221">
        <v>-1.1017821216529999</v>
      </c>
      <c r="AE2221">
        <v>-21.72175</v>
      </c>
      <c r="AF2221">
        <v>-0.15322854181987</v>
      </c>
      <c r="AG2221">
        <v>-1.1017821216529999</v>
      </c>
      <c r="AH2221">
        <v>21.680175818079402</v>
      </c>
      <c r="AI2221">
        <v>92.909184506979699</v>
      </c>
      <c r="AJ2221">
        <v>90.404941484006997</v>
      </c>
      <c r="AK2221">
        <v>21.708694717381299</v>
      </c>
    </row>
    <row r="2222" spans="1:37" x14ac:dyDescent="0.2">
      <c r="A2222" t="str">
        <f>"20200111150637795"</f>
        <v>20200111150637795</v>
      </c>
      <c r="B2222" t="str">
        <f>"1578726397788612"</f>
        <v>1578726397788612</v>
      </c>
      <c r="C2222" t="s">
        <v>37</v>
      </c>
      <c r="D2222">
        <v>5.1588849999999997</v>
      </c>
      <c r="E2222">
        <v>0.49358019999999903</v>
      </c>
      <c r="F2222" t="s">
        <v>85</v>
      </c>
      <c r="G2222">
        <v>-301.92559999999997</v>
      </c>
      <c r="H2222" s="1">
        <v>-6.2270569999999999E-6</v>
      </c>
      <c r="I2222">
        <v>-51.337769999999999</v>
      </c>
      <c r="J2222">
        <v>-301.21190000000001</v>
      </c>
      <c r="K2222">
        <v>1.1018490000000001</v>
      </c>
      <c r="L2222">
        <v>-29.833590000000001</v>
      </c>
      <c r="M2222">
        <v>-4.6407379999999998E-2</v>
      </c>
      <c r="N2222">
        <v>0</v>
      </c>
      <c r="O2222">
        <v>-0.99884419999999996</v>
      </c>
      <c r="P2222">
        <v>-4.6824669999999999E-2</v>
      </c>
      <c r="Q2222">
        <v>0.150635299999999</v>
      </c>
      <c r="R2222">
        <v>-0.98748009999999997</v>
      </c>
      <c r="S2222">
        <v>-0.1025696</v>
      </c>
      <c r="T2222">
        <v>-0.1531428</v>
      </c>
      <c r="U2222">
        <v>-3.0563959999999999</v>
      </c>
      <c r="V2222">
        <v>1.5841550000000001E-3</v>
      </c>
      <c r="W2222">
        <v>0.16300229999999999</v>
      </c>
      <c r="X2222">
        <v>0.98662439999999996</v>
      </c>
      <c r="Y2222">
        <v>-1.292284E-2</v>
      </c>
      <c r="Z2222">
        <v>4.9945969999999999E-2</v>
      </c>
      <c r="AA2222">
        <v>0.99866829999999995</v>
      </c>
      <c r="AB2222">
        <v>32</v>
      </c>
      <c r="AC2222">
        <v>-0.71369999999996003</v>
      </c>
      <c r="AD2222">
        <v>-1.1018552270569999</v>
      </c>
      <c r="AE2222">
        <v>-21.504179999999899</v>
      </c>
      <c r="AF2222">
        <v>-0.284354138874719</v>
      </c>
      <c r="AG2222">
        <v>-1.1018552270569999</v>
      </c>
      <c r="AH2222">
        <v>21.457856760120499</v>
      </c>
      <c r="AI2222">
        <v>92.939283551231796</v>
      </c>
      <c r="AJ2222">
        <v>90.759224867465306</v>
      </c>
      <c r="AK2222">
        <v>21.4880096555157</v>
      </c>
    </row>
    <row r="2223" spans="1:37" x14ac:dyDescent="0.2">
      <c r="A2223" t="str">
        <f>"20200111150637828"</f>
        <v>20200111150637828</v>
      </c>
      <c r="B2223" t="str">
        <f>"1578726397818870"</f>
        <v>1578726397818870</v>
      </c>
      <c r="C2223" t="s">
        <v>37</v>
      </c>
      <c r="D2223">
        <v>5.1529049999999996</v>
      </c>
      <c r="E2223">
        <v>0.48975580000000002</v>
      </c>
      <c r="F2223" t="s">
        <v>85</v>
      </c>
      <c r="G2223">
        <v>-301.92340000000002</v>
      </c>
      <c r="H2223" s="1">
        <v>-6.1628249999999997E-6</v>
      </c>
      <c r="I2223">
        <v>-51.18038</v>
      </c>
      <c r="J2223">
        <v>-301.2373</v>
      </c>
      <c r="K2223">
        <v>1.101888</v>
      </c>
      <c r="L2223">
        <v>-30.31439</v>
      </c>
      <c r="M2223">
        <v>-4.8978290000000001E-2</v>
      </c>
      <c r="N2223">
        <v>0</v>
      </c>
      <c r="O2223">
        <v>-0.99872139999999998</v>
      </c>
      <c r="P2223">
        <v>-4.6384359999999999E-2</v>
      </c>
      <c r="Q2223">
        <v>0.15117939999999999</v>
      </c>
      <c r="R2223">
        <v>-0.98741759999999901</v>
      </c>
      <c r="S2223">
        <v>-0.10189819999999999</v>
      </c>
      <c r="T2223">
        <v>-0.15780739999999999</v>
      </c>
      <c r="U2223">
        <v>-3.0572810000000001</v>
      </c>
      <c r="V2223">
        <v>-1.409665E-3</v>
      </c>
      <c r="W2223">
        <v>0.163550799999999</v>
      </c>
      <c r="X2223">
        <v>0.98653389999999996</v>
      </c>
      <c r="Y2223">
        <v>-1.57279E-2</v>
      </c>
      <c r="Z2223">
        <v>5.143814E-2</v>
      </c>
      <c r="AA2223">
        <v>0.99855229999999995</v>
      </c>
      <c r="AB2223">
        <v>32</v>
      </c>
      <c r="AC2223">
        <v>-0.68610000000001004</v>
      </c>
      <c r="AD2223">
        <v>-1.1018941628250001</v>
      </c>
      <c r="AE2223">
        <v>-20.86599</v>
      </c>
      <c r="AF2223">
        <v>-0.33584857423409897</v>
      </c>
      <c r="AG2223">
        <v>-1.1018941628250001</v>
      </c>
      <c r="AH2223">
        <v>20.816561807334502</v>
      </c>
      <c r="AI2223">
        <v>93.029646591565793</v>
      </c>
      <c r="AJ2223">
        <v>90.924313856065496</v>
      </c>
      <c r="AK2223">
        <v>20.8484102628824</v>
      </c>
    </row>
    <row r="2224" spans="1:37" x14ac:dyDescent="0.2">
      <c r="A2224" t="str">
        <f>"20200111150637873"</f>
        <v>20200111150637873</v>
      </c>
      <c r="B2224" t="str">
        <f>"1578726397868644"</f>
        <v>1578726397868644</v>
      </c>
      <c r="C2224" t="s">
        <v>37</v>
      </c>
      <c r="D2224">
        <v>5.204777</v>
      </c>
      <c r="E2224">
        <v>0.48328919999999997</v>
      </c>
      <c r="F2224" t="s">
        <v>98</v>
      </c>
      <c r="G2224">
        <v>-302.30399999999997</v>
      </c>
      <c r="H2224">
        <v>17.802849999999999</v>
      </c>
      <c r="I2224">
        <v>-91.564989999999995</v>
      </c>
      <c r="J2224">
        <v>-301.27269999999999</v>
      </c>
      <c r="K2224">
        <v>1.101931</v>
      </c>
      <c r="L2224">
        <v>-30.951999999999899</v>
      </c>
      <c r="M2224">
        <v>-5.2401459999999997E-2</v>
      </c>
      <c r="N2224">
        <v>0</v>
      </c>
      <c r="O2224">
        <v>-0.99854769999999904</v>
      </c>
      <c r="P2224">
        <v>-4.6916880000000001E-2</v>
      </c>
      <c r="Q2224">
        <v>0.1517858</v>
      </c>
      <c r="R2224">
        <v>-0.98729940000000005</v>
      </c>
      <c r="S2224">
        <v>-5.0750730000000001E-2</v>
      </c>
      <c r="T2224">
        <v>0.79459990000000003</v>
      </c>
      <c r="U2224">
        <v>-2.9141849999999998</v>
      </c>
      <c r="V2224">
        <v>-4.2698170000000004E-3</v>
      </c>
      <c r="W2224">
        <v>0.16416040000000001</v>
      </c>
      <c r="X2224">
        <v>0.98642439999999998</v>
      </c>
      <c r="Y2224">
        <v>-3.5619680000000001E-2</v>
      </c>
      <c r="Z2224">
        <v>-0.26242709999999903</v>
      </c>
      <c r="AA2224">
        <v>0.96429419999999899</v>
      </c>
      <c r="AB2224">
        <v>32</v>
      </c>
      <c r="AC2224">
        <v>-1.0313000000000401</v>
      </c>
      <c r="AD2224">
        <v>16.700918999999999</v>
      </c>
      <c r="AE2224">
        <v>-60.612990000000003</v>
      </c>
      <c r="AF2224">
        <v>-1.99514947432366</v>
      </c>
      <c r="AG2224">
        <v>16.700918999999999</v>
      </c>
      <c r="AH2224">
        <v>56.309996569211798</v>
      </c>
      <c r="AI2224">
        <v>73.490024287753002</v>
      </c>
      <c r="AJ2224">
        <v>92.029228398794501</v>
      </c>
      <c r="AK2224">
        <v>58.768333569143401</v>
      </c>
    </row>
    <row r="2225" spans="1:37" x14ac:dyDescent="0.2">
      <c r="A2225" t="str">
        <f>"20200111150637917"</f>
        <v>20200111150637917</v>
      </c>
      <c r="B2225" t="str">
        <f>"1578726397908659"</f>
        <v>1578726397908659</v>
      </c>
      <c r="C2225" t="s">
        <v>37</v>
      </c>
      <c r="D2225">
        <v>5.183287</v>
      </c>
      <c r="E2225">
        <v>0.44290159999999901</v>
      </c>
      <c r="F2225" t="s">
        <v>85</v>
      </c>
      <c r="G2225">
        <v>-301.38130000000001</v>
      </c>
      <c r="H2225" s="1">
        <v>-3.92814E-6</v>
      </c>
      <c r="I2225">
        <v>-46.696539999999999</v>
      </c>
      <c r="J2225">
        <v>-301.31040000000002</v>
      </c>
      <c r="K2225">
        <v>1.101969</v>
      </c>
      <c r="L2225">
        <v>-31.589839999999999</v>
      </c>
      <c r="M2225">
        <v>-5.584426E-2</v>
      </c>
      <c r="N2225">
        <v>0</v>
      </c>
      <c r="O2225">
        <v>-0.99836119999999995</v>
      </c>
      <c r="P2225">
        <v>-4.6217399999999999E-2</v>
      </c>
      <c r="Q2225">
        <v>0.15326870000000001</v>
      </c>
      <c r="R2225">
        <v>-0.98710330000000002</v>
      </c>
      <c r="S2225">
        <v>-2.1179199999999999E-2</v>
      </c>
      <c r="T2225">
        <v>-0.214907499999999</v>
      </c>
      <c r="U2225">
        <v>-3.0706180000000001</v>
      </c>
      <c r="V2225">
        <v>-8.3668760000000005E-3</v>
      </c>
      <c r="W2225">
        <v>0.1656504</v>
      </c>
      <c r="X2225">
        <v>0.9861491</v>
      </c>
      <c r="Y2225">
        <v>-4.8977529999999998E-2</v>
      </c>
      <c r="Z2225">
        <v>6.9611580000000006E-2</v>
      </c>
      <c r="AA2225">
        <v>0.99637119999999901</v>
      </c>
      <c r="AB2225">
        <v>32</v>
      </c>
      <c r="AC2225">
        <v>-7.0899999999994606E-2</v>
      </c>
      <c r="AD2225">
        <v>-1.1019729281399999</v>
      </c>
      <c r="AE2225">
        <v>-15.106699999999901</v>
      </c>
      <c r="AF2225">
        <v>-0.76880826358321797</v>
      </c>
      <c r="AG2225">
        <v>-1.1019729281399999</v>
      </c>
      <c r="AH2225">
        <v>15.007228419580599</v>
      </c>
      <c r="AI2225">
        <v>94.194181490849004</v>
      </c>
      <c r="AJ2225">
        <v>92.932653063460407</v>
      </c>
      <c r="AK2225">
        <v>15.0672597149573</v>
      </c>
    </row>
    <row r="2226" spans="1:37" x14ac:dyDescent="0.2">
      <c r="A2226" t="str">
        <f>"20200111150637962"</f>
        <v>20200111150637962</v>
      </c>
      <c r="B2226" t="str">
        <f>"1578726397958435"</f>
        <v>1578726397958435</v>
      </c>
      <c r="C2226" t="s">
        <v>37</v>
      </c>
      <c r="D2226">
        <v>5.0989599999999999</v>
      </c>
      <c r="E2226">
        <v>0.44339139999999999</v>
      </c>
      <c r="F2226" t="s">
        <v>85</v>
      </c>
      <c r="G2226">
        <v>-299.08330000000001</v>
      </c>
      <c r="H2226" s="1">
        <v>-7.1564069999999998E-6</v>
      </c>
      <c r="I2226">
        <v>-54.272959999999998</v>
      </c>
      <c r="J2226">
        <v>-301.35000000000002</v>
      </c>
      <c r="K2226">
        <v>1.1019749999999999</v>
      </c>
      <c r="L2226">
        <v>-32.222839999999998</v>
      </c>
      <c r="M2226">
        <v>-5.9266300000000001E-2</v>
      </c>
      <c r="N2226">
        <v>0</v>
      </c>
      <c r="O2226">
        <v>-0.99816419999999995</v>
      </c>
      <c r="P2226">
        <v>-4.6402590000000001E-2</v>
      </c>
      <c r="Q2226">
        <v>0.15400449999999999</v>
      </c>
      <c r="R2226">
        <v>-0.98698030000000003</v>
      </c>
      <c r="S2226">
        <v>0.30206300000000003</v>
      </c>
      <c r="T2226">
        <v>-0.14946229999999999</v>
      </c>
      <c r="U2226">
        <v>-3.0765380000000002</v>
      </c>
      <c r="V2226">
        <v>-1.156342E-2</v>
      </c>
      <c r="W2226">
        <v>0.16639139999999999</v>
      </c>
      <c r="X2226">
        <v>0.98599199999999998</v>
      </c>
      <c r="Y2226">
        <v>-0.15641529999999901</v>
      </c>
      <c r="Z2226">
        <v>4.7982280000000002E-2</v>
      </c>
      <c r="AA2226">
        <v>0.98652519999999999</v>
      </c>
      <c r="AB2226">
        <v>32</v>
      </c>
      <c r="AC2226">
        <v>2.2667000000000099</v>
      </c>
      <c r="AD2226">
        <v>-1.101982156407</v>
      </c>
      <c r="AE2226">
        <v>-22.05012</v>
      </c>
      <c r="AF2226">
        <v>-3.5608451345084</v>
      </c>
      <c r="AG2226">
        <v>-1.101982156407</v>
      </c>
      <c r="AH2226">
        <v>21.8230691663932</v>
      </c>
      <c r="AI2226">
        <v>92.853096571298593</v>
      </c>
      <c r="AJ2226">
        <v>99.267218743797599</v>
      </c>
      <c r="AK2226">
        <v>22.1391131391069</v>
      </c>
    </row>
    <row r="2227" spans="1:37" x14ac:dyDescent="0.2">
      <c r="A2227" t="str">
        <f>"20200111150638007"</f>
        <v>20200111150638007</v>
      </c>
      <c r="B2227" t="str">
        <f>"1578726397998454"</f>
        <v>1578726397998454</v>
      </c>
      <c r="C2227" t="s">
        <v>37</v>
      </c>
      <c r="D2227">
        <v>5.1410679999999997</v>
      </c>
      <c r="E2227">
        <v>0.44359330000000002</v>
      </c>
      <c r="F2227" t="s">
        <v>85</v>
      </c>
      <c r="G2227">
        <v>-299.65870000000001</v>
      </c>
      <c r="H2227" s="1">
        <v>-5.5048000000000002E-6</v>
      </c>
      <c r="I2227">
        <v>-49.822850000000003</v>
      </c>
      <c r="J2227">
        <v>-301.39269999999999</v>
      </c>
      <c r="K2227">
        <v>1.101974</v>
      </c>
      <c r="L2227">
        <v>-32.870150000000002</v>
      </c>
      <c r="M2227">
        <v>-6.27664E-2</v>
      </c>
      <c r="N2227">
        <v>0</v>
      </c>
      <c r="O2227">
        <v>-0.99795</v>
      </c>
      <c r="P2227">
        <v>-4.5264760000000001E-2</v>
      </c>
      <c r="Q2227">
        <v>0.152143</v>
      </c>
      <c r="R2227">
        <v>-0.98732160000000002</v>
      </c>
      <c r="S2227">
        <v>0.29632570000000003</v>
      </c>
      <c r="T2227">
        <v>-0.1930731</v>
      </c>
      <c r="U2227">
        <v>-3.083618</v>
      </c>
      <c r="V2227">
        <v>-1.619423E-2</v>
      </c>
      <c r="W2227">
        <v>0.1645461</v>
      </c>
      <c r="X2227">
        <v>0.98623649999999996</v>
      </c>
      <c r="Y2227">
        <v>-0.15776709999999999</v>
      </c>
      <c r="Z2227">
        <v>6.1772019999999997E-2</v>
      </c>
      <c r="AA2227">
        <v>0.98554240000000004</v>
      </c>
      <c r="AB2227">
        <v>32</v>
      </c>
      <c r="AC2227">
        <v>1.73399999999998</v>
      </c>
      <c r="AD2227">
        <v>-1.1019795048000001</v>
      </c>
      <c r="AE2227">
        <v>-16.9527</v>
      </c>
      <c r="AF2227">
        <v>-2.78308556146817</v>
      </c>
      <c r="AG2227">
        <v>-1.1019795048000001</v>
      </c>
      <c r="AH2227">
        <v>16.740419947480898</v>
      </c>
      <c r="AI2227">
        <v>93.7153541659072</v>
      </c>
      <c r="AJ2227">
        <v>99.439061797451103</v>
      </c>
      <c r="AK2227">
        <v>17.005927910274998</v>
      </c>
    </row>
    <row r="2228" spans="1:37" x14ac:dyDescent="0.2">
      <c r="A2228" t="str">
        <f>"20200111150638039"</f>
        <v>20200111150638039</v>
      </c>
      <c r="B2228" t="str">
        <f>"1578726398028708"</f>
        <v>1578726398028708</v>
      </c>
      <c r="C2228" t="s">
        <v>37</v>
      </c>
      <c r="D2228">
        <v>5.2150150000000002</v>
      </c>
      <c r="E2228">
        <v>0.44360859999999902</v>
      </c>
      <c r="F2228" t="s">
        <v>85</v>
      </c>
      <c r="G2228">
        <v>-299.89519999999999</v>
      </c>
      <c r="H2228" s="1">
        <v>-4.7198750000000003E-6</v>
      </c>
      <c r="I2228">
        <v>-48.38532</v>
      </c>
      <c r="J2228">
        <v>-301.42399999999998</v>
      </c>
      <c r="K2228">
        <v>1.1019699999999999</v>
      </c>
      <c r="L2228">
        <v>-33.322809999999997</v>
      </c>
      <c r="M2228">
        <v>-6.5214079999999994E-2</v>
      </c>
      <c r="N2228">
        <v>0</v>
      </c>
      <c r="O2228">
        <v>-0.99779319999999905</v>
      </c>
      <c r="P2228">
        <v>-4.5828130000000002E-2</v>
      </c>
      <c r="Q2228">
        <v>0.1512966</v>
      </c>
      <c r="R2228">
        <v>-0.98742569999999996</v>
      </c>
      <c r="S2228">
        <v>0.29785159999999899</v>
      </c>
      <c r="T2228">
        <v>-0.2191835</v>
      </c>
      <c r="U2228">
        <v>-3.0859679999999998</v>
      </c>
      <c r="V2228">
        <v>-1.8067050000000001E-2</v>
      </c>
      <c r="W2228">
        <v>0.16370509999999999</v>
      </c>
      <c r="X2228">
        <v>0.98634390000000005</v>
      </c>
      <c r="Y2228">
        <v>-0.1605473</v>
      </c>
      <c r="Z2228">
        <v>6.9999450000000005E-2</v>
      </c>
      <c r="AA2228">
        <v>0.98454279999999905</v>
      </c>
      <c r="AB2228">
        <v>32</v>
      </c>
      <c r="AC2228">
        <v>1.5288000000000399</v>
      </c>
      <c r="AD2228">
        <v>-1.1019747198750001</v>
      </c>
      <c r="AE2228">
        <v>-15.06251</v>
      </c>
      <c r="AF2228">
        <v>-2.4946929738441299</v>
      </c>
      <c r="AG2228">
        <v>-1.1019747198750001</v>
      </c>
      <c r="AH2228">
        <v>14.8520507713369</v>
      </c>
      <c r="AI2228">
        <v>94.184974671315203</v>
      </c>
      <c r="AJ2228">
        <v>99.534941568921198</v>
      </c>
      <c r="AK2228">
        <v>15.1003726255798</v>
      </c>
    </row>
    <row r="2229" spans="1:37" x14ac:dyDescent="0.2">
      <c r="A2229" t="str">
        <f>"20200111150638074"</f>
        <v>20200111150638074</v>
      </c>
      <c r="B2229" t="str">
        <f>"1578726398068723"</f>
        <v>1578726398068723</v>
      </c>
      <c r="C2229" t="s">
        <v>37</v>
      </c>
      <c r="D2229">
        <v>5.1932599999999898</v>
      </c>
      <c r="E2229">
        <v>0.44360149999999998</v>
      </c>
      <c r="F2229" t="s">
        <v>85</v>
      </c>
      <c r="G2229">
        <v>-299.97730000000001</v>
      </c>
      <c r="H2229" s="1">
        <v>-4.7188480000000001E-6</v>
      </c>
      <c r="I2229">
        <v>-48.408299999999997</v>
      </c>
      <c r="J2229">
        <v>-301.45979999999997</v>
      </c>
      <c r="K2229">
        <v>1.1019639999999999</v>
      </c>
      <c r="L2229">
        <v>-33.823609999999903</v>
      </c>
      <c r="M2229">
        <v>-6.7921700000000002E-2</v>
      </c>
      <c r="N2229">
        <v>0</v>
      </c>
      <c r="O2229">
        <v>-0.99761270000000002</v>
      </c>
      <c r="P2229">
        <v>-4.6570229999999997E-2</v>
      </c>
      <c r="Q2229">
        <v>0.1500292</v>
      </c>
      <c r="R2229">
        <v>-0.98758449999999998</v>
      </c>
      <c r="S2229">
        <v>0.29598999999999998</v>
      </c>
      <c r="T2229">
        <v>-0.22546369999999999</v>
      </c>
      <c r="U2229">
        <v>-3.086487</v>
      </c>
      <c r="V2229">
        <v>-2.0024500000000001E-2</v>
      </c>
      <c r="W2229">
        <v>0.1624447</v>
      </c>
      <c r="X2229">
        <v>0.98651440000000001</v>
      </c>
      <c r="Y2229">
        <v>-0.1626078</v>
      </c>
      <c r="Z2229">
        <v>7.1952779999999994E-2</v>
      </c>
      <c r="AA2229">
        <v>0.98406369999999899</v>
      </c>
      <c r="AB2229">
        <v>32</v>
      </c>
      <c r="AC2229">
        <v>1.48249999999995</v>
      </c>
      <c r="AD2229">
        <v>-1.1019687188480001</v>
      </c>
      <c r="AE2229">
        <v>-14.58469</v>
      </c>
      <c r="AF2229">
        <v>-2.4558930512438799</v>
      </c>
      <c r="AG2229">
        <v>-1.1019687188480001</v>
      </c>
      <c r="AH2229">
        <v>14.3691105615416</v>
      </c>
      <c r="AI2229">
        <v>94.322991817355103</v>
      </c>
      <c r="AJ2229">
        <v>99.6989772106662</v>
      </c>
      <c r="AK2229">
        <v>14.6190657726913</v>
      </c>
    </row>
    <row r="2230" spans="1:37" x14ac:dyDescent="0.2">
      <c r="A2230" t="str">
        <f>"20200111150638106"</f>
        <v>20200111150638106</v>
      </c>
      <c r="B2230" t="str">
        <f>"1578726398098980"</f>
        <v>1578726398098980</v>
      </c>
      <c r="C2230" t="s">
        <v>37</v>
      </c>
      <c r="D2230">
        <v>5.134531</v>
      </c>
      <c r="E2230">
        <v>0.443700599999999</v>
      </c>
      <c r="F2230" t="s">
        <v>85</v>
      </c>
      <c r="G2230">
        <v>-300.05919999999998</v>
      </c>
      <c r="H2230" s="1">
        <v>-4.7089909999999997E-6</v>
      </c>
      <c r="I2230">
        <v>-48.379629999999999</v>
      </c>
      <c r="J2230">
        <v>-301.49459999999999</v>
      </c>
      <c r="K2230">
        <v>1.101963</v>
      </c>
      <c r="L2230">
        <v>-34.292999999999999</v>
      </c>
      <c r="M2230">
        <v>-7.0447060000000006E-2</v>
      </c>
      <c r="N2230">
        <v>0</v>
      </c>
      <c r="O2230">
        <v>-0.99743749999999998</v>
      </c>
      <c r="P2230">
        <v>-4.610293E-2</v>
      </c>
      <c r="Q2230">
        <v>0.15058279999999999</v>
      </c>
      <c r="R2230">
        <v>-0.98752220000000002</v>
      </c>
      <c r="S2230">
        <v>0.29705809999999999</v>
      </c>
      <c r="T2230">
        <v>-0.23371910000000001</v>
      </c>
      <c r="U2230">
        <v>-3.0872189999999899</v>
      </c>
      <c r="V2230">
        <v>-2.298911E-2</v>
      </c>
      <c r="W2230">
        <v>0.1630046</v>
      </c>
      <c r="X2230">
        <v>0.9863575</v>
      </c>
      <c r="Y2230">
        <v>-0.16540179999999999</v>
      </c>
      <c r="Z2230">
        <v>7.4516579999999999E-2</v>
      </c>
      <c r="AA2230">
        <v>0.98340709999999998</v>
      </c>
      <c r="AB2230">
        <v>32</v>
      </c>
      <c r="AC2230">
        <v>1.43540000000001</v>
      </c>
      <c r="AD2230">
        <v>-1.1019677089910001</v>
      </c>
      <c r="AE2230">
        <v>-14.08663</v>
      </c>
      <c r="AF2230">
        <v>-2.4096773889563998</v>
      </c>
      <c r="AG2230">
        <v>-1.1019677089910001</v>
      </c>
      <c r="AH2230">
        <v>13.8665134372496</v>
      </c>
      <c r="AI2230">
        <v>94.476913406189794</v>
      </c>
      <c r="AJ2230">
        <v>99.858225981197506</v>
      </c>
      <c r="AK2230">
        <v>14.117403190953</v>
      </c>
    </row>
    <row r="2231" spans="1:37" x14ac:dyDescent="0.2">
      <c r="A2231" t="str">
        <f>"20200111150638140"</f>
        <v>20200111150638140</v>
      </c>
      <c r="B2231" t="str">
        <f>"1578726398129235"</f>
        <v>1578726398129235</v>
      </c>
      <c r="C2231" t="s">
        <v>37</v>
      </c>
      <c r="D2231">
        <v>5.1297100000000002</v>
      </c>
      <c r="E2231">
        <v>0.44362889999999999</v>
      </c>
      <c r="F2231" t="s">
        <v>85</v>
      </c>
      <c r="G2231">
        <v>-300.15750000000003</v>
      </c>
      <c r="H2231" s="1">
        <v>-4.6078080000000004E-6</v>
      </c>
      <c r="I2231">
        <v>-48.169849999999997</v>
      </c>
      <c r="J2231">
        <v>-301.53160000000003</v>
      </c>
      <c r="K2231">
        <v>1.101977</v>
      </c>
      <c r="L2231">
        <v>-34.775390000000002</v>
      </c>
      <c r="M2231">
        <v>-7.2975490000000004E-2</v>
      </c>
      <c r="N2231">
        <v>0</v>
      </c>
      <c r="O2231">
        <v>-0.99725569999999897</v>
      </c>
      <c r="P2231">
        <v>-4.1808709999999999E-2</v>
      </c>
      <c r="Q2231">
        <v>0.14771529999999899</v>
      </c>
      <c r="R2231">
        <v>-0.98814619999999997</v>
      </c>
      <c r="S2231">
        <v>0.2976685</v>
      </c>
      <c r="T2231">
        <v>-0.24531520000000001</v>
      </c>
      <c r="U2231">
        <v>-3.0892029999999999</v>
      </c>
      <c r="V2231">
        <v>-2.984591E-2</v>
      </c>
      <c r="W2231">
        <v>0.16016089999999999</v>
      </c>
      <c r="X2231">
        <v>0.98663959999999995</v>
      </c>
      <c r="Y2231">
        <v>-0.16800699999999999</v>
      </c>
      <c r="Z2231">
        <v>7.810185E-2</v>
      </c>
      <c r="AA2231">
        <v>0.98268699999999998</v>
      </c>
      <c r="AB2231">
        <v>32</v>
      </c>
      <c r="AC2231">
        <v>1.3740999999999901</v>
      </c>
      <c r="AD2231">
        <v>-1.101981607808</v>
      </c>
      <c r="AE2231">
        <v>-13.394459999999899</v>
      </c>
      <c r="AF2231">
        <v>-2.33235671685815</v>
      </c>
      <c r="AG2231">
        <v>-1.101981607808</v>
      </c>
      <c r="AH2231">
        <v>13.1702422294745</v>
      </c>
      <c r="AI2231">
        <v>94.709967055546002</v>
      </c>
      <c r="AJ2231">
        <v>100.042556476588</v>
      </c>
      <c r="AK2231">
        <v>13.4204892497127</v>
      </c>
    </row>
    <row r="2232" spans="1:37" x14ac:dyDescent="0.2">
      <c r="A2232" t="str">
        <f>"20200111150638177"</f>
        <v>20200111150638177</v>
      </c>
      <c r="B2232" t="str">
        <f>"1578726398169252"</f>
        <v>1578726398169252</v>
      </c>
      <c r="C2232" t="s">
        <v>37</v>
      </c>
      <c r="D2232">
        <v>5.0887609999999999</v>
      </c>
      <c r="E2232">
        <v>0.44356659999999998</v>
      </c>
      <c r="F2232" t="s">
        <v>85</v>
      </c>
      <c r="G2232">
        <v>-300.18799999999999</v>
      </c>
      <c r="H2232" s="1">
        <v>-4.5442349999999902E-6</v>
      </c>
      <c r="I2232">
        <v>-48.041609999999999</v>
      </c>
      <c r="J2232">
        <v>-301.57159999999999</v>
      </c>
      <c r="K2232">
        <v>1.10206</v>
      </c>
      <c r="L2232">
        <v>-35.28152</v>
      </c>
      <c r="M2232">
        <v>-7.543097E-2</v>
      </c>
      <c r="N2232">
        <v>0</v>
      </c>
      <c r="O2232">
        <v>-0.99707289999999904</v>
      </c>
      <c r="P2232">
        <v>-4.0884330000000003E-2</v>
      </c>
      <c r="Q2232">
        <v>0.144640299999999</v>
      </c>
      <c r="R2232">
        <v>-0.9886395</v>
      </c>
      <c r="S2232">
        <v>0.31271359999999998</v>
      </c>
      <c r="T2232">
        <v>-0.25647310000000001</v>
      </c>
      <c r="U2232">
        <v>-3.087555</v>
      </c>
      <c r="V2232">
        <v>-3.3287810000000001E-2</v>
      </c>
      <c r="W2232">
        <v>0.15709129999999999</v>
      </c>
      <c r="X2232">
        <v>0.98702289999999904</v>
      </c>
      <c r="Y2232">
        <v>-0.1751934</v>
      </c>
      <c r="Z2232">
        <v>8.1579819999999997E-2</v>
      </c>
      <c r="AA2232">
        <v>0.98114829999999997</v>
      </c>
      <c r="AB2232">
        <v>32</v>
      </c>
      <c r="AC2232">
        <v>1.3835999999999999</v>
      </c>
      <c r="AD2232">
        <v>-1.1020645442350001</v>
      </c>
      <c r="AE2232">
        <v>-12.7600899999999</v>
      </c>
      <c r="AF2232">
        <v>-2.3250961203885598</v>
      </c>
      <c r="AG2232">
        <v>-1.1020645442350001</v>
      </c>
      <c r="AH2232">
        <v>12.5269981756012</v>
      </c>
      <c r="AI2232">
        <v>94.943656686834601</v>
      </c>
      <c r="AJ2232">
        <v>100.514831377744</v>
      </c>
      <c r="AK2232">
        <v>12.7885222570953</v>
      </c>
    </row>
    <row r="2233" spans="1:37" x14ac:dyDescent="0.2">
      <c r="A2233" t="str">
        <f>"20200111150638218"</f>
        <v>20200111150638218</v>
      </c>
      <c r="B2233" t="str">
        <f>"1578726398209003"</f>
        <v>1578726398209003</v>
      </c>
      <c r="C2233" t="s">
        <v>37</v>
      </c>
      <c r="D2233">
        <v>5.058459</v>
      </c>
      <c r="E2233">
        <v>0.44367029999999902</v>
      </c>
      <c r="F2233" t="s">
        <v>85</v>
      </c>
      <c r="G2233">
        <v>-300.25020000000001</v>
      </c>
      <c r="H2233" s="1">
        <v>-4.5631649999999999E-6</v>
      </c>
      <c r="I2233">
        <v>-48.071669999999997</v>
      </c>
      <c r="J2233">
        <v>-301.62049999999999</v>
      </c>
      <c r="K2233">
        <v>1.10232</v>
      </c>
      <c r="L2233">
        <v>-35.886839999999999</v>
      </c>
      <c r="M2233">
        <v>-7.7771670000000001E-2</v>
      </c>
      <c r="N2233">
        <v>0</v>
      </c>
      <c r="O2233">
        <v>-0.99689319999999904</v>
      </c>
      <c r="P2233">
        <v>-3.9023080000000002E-2</v>
      </c>
      <c r="Q2233">
        <v>0.14196489999999901</v>
      </c>
      <c r="R2233">
        <v>-0.9891025</v>
      </c>
      <c r="S2233">
        <v>0.3188782</v>
      </c>
      <c r="T2233">
        <v>-0.26595540000000001</v>
      </c>
      <c r="U2233">
        <v>-3.0865779999999998</v>
      </c>
      <c r="V2233">
        <v>-3.7611470000000001E-2</v>
      </c>
      <c r="W2233">
        <v>0.15440319999999999</v>
      </c>
      <c r="X2233">
        <v>0.98729179999999905</v>
      </c>
      <c r="Y2233">
        <v>-0.17944760000000001</v>
      </c>
      <c r="Z2233">
        <v>8.4536199999999895E-2</v>
      </c>
      <c r="AA2233">
        <v>0.98012860000000002</v>
      </c>
      <c r="AB2233">
        <v>32</v>
      </c>
      <c r="AC2233">
        <v>1.3702999999999801</v>
      </c>
      <c r="AD2233">
        <v>-1.1023245631649901</v>
      </c>
      <c r="AE2233">
        <v>-12.18483</v>
      </c>
      <c r="AF2233">
        <v>-2.2953064602303499</v>
      </c>
      <c r="AG2233">
        <v>-1.1023245631649901</v>
      </c>
      <c r="AH2233">
        <v>11.944801432890801</v>
      </c>
      <c r="AI2233">
        <v>95.178389120294497</v>
      </c>
      <c r="AJ2233">
        <v>100.87733602084801</v>
      </c>
      <c r="AK2233">
        <v>12.2131827326099</v>
      </c>
    </row>
    <row r="2234" spans="1:37" x14ac:dyDescent="0.2">
      <c r="A2234" t="str">
        <f>"20200111150638253"</f>
        <v>20200111150638253</v>
      </c>
      <c r="B2234" t="str">
        <f>"1578726398249020"</f>
        <v>1578726398249020</v>
      </c>
      <c r="C2234" t="s">
        <v>37</v>
      </c>
      <c r="D2234">
        <v>5.0751160000000004</v>
      </c>
      <c r="E2234">
        <v>0.44358409999999898</v>
      </c>
      <c r="F2234" t="s">
        <v>85</v>
      </c>
      <c r="G2234">
        <v>-300.30700000000002</v>
      </c>
      <c r="H2234" s="1">
        <v>-4.6712110000000004E-6</v>
      </c>
      <c r="I2234">
        <v>-48.277239999999999</v>
      </c>
      <c r="J2234">
        <v>-301.65949999999998</v>
      </c>
      <c r="K2234">
        <v>1.102684</v>
      </c>
      <c r="L2234">
        <v>-36.368769999999998</v>
      </c>
      <c r="M2234">
        <v>-7.8923199999999999E-2</v>
      </c>
      <c r="N2234">
        <v>0</v>
      </c>
      <c r="O2234">
        <v>-0.99680290000000005</v>
      </c>
      <c r="P2234">
        <v>-4.516092E-2</v>
      </c>
      <c r="Q2234">
        <v>0.14148139999999901</v>
      </c>
      <c r="R2234">
        <v>-0.98891039999999997</v>
      </c>
      <c r="S2234">
        <v>0.32705689999999998</v>
      </c>
      <c r="T2234">
        <v>-0.27449179999999901</v>
      </c>
      <c r="U2234">
        <v>-3.0853579999999998</v>
      </c>
      <c r="V2234">
        <v>-3.2752499999999997E-2</v>
      </c>
      <c r="W2234">
        <v>0.15387790000000001</v>
      </c>
      <c r="X2234">
        <v>0.98754690000000001</v>
      </c>
      <c r="Y2234">
        <v>-0.18316760000000001</v>
      </c>
      <c r="Z2234">
        <v>8.720849E-2</v>
      </c>
      <c r="AA2234">
        <v>0.97920599999999902</v>
      </c>
      <c r="AB2234">
        <v>32</v>
      </c>
      <c r="AC2234">
        <v>1.3524999999999601</v>
      </c>
      <c r="AD2234">
        <v>-1.102688671211</v>
      </c>
      <c r="AE2234">
        <v>-11.908469999999999</v>
      </c>
      <c r="AF2234">
        <v>-2.2690008241573398</v>
      </c>
      <c r="AG2234">
        <v>-1.102688671211</v>
      </c>
      <c r="AH2234">
        <v>11.665814938206401</v>
      </c>
      <c r="AI2234">
        <v>95.300973770956006</v>
      </c>
      <c r="AJ2234">
        <v>101.00660709639</v>
      </c>
      <c r="AK2234">
        <v>11.935473397319599</v>
      </c>
    </row>
    <row r="2235" spans="1:37" x14ac:dyDescent="0.2">
      <c r="A2235" t="str">
        <f>"20200111150638286"</f>
        <v>20200111150638286</v>
      </c>
      <c r="B2235" t="str">
        <f>"1578726398279275"</f>
        <v>1578726398279275</v>
      </c>
      <c r="C2235" t="s">
        <v>37</v>
      </c>
      <c r="D2235">
        <v>5.1413469999999997</v>
      </c>
      <c r="E2235">
        <v>0.4436215</v>
      </c>
      <c r="F2235" t="s">
        <v>85</v>
      </c>
      <c r="G2235">
        <v>-300.4117</v>
      </c>
      <c r="H2235" s="1">
        <v>-4.9122579999999996E-6</v>
      </c>
      <c r="I2235">
        <v>-48.738399999999999</v>
      </c>
      <c r="J2235">
        <v>-301.69779999999997</v>
      </c>
      <c r="K2235">
        <v>1.1032649999999999</v>
      </c>
      <c r="L2235">
        <v>-36.847229999999897</v>
      </c>
      <c r="M2235">
        <v>-7.8952469999999997E-2</v>
      </c>
      <c r="N2235">
        <v>0</v>
      </c>
      <c r="O2235">
        <v>-0.99680049999999898</v>
      </c>
      <c r="P2235">
        <v>-4.9092219999999999E-2</v>
      </c>
      <c r="Q2235">
        <v>0.14630000000000001</v>
      </c>
      <c r="R2235">
        <v>-0.98802160000000006</v>
      </c>
      <c r="S2235">
        <v>0.31143189999999998</v>
      </c>
      <c r="T2235">
        <v>-0.27521259999999997</v>
      </c>
      <c r="U2235">
        <v>-3.08725</v>
      </c>
      <c r="V2235">
        <v>-2.8987430000000002E-2</v>
      </c>
      <c r="W2235">
        <v>0.1586437</v>
      </c>
      <c r="X2235">
        <v>0.98691030000000002</v>
      </c>
      <c r="Y2235">
        <v>-0.17822579999999999</v>
      </c>
      <c r="Z2235">
        <v>8.7445330000000002E-2</v>
      </c>
      <c r="AA2235">
        <v>0.98009629999999903</v>
      </c>
      <c r="AB2235">
        <v>32</v>
      </c>
      <c r="AC2235">
        <v>1.28609999999997</v>
      </c>
      <c r="AD2235">
        <v>-1.1032699122579901</v>
      </c>
      <c r="AE2235">
        <v>-11.891170000000001</v>
      </c>
      <c r="AF2235">
        <v>-2.2022564434222001</v>
      </c>
      <c r="AG2235">
        <v>-1.1032699122579901</v>
      </c>
      <c r="AH2235">
        <v>11.6533410002508</v>
      </c>
      <c r="AI2235">
        <v>95.314788080095596</v>
      </c>
      <c r="AJ2235">
        <v>100.70158936373799</v>
      </c>
      <c r="AK2235">
        <v>11.9108141791405</v>
      </c>
    </row>
    <row r="2236" spans="1:37" x14ac:dyDescent="0.2">
      <c r="A2236" t="str">
        <f>"20200111150638324"</f>
        <v>20200111150638324</v>
      </c>
      <c r="B2236" t="str">
        <f>"1578726398318871"</f>
        <v>1578726398318871</v>
      </c>
      <c r="C2236" t="s">
        <v>37</v>
      </c>
      <c r="D2236">
        <v>5.1263569999999996</v>
      </c>
      <c r="E2236">
        <v>0.44359079999999901</v>
      </c>
      <c r="F2236" t="s">
        <v>85</v>
      </c>
      <c r="G2236">
        <v>-300.43869999999998</v>
      </c>
      <c r="H2236" s="1">
        <v>-5.4975450000000001E-6</v>
      </c>
      <c r="I2236">
        <v>-49.883989999999997</v>
      </c>
      <c r="J2236">
        <v>-301.73860000000002</v>
      </c>
      <c r="K2236">
        <v>1.1041069999999999</v>
      </c>
      <c r="L2236">
        <v>-37.377499999999998</v>
      </c>
      <c r="M2236">
        <v>-7.7395210000000006E-2</v>
      </c>
      <c r="N2236">
        <v>0</v>
      </c>
      <c r="O2236">
        <v>-0.99692230000000004</v>
      </c>
      <c r="P2236">
        <v>-5.4414940000000002E-2</v>
      </c>
      <c r="Q2236">
        <v>0.15511469999999999</v>
      </c>
      <c r="R2236">
        <v>-0.98639679999999996</v>
      </c>
      <c r="S2236">
        <v>0.29843140000000001</v>
      </c>
      <c r="T2236">
        <v>-0.26149119999999998</v>
      </c>
      <c r="U2236">
        <v>-3.0899049999999999</v>
      </c>
      <c r="V2236">
        <v>-2.2329930000000001E-2</v>
      </c>
      <c r="W2236">
        <v>0.167406</v>
      </c>
      <c r="X2236">
        <v>0.98563509999999999</v>
      </c>
      <c r="Y2236">
        <v>-0.17255399999999901</v>
      </c>
      <c r="Z2236">
        <v>8.312166E-2</v>
      </c>
      <c r="AA2236">
        <v>0.98148659999999999</v>
      </c>
      <c r="AB2236">
        <v>32</v>
      </c>
      <c r="AC2236">
        <v>1.29990000000003</v>
      </c>
      <c r="AD2236">
        <v>-1.1041124975449901</v>
      </c>
      <c r="AE2236">
        <v>-12.506489999999999</v>
      </c>
      <c r="AF2236">
        <v>-2.24669480933435</v>
      </c>
      <c r="AG2236">
        <v>-1.1041124975449901</v>
      </c>
      <c r="AH2236">
        <v>12.273718989261701</v>
      </c>
      <c r="AI2236">
        <v>95.056772181613297</v>
      </c>
      <c r="AJ2236">
        <v>100.37310842402501</v>
      </c>
      <c r="AK2236">
        <v>12.5264072982195</v>
      </c>
    </row>
    <row r="2237" spans="1:37" x14ac:dyDescent="0.2">
      <c r="A2237" t="str">
        <f>"20200111150638354"</f>
        <v>20200111150638354</v>
      </c>
      <c r="B2237" t="str">
        <f>"1578726398349126"</f>
        <v>1578726398349126</v>
      </c>
      <c r="C2237" t="s">
        <v>37</v>
      </c>
      <c r="D2237">
        <v>5.1605179999999997</v>
      </c>
      <c r="E2237">
        <v>0.44347199999999998</v>
      </c>
      <c r="F2237" t="s">
        <v>85</v>
      </c>
      <c r="G2237">
        <v>-300.3904</v>
      </c>
      <c r="H2237" s="1">
        <v>-6.395737E-6</v>
      </c>
      <c r="I2237">
        <v>-51.970689999999998</v>
      </c>
      <c r="J2237">
        <v>-301.76870000000002</v>
      </c>
      <c r="K2237">
        <v>1.1048910000000001</v>
      </c>
      <c r="L2237">
        <v>-37.797029999999999</v>
      </c>
      <c r="M2237">
        <v>-7.4736399999999995E-2</v>
      </c>
      <c r="N2237">
        <v>0</v>
      </c>
      <c r="O2237">
        <v>-0.99712509999999999</v>
      </c>
      <c r="P2237">
        <v>-4.904389E-2</v>
      </c>
      <c r="Q2237">
        <v>0.15542739999999999</v>
      </c>
      <c r="R2237">
        <v>-0.98662939999999999</v>
      </c>
      <c r="S2237">
        <v>0.28582759999999902</v>
      </c>
      <c r="T2237">
        <v>-0.23408779999999901</v>
      </c>
      <c r="U2237">
        <v>-3.0939640000000002</v>
      </c>
      <c r="V2237">
        <v>-2.53882E-2</v>
      </c>
      <c r="W2237">
        <v>0.16768849999999999</v>
      </c>
      <c r="X2237">
        <v>0.98551309999999903</v>
      </c>
      <c r="Y2237">
        <v>-0.1659012</v>
      </c>
      <c r="Z2237">
        <v>7.4446600000000002E-2</v>
      </c>
      <c r="AA2237">
        <v>0.98332830000000004</v>
      </c>
      <c r="AB2237">
        <v>32</v>
      </c>
      <c r="AC2237">
        <v>1.3783000000000201</v>
      </c>
      <c r="AD2237">
        <v>-1.1048973957370001</v>
      </c>
      <c r="AE2237">
        <v>-14.17366</v>
      </c>
      <c r="AF2237">
        <v>-2.4192519429238302</v>
      </c>
      <c r="AG2237">
        <v>-1.1048973957370001</v>
      </c>
      <c r="AH2237">
        <v>13.9470371037773</v>
      </c>
      <c r="AI2237">
        <v>94.463193435151496</v>
      </c>
      <c r="AJ2237">
        <v>99.8406051537401</v>
      </c>
      <c r="AK2237">
        <v>14.198359841636201</v>
      </c>
    </row>
    <row r="2238" spans="1:37" x14ac:dyDescent="0.2">
      <c r="A2238" t="str">
        <f>"20200111150638387"</f>
        <v>20200111150638387</v>
      </c>
      <c r="B2238" t="str">
        <f>"1578726398379383"</f>
        <v>1578726398379383</v>
      </c>
      <c r="C2238" t="s">
        <v>37</v>
      </c>
      <c r="D2238">
        <v>5.1232150000000001</v>
      </c>
      <c r="E2238">
        <v>0.44330950000000002</v>
      </c>
      <c r="F2238" t="s">
        <v>85</v>
      </c>
      <c r="G2238">
        <v>-300.39080000000001</v>
      </c>
      <c r="H2238" s="1">
        <v>-6.4550239999999998E-6</v>
      </c>
      <c r="I2238">
        <v>-52.116199999999999</v>
      </c>
      <c r="J2238">
        <v>-301.79969999999997</v>
      </c>
      <c r="K2238">
        <v>1.1057939999999999</v>
      </c>
      <c r="L2238">
        <v>-38.276209999999999</v>
      </c>
      <c r="M2238">
        <v>-6.9951250000000006E-2</v>
      </c>
      <c r="N2238">
        <v>0</v>
      </c>
      <c r="O2238">
        <v>-0.99747160000000001</v>
      </c>
      <c r="P2238">
        <v>-3.6008369999999998E-2</v>
      </c>
      <c r="Q2238">
        <v>0.1519935</v>
      </c>
      <c r="R2238">
        <v>-0.98772549999999903</v>
      </c>
      <c r="S2238">
        <v>0.29763790000000001</v>
      </c>
      <c r="T2238">
        <v>-0.23866609999999999</v>
      </c>
      <c r="U2238">
        <v>-3.093048</v>
      </c>
      <c r="V2238">
        <v>-3.4086539999999999E-2</v>
      </c>
      <c r="W2238">
        <v>0.16419429999999999</v>
      </c>
      <c r="X2238">
        <v>0.98583889999999996</v>
      </c>
      <c r="Y2238">
        <v>-0.16490729999999901</v>
      </c>
      <c r="Z2238">
        <v>7.5949260000000005E-2</v>
      </c>
      <c r="AA2238">
        <v>0.98338060000000005</v>
      </c>
      <c r="AB2238">
        <v>32</v>
      </c>
      <c r="AC2238">
        <v>1.4088999999999601</v>
      </c>
      <c r="AD2238">
        <v>-1.1058004550239999</v>
      </c>
      <c r="AE2238">
        <v>-13.83999</v>
      </c>
      <c r="AF2238">
        <v>-2.35874554092578</v>
      </c>
      <c r="AG2238">
        <v>-1.1058004550239999</v>
      </c>
      <c r="AH2238">
        <v>13.6214550263515</v>
      </c>
      <c r="AI2238">
        <v>94.573372441947399</v>
      </c>
      <c r="AJ2238">
        <v>99.824144204816704</v>
      </c>
      <c r="AK2238">
        <v>13.868327664433201</v>
      </c>
    </row>
    <row r="2239" spans="1:37" x14ac:dyDescent="0.2">
      <c r="A2239" t="str">
        <f>"20200111150638422"</f>
        <v>20200111150638422</v>
      </c>
      <c r="B2239" t="str">
        <f>"1578726398419046"</f>
        <v>1578726398419046</v>
      </c>
      <c r="C2239" t="s">
        <v>37</v>
      </c>
      <c r="D2239">
        <v>5.1530649999999998</v>
      </c>
      <c r="E2239">
        <v>0.44299099999999902</v>
      </c>
      <c r="F2239" t="s">
        <v>85</v>
      </c>
      <c r="G2239">
        <v>-300.31880000000001</v>
      </c>
      <c r="H2239" s="1">
        <v>-6.3150980000000003E-6</v>
      </c>
      <c r="I2239">
        <v>-51.782910000000001</v>
      </c>
      <c r="J2239">
        <v>-301.82729999999998</v>
      </c>
      <c r="K2239">
        <v>1.1066590000000001</v>
      </c>
      <c r="L2239">
        <v>-38.770359999999997</v>
      </c>
      <c r="M2239">
        <v>-6.3324409999999998E-2</v>
      </c>
      <c r="N2239">
        <v>0</v>
      </c>
      <c r="O2239">
        <v>-0.99791369999999902</v>
      </c>
      <c r="P2239">
        <v>-2.2283839999999999E-2</v>
      </c>
      <c r="Q2239">
        <v>0.14461769999999999</v>
      </c>
      <c r="R2239">
        <v>-0.98923680000000003</v>
      </c>
      <c r="S2239">
        <v>0.33862300000000001</v>
      </c>
      <c r="T2239">
        <v>-0.25285979999999902</v>
      </c>
      <c r="U2239">
        <v>-3.0885310000000001</v>
      </c>
      <c r="V2239">
        <v>-4.1614650000000003E-2</v>
      </c>
      <c r="W2239">
        <v>0.15674279999999999</v>
      </c>
      <c r="X2239">
        <v>0.98676229999999998</v>
      </c>
      <c r="Y2239">
        <v>-0.17136319999999999</v>
      </c>
      <c r="Z2239">
        <v>8.0508280000000002E-2</v>
      </c>
      <c r="AA2239">
        <v>0.98191299999999904</v>
      </c>
      <c r="AB2239">
        <v>32</v>
      </c>
      <c r="AC2239">
        <v>1.50849999999996</v>
      </c>
      <c r="AD2239">
        <v>-1.1066653150979999</v>
      </c>
      <c r="AE2239">
        <v>-13.012549999999999</v>
      </c>
      <c r="AF2239">
        <v>-2.31304125422679</v>
      </c>
      <c r="AG2239">
        <v>-1.1066653150979999</v>
      </c>
      <c r="AH2239">
        <v>12.799547970318899</v>
      </c>
      <c r="AI2239">
        <v>94.863193304567403</v>
      </c>
      <c r="AJ2239">
        <v>100.243523634979</v>
      </c>
      <c r="AK2239">
        <v>13.053861352407999</v>
      </c>
    </row>
    <row r="2240" spans="1:37" x14ac:dyDescent="0.2">
      <c r="A2240" t="str">
        <f>"20200111150638457"</f>
        <v>20200111150638457</v>
      </c>
      <c r="B2240" t="str">
        <f>"1578726398449302"</f>
        <v>1578726398449302</v>
      </c>
      <c r="C2240" t="s">
        <v>37</v>
      </c>
      <c r="D2240">
        <v>5.1874180000000001</v>
      </c>
      <c r="E2240">
        <v>0.44281329999999902</v>
      </c>
      <c r="F2240" t="s">
        <v>85</v>
      </c>
      <c r="G2240">
        <v>-300.28269999999998</v>
      </c>
      <c r="H2240" s="1">
        <v>-6.0175779999999996E-6</v>
      </c>
      <c r="I2240">
        <v>-51.057580000000002</v>
      </c>
      <c r="J2240">
        <v>-301.84949999999998</v>
      </c>
      <c r="K2240">
        <v>1.1075159999999999</v>
      </c>
      <c r="L2240">
        <v>-39.250430000000001</v>
      </c>
      <c r="M2240">
        <v>-5.5270880000000001E-2</v>
      </c>
      <c r="N2240">
        <v>0</v>
      </c>
      <c r="O2240">
        <v>-0.99839129999999998</v>
      </c>
      <c r="P2240">
        <v>-8.4033500000000004E-3</v>
      </c>
      <c r="Q2240">
        <v>0.14004240000000001</v>
      </c>
      <c r="R2240">
        <v>-0.99010989999999999</v>
      </c>
      <c r="S2240">
        <v>0.38742070000000001</v>
      </c>
      <c r="T2240">
        <v>-0.27757909999999902</v>
      </c>
      <c r="U2240">
        <v>-3.0819399999999999</v>
      </c>
      <c r="V2240">
        <v>-4.7820460000000002E-2</v>
      </c>
      <c r="W2240">
        <v>0.15208070000000001</v>
      </c>
      <c r="X2240">
        <v>0.98721059999999905</v>
      </c>
      <c r="Y2240">
        <v>-0.17888699999999999</v>
      </c>
      <c r="Z2240">
        <v>8.8428300000000001E-2</v>
      </c>
      <c r="AA2240">
        <v>0.97988770000000003</v>
      </c>
      <c r="AB2240">
        <v>32</v>
      </c>
      <c r="AC2240">
        <v>1.5668</v>
      </c>
      <c r="AD2240">
        <v>-1.1075220175779901</v>
      </c>
      <c r="AE2240">
        <v>-11.80715</v>
      </c>
      <c r="AF2240">
        <v>-2.1980432802793799</v>
      </c>
      <c r="AG2240">
        <v>-1.1075220175779901</v>
      </c>
      <c r="AH2240">
        <v>11.6021766582681</v>
      </c>
      <c r="AI2240">
        <v>95.358086974929194</v>
      </c>
      <c r="AJ2240">
        <v>100.727601337674</v>
      </c>
      <c r="AK2240">
        <v>11.860375309873801</v>
      </c>
    </row>
    <row r="2241" spans="1:37" x14ac:dyDescent="0.2">
      <c r="A2241" t="str">
        <f>"20200111150638487"</f>
        <v>20200111150638487</v>
      </c>
      <c r="B2241" t="str">
        <f>"1578726398478582"</f>
        <v>1578726398478582</v>
      </c>
      <c r="C2241" t="s">
        <v>37</v>
      </c>
      <c r="D2241">
        <v>5.1731150000000001</v>
      </c>
      <c r="E2241">
        <v>0.44270310000000002</v>
      </c>
      <c r="F2241" t="s">
        <v>85</v>
      </c>
      <c r="G2241">
        <v>-300.23079999999999</v>
      </c>
      <c r="H2241" s="1">
        <v>-5.9058360000000004E-6</v>
      </c>
      <c r="I2241">
        <v>-50.79063</v>
      </c>
      <c r="J2241">
        <v>-301.8648</v>
      </c>
      <c r="K2241">
        <v>1.108306</v>
      </c>
      <c r="L2241">
        <v>-39.686520000000002</v>
      </c>
      <c r="M2241">
        <v>-4.6633330000000001E-2</v>
      </c>
      <c r="N2241">
        <v>0</v>
      </c>
      <c r="O2241">
        <v>-0.99883140000000004</v>
      </c>
      <c r="P2241" s="1">
        <v>-8.1571110000000003E-5</v>
      </c>
      <c r="Q2241">
        <v>0.14728350000000001</v>
      </c>
      <c r="R2241">
        <v>-0.98909449999999999</v>
      </c>
      <c r="S2241">
        <v>0.43136599999999897</v>
      </c>
      <c r="T2241">
        <v>-0.29514659999999998</v>
      </c>
      <c r="U2241">
        <v>-3.07537799999999</v>
      </c>
      <c r="V2241">
        <v>-4.7888279999999998E-2</v>
      </c>
      <c r="W2241">
        <v>0.15927929999999901</v>
      </c>
      <c r="X2241">
        <v>0.98607140000000004</v>
      </c>
      <c r="Y2241">
        <v>-0.1843196</v>
      </c>
      <c r="Z2241">
        <v>9.4100530000000002E-2</v>
      </c>
      <c r="AA2241">
        <v>0.97835139999999998</v>
      </c>
      <c r="AB2241">
        <v>32</v>
      </c>
      <c r="AC2241">
        <v>1.6340000000000101</v>
      </c>
      <c r="AD2241">
        <v>-1.108311905836</v>
      </c>
      <c r="AE2241">
        <v>-11.10411</v>
      </c>
      <c r="AF2241">
        <v>-2.1293222125530402</v>
      </c>
      <c r="AG2241">
        <v>-1.108311905836</v>
      </c>
      <c r="AH2241">
        <v>10.909443755644901</v>
      </c>
      <c r="AI2241">
        <v>95.694166793236306</v>
      </c>
      <c r="AJ2241">
        <v>101.04423001925301</v>
      </c>
      <c r="AK2241">
        <v>11.1704221685248</v>
      </c>
    </row>
    <row r="2242" spans="1:37" x14ac:dyDescent="0.2">
      <c r="A2242" t="str">
        <f>"20200111150638526"</f>
        <v>20200111150638526</v>
      </c>
      <c r="B2242" t="str">
        <f>"1578726398519255"</f>
        <v>1578726398519255</v>
      </c>
      <c r="C2242" t="s">
        <v>37</v>
      </c>
      <c r="D2242">
        <v>5.1749169999999998</v>
      </c>
      <c r="E2242">
        <v>0.44261590000000001</v>
      </c>
      <c r="F2242" t="s">
        <v>85</v>
      </c>
      <c r="G2242">
        <v>-299.99079999999998</v>
      </c>
      <c r="H2242" s="1">
        <v>-6.4558330000000004E-6</v>
      </c>
      <c r="I2242">
        <v>-52.175190000000001</v>
      </c>
      <c r="J2242">
        <v>-301.87670000000003</v>
      </c>
      <c r="K2242">
        <v>1.1092519999999999</v>
      </c>
      <c r="L2242">
        <v>-40.225340000000003</v>
      </c>
      <c r="M2242">
        <v>-3.4332050000000003E-2</v>
      </c>
      <c r="N2242">
        <v>0</v>
      </c>
      <c r="O2242">
        <v>-0.99932889999999996</v>
      </c>
      <c r="P2242">
        <v>1.4469660000000001E-2</v>
      </c>
      <c r="Q2242">
        <v>0.15487390000000001</v>
      </c>
      <c r="R2242">
        <v>-0.98782839999999905</v>
      </c>
      <c r="S2242">
        <v>0.46124269999999901</v>
      </c>
      <c r="T2242">
        <v>-0.27277979999999902</v>
      </c>
      <c r="U2242">
        <v>-3.0737299999999999</v>
      </c>
      <c r="V2242">
        <v>-5.0671319999999999E-2</v>
      </c>
      <c r="W2242">
        <v>0.1667911</v>
      </c>
      <c r="X2242">
        <v>0.98468940000000005</v>
      </c>
      <c r="Y2242">
        <v>-0.1816999</v>
      </c>
      <c r="Z2242">
        <v>8.7099949999999995E-2</v>
      </c>
      <c r="AA2242">
        <v>0.97948899999999905</v>
      </c>
      <c r="AB2242">
        <v>32</v>
      </c>
      <c r="AC2242">
        <v>1.8859000000000401</v>
      </c>
      <c r="AD2242">
        <v>-1.1092584558330001</v>
      </c>
      <c r="AE2242">
        <v>-11.9498499999999</v>
      </c>
      <c r="AF2242">
        <v>-2.2759497622578602</v>
      </c>
      <c r="AG2242">
        <v>-1.1092584558330001</v>
      </c>
      <c r="AH2242">
        <v>11.7790223695674</v>
      </c>
      <c r="AI2242">
        <v>95.282672839191903</v>
      </c>
      <c r="AJ2242">
        <v>100.93595882883299</v>
      </c>
      <c r="AK2242">
        <v>12.0480608242542</v>
      </c>
    </row>
    <row r="2243" spans="1:37" x14ac:dyDescent="0.2">
      <c r="A2243" t="str">
        <f>"20200111150638557"</f>
        <v>20200111150638557</v>
      </c>
      <c r="B2243" t="str">
        <f>"1578726398549511"</f>
        <v>1578726398549511</v>
      </c>
      <c r="C2243" t="s">
        <v>37</v>
      </c>
      <c r="D2243">
        <v>5.1523079999999997</v>
      </c>
      <c r="E2243">
        <v>0.442606099999999</v>
      </c>
      <c r="F2243" t="s">
        <v>85</v>
      </c>
      <c r="G2243">
        <v>-299.64</v>
      </c>
      <c r="H2243" s="1">
        <v>-7.020401E-6</v>
      </c>
      <c r="I2243">
        <v>-53.745069999999998</v>
      </c>
      <c r="J2243">
        <v>-301.8802</v>
      </c>
      <c r="K2243">
        <v>1.109996</v>
      </c>
      <c r="L2243">
        <v>-40.658110000000001</v>
      </c>
      <c r="M2243">
        <v>-2.3147060000000001E-2</v>
      </c>
      <c r="N2243">
        <v>0</v>
      </c>
      <c r="O2243">
        <v>-0.99964959999999903</v>
      </c>
      <c r="P2243">
        <v>2.6683620000000002E-2</v>
      </c>
      <c r="Q2243">
        <v>0.16078419999999999</v>
      </c>
      <c r="R2243">
        <v>-0.98662899999999998</v>
      </c>
      <c r="S2243">
        <v>0.50775150000000002</v>
      </c>
      <c r="T2243">
        <v>-0.25180349999999901</v>
      </c>
      <c r="U2243">
        <v>-3.069</v>
      </c>
      <c r="V2243">
        <v>-5.2192549999999997E-2</v>
      </c>
      <c r="W2243">
        <v>0.17265659999999999</v>
      </c>
      <c r="X2243">
        <v>0.98359830000000004</v>
      </c>
      <c r="Y2243">
        <v>-0.18549079999999901</v>
      </c>
      <c r="Z2243">
        <v>8.0486539999999995E-2</v>
      </c>
      <c r="AA2243">
        <v>0.979344199999999</v>
      </c>
      <c r="AB2243">
        <v>32</v>
      </c>
      <c r="AC2243">
        <v>2.24020000000001</v>
      </c>
      <c r="AD2243">
        <v>-1.1100030204010001</v>
      </c>
      <c r="AE2243">
        <v>-13.0869599999999</v>
      </c>
      <c r="AF2243">
        <v>-2.5249022444931501</v>
      </c>
      <c r="AG2243">
        <v>-1.1100030204010001</v>
      </c>
      <c r="AH2243">
        <v>12.941146356301999</v>
      </c>
      <c r="AI2243">
        <v>94.812143797960005</v>
      </c>
      <c r="AJ2243">
        <v>101.040089374318</v>
      </c>
      <c r="AK2243">
        <v>13.2317990864724</v>
      </c>
    </row>
    <row r="2244" spans="1:37" x14ac:dyDescent="0.2">
      <c r="A2244" t="str">
        <f>"20200111150638587"</f>
        <v>20200111150638587</v>
      </c>
      <c r="B2244" t="str">
        <f>"1578726398578790"</f>
        <v>1578726398578790</v>
      </c>
      <c r="C2244" t="s">
        <v>37</v>
      </c>
      <c r="D2244">
        <v>5.0867889999999996</v>
      </c>
      <c r="E2244">
        <v>0.44265149999999998</v>
      </c>
      <c r="F2244" t="s">
        <v>85</v>
      </c>
      <c r="G2244">
        <v>-299.28699999999998</v>
      </c>
      <c r="H2244" s="1">
        <v>-6.9864709999999998E-6</v>
      </c>
      <c r="I2244">
        <v>-55.148229999999998</v>
      </c>
      <c r="J2244">
        <v>-301.87740000000002</v>
      </c>
      <c r="K2244">
        <v>1.1107229999999999</v>
      </c>
      <c r="L2244">
        <v>-41.102719999999998</v>
      </c>
      <c r="M2244">
        <v>-1.044251E-2</v>
      </c>
      <c r="N2244">
        <v>0</v>
      </c>
      <c r="O2244">
        <v>-0.99986189999999997</v>
      </c>
      <c r="P2244">
        <v>4.224406E-2</v>
      </c>
      <c r="Q2244">
        <v>0.16212599999999999</v>
      </c>
      <c r="R2244">
        <v>-0.98586580000000001</v>
      </c>
      <c r="S2244">
        <v>0.54837040000000004</v>
      </c>
      <c r="T2244">
        <v>-0.23472179999999901</v>
      </c>
      <c r="U2244">
        <v>-3.0640869999999998</v>
      </c>
      <c r="V2244">
        <v>-5.5538629999999999E-2</v>
      </c>
      <c r="W2244">
        <v>0.17393729999999999</v>
      </c>
      <c r="X2244">
        <v>0.98318930000000004</v>
      </c>
      <c r="Y2244">
        <v>-0.18594040000000001</v>
      </c>
      <c r="Z2244">
        <v>7.5114749999999994E-2</v>
      </c>
      <c r="AA2244">
        <v>0.97968559999999905</v>
      </c>
      <c r="AB2244">
        <v>32</v>
      </c>
      <c r="AC2244">
        <v>2.5903999999999798</v>
      </c>
      <c r="AD2244">
        <v>-1.1107299864710001</v>
      </c>
      <c r="AE2244">
        <v>-14.04551</v>
      </c>
      <c r="AF2244">
        <v>-2.7204877219361099</v>
      </c>
      <c r="AG2244">
        <v>-1.1107299864710001</v>
      </c>
      <c r="AH2244">
        <v>13.933421451296301</v>
      </c>
      <c r="AI2244">
        <v>94.473683847769195</v>
      </c>
      <c r="AJ2244">
        <v>101.047956816915</v>
      </c>
      <c r="AK2244">
        <v>14.2399089845229</v>
      </c>
    </row>
    <row r="2245" spans="1:37" x14ac:dyDescent="0.2">
      <c r="A2245" t="str">
        <f>"20200111150638620"</f>
        <v>20200111150638620</v>
      </c>
      <c r="B2245" t="str">
        <f>"1578726398609047"</f>
        <v>1578726398609047</v>
      </c>
      <c r="C2245" t="s">
        <v>37</v>
      </c>
      <c r="D2245">
        <v>5.2326920000000001</v>
      </c>
      <c r="E2245">
        <v>0.44267879999999898</v>
      </c>
      <c r="F2245" t="s">
        <v>85</v>
      </c>
      <c r="G2245">
        <v>-299.02910000000003</v>
      </c>
      <c r="H2245" s="1">
        <v>-7.0125220000000004E-6</v>
      </c>
      <c r="I2245">
        <v>-55.721490000000003</v>
      </c>
      <c r="J2245">
        <v>-301.8673</v>
      </c>
      <c r="K2245">
        <v>1.1114109999999999</v>
      </c>
      <c r="L2245">
        <v>-41.558900000000001</v>
      </c>
      <c r="M2245">
        <v>3.8113449999999998E-3</v>
      </c>
      <c r="N2245">
        <v>0</v>
      </c>
      <c r="O2245">
        <v>-0.99990789999999996</v>
      </c>
      <c r="P2245">
        <v>6.1160539999999999E-2</v>
      </c>
      <c r="Q2245">
        <v>0.16218450000000001</v>
      </c>
      <c r="R2245">
        <v>-0.98486359999999995</v>
      </c>
      <c r="S2245">
        <v>0.59536739999999999</v>
      </c>
      <c r="T2245">
        <v>-0.23217070000000001</v>
      </c>
      <c r="U2245">
        <v>-3.0556950000000001</v>
      </c>
      <c r="V2245">
        <v>-6.0704170000000002E-2</v>
      </c>
      <c r="W2245">
        <v>0.1739001</v>
      </c>
      <c r="X2245">
        <v>0.9828905</v>
      </c>
      <c r="Y2245">
        <v>-0.18696989999999999</v>
      </c>
      <c r="Z2245">
        <v>7.4397030000000003E-2</v>
      </c>
      <c r="AA2245">
        <v>0.97954449999999904</v>
      </c>
      <c r="AB2245">
        <v>32</v>
      </c>
      <c r="AC2245">
        <v>2.8381999999999699</v>
      </c>
      <c r="AD2245">
        <v>-1.1114180125219999</v>
      </c>
      <c r="AE2245">
        <v>-14.16259</v>
      </c>
      <c r="AF2245">
        <v>-2.7678090686313701</v>
      </c>
      <c r="AG2245">
        <v>-1.1114180125219999</v>
      </c>
      <c r="AH2245">
        <v>14.0898841803079</v>
      </c>
      <c r="AI2245">
        <v>94.425943416305998</v>
      </c>
      <c r="AJ2245">
        <v>101.113640556337</v>
      </c>
      <c r="AK2245">
        <v>14.402112805191001</v>
      </c>
    </row>
    <row r="2246" spans="1:37" x14ac:dyDescent="0.2">
      <c r="A2246" t="str">
        <f>"20200111150638722"</f>
        <v>20200111150638722</v>
      </c>
      <c r="B2246" t="str">
        <f>"1578726398719334"</f>
        <v>1578726398719334</v>
      </c>
      <c r="C2246" t="s">
        <v>37</v>
      </c>
      <c r="D2246">
        <v>10.20463</v>
      </c>
      <c r="E2246">
        <v>0.39439190000000002</v>
      </c>
      <c r="F2246" t="s">
        <v>85</v>
      </c>
      <c r="G2246">
        <v>-298.78489999999999</v>
      </c>
      <c r="H2246" s="1">
        <v>-7.0726389999999999E-6</v>
      </c>
      <c r="I2246">
        <v>-55.94894</v>
      </c>
      <c r="J2246">
        <v>-301.78590000000003</v>
      </c>
      <c r="K2246">
        <v>1.113353</v>
      </c>
      <c r="L2246">
        <v>-42.963349999999998</v>
      </c>
      <c r="M2246">
        <v>5.4951699999999902E-2</v>
      </c>
      <c r="N2246">
        <v>0</v>
      </c>
      <c r="O2246">
        <v>-0.99839929999999999</v>
      </c>
      <c r="P2246">
        <v>0.1173153</v>
      </c>
      <c r="Q2246">
        <v>0.16918369999999999</v>
      </c>
      <c r="R2246">
        <v>-0.97857780000000005</v>
      </c>
      <c r="S2246">
        <v>0.6520996</v>
      </c>
      <c r="T2246">
        <v>-0.23513039999999999</v>
      </c>
      <c r="U2246">
        <v>-3.0443419999999999</v>
      </c>
      <c r="V2246">
        <v>-6.7653999999999895E-2</v>
      </c>
      <c r="W2246">
        <v>0.18078350000000001</v>
      </c>
      <c r="X2246">
        <v>0.98119330000000005</v>
      </c>
      <c r="Y2246">
        <v>-0.1547972</v>
      </c>
      <c r="Z2246">
        <v>7.5516899999999998E-2</v>
      </c>
      <c r="AA2246">
        <v>0.98505589999999998</v>
      </c>
      <c r="AB2246">
        <v>32</v>
      </c>
      <c r="AC2246">
        <v>3.0010000000000301</v>
      </c>
      <c r="AD2246">
        <v>-1.1133600726390001</v>
      </c>
      <c r="AE2246">
        <v>-12.98559</v>
      </c>
      <c r="AF2246">
        <v>-2.2670006771339399</v>
      </c>
      <c r="AG2246">
        <v>-1.1133600726390001</v>
      </c>
      <c r="AH2246">
        <v>13.0398936456725</v>
      </c>
      <c r="AI2246">
        <v>94.808361480951902</v>
      </c>
      <c r="AJ2246">
        <v>99.862365510818606</v>
      </c>
      <c r="AK2246">
        <v>13.2822320794332</v>
      </c>
    </row>
    <row r="2247" spans="1:37" x14ac:dyDescent="0.2">
      <c r="A2247" t="str">
        <f>"20200111150638755"</f>
        <v>20200111150638755</v>
      </c>
      <c r="B2247" t="str">
        <f>"1578726398748614"</f>
        <v>1578726398748614</v>
      </c>
      <c r="C2247" t="s">
        <v>37</v>
      </c>
      <c r="D2247">
        <v>5.0260179999999997</v>
      </c>
      <c r="E2247">
        <v>0.29045840000000001</v>
      </c>
      <c r="F2247" t="s">
        <v>98</v>
      </c>
      <c r="G2247">
        <v>-286.31700000000001</v>
      </c>
      <c r="H2247">
        <v>1.412247</v>
      </c>
      <c r="I2247">
        <v>-80.464519999999993</v>
      </c>
      <c r="J2247">
        <v>-301.7405</v>
      </c>
      <c r="K2247">
        <v>1.113945</v>
      </c>
      <c r="L2247">
        <v>-43.429290000000002</v>
      </c>
      <c r="M2247">
        <v>7.4126150000000002E-2</v>
      </c>
      <c r="N2247">
        <v>0</v>
      </c>
      <c r="O2247">
        <v>-0.99715759999999898</v>
      </c>
      <c r="P2247">
        <v>0.13718279999999999</v>
      </c>
      <c r="Q2247">
        <v>0.17059969999999999</v>
      </c>
      <c r="R2247">
        <v>-0.97574439999999996</v>
      </c>
      <c r="S2247">
        <v>1.2034</v>
      </c>
      <c r="T2247">
        <v>2.3253320000000001E-2</v>
      </c>
      <c r="U2247">
        <v>-2.917389</v>
      </c>
      <c r="V2247">
        <v>-6.9059830000000003E-2</v>
      </c>
      <c r="W2247">
        <v>0.1821931</v>
      </c>
      <c r="X2247">
        <v>0.98083449999999905</v>
      </c>
      <c r="Y2247">
        <v>-0.31173329999999999</v>
      </c>
      <c r="Z2247">
        <v>-7.4351859999999999E-3</v>
      </c>
      <c r="AA2247">
        <v>0.95014050000000005</v>
      </c>
      <c r="AB2247">
        <v>32</v>
      </c>
      <c r="AC2247">
        <v>15.423499999999899</v>
      </c>
      <c r="AD2247">
        <v>0.29830200000000001</v>
      </c>
      <c r="AE2247">
        <v>-37.035229999999899</v>
      </c>
      <c r="AF2247">
        <v>-12.634832791418001</v>
      </c>
      <c r="AG2247">
        <v>0.29830200000000001</v>
      </c>
      <c r="AH2247">
        <v>38.074606502593099</v>
      </c>
      <c r="AI2247">
        <v>89.5739600652484</v>
      </c>
      <c r="AJ2247">
        <v>108.358119440011</v>
      </c>
      <c r="AK2247">
        <v>40.117373344694499</v>
      </c>
    </row>
    <row r="2248" spans="1:37" x14ac:dyDescent="0.2">
      <c r="A2248" t="str">
        <f>"20200111150638788"</f>
        <v>20200111150638788</v>
      </c>
      <c r="B2248" t="str">
        <f>"1578726398778870"</f>
        <v>1578726398778870</v>
      </c>
      <c r="C2248" t="s">
        <v>37</v>
      </c>
      <c r="D2248">
        <v>8.5748069999999998</v>
      </c>
      <c r="E2248">
        <v>0.3892698</v>
      </c>
      <c r="F2248" t="s">
        <v>99</v>
      </c>
      <c r="G2248">
        <v>-273.98009999999999</v>
      </c>
      <c r="H2248">
        <v>7.5935059999999996</v>
      </c>
      <c r="I2248">
        <v>-79.671169999999904</v>
      </c>
      <c r="J2248">
        <v>-301.68619999999999</v>
      </c>
      <c r="K2248">
        <v>1.114457</v>
      </c>
      <c r="L2248">
        <v>-43.885469999999998</v>
      </c>
      <c r="M2248">
        <v>9.3898770000000006E-2</v>
      </c>
      <c r="N2248">
        <v>0</v>
      </c>
      <c r="O2248">
        <v>-0.9954885</v>
      </c>
      <c r="P2248">
        <v>0.1599479</v>
      </c>
      <c r="Q2248">
        <v>0.17138889999999901</v>
      </c>
      <c r="R2248">
        <v>-0.97213320000000003</v>
      </c>
      <c r="S2248">
        <v>2.0677490000000001</v>
      </c>
      <c r="T2248">
        <v>0.48263409999999901</v>
      </c>
      <c r="U2248">
        <v>-2.6994929999999999</v>
      </c>
      <c r="V2248">
        <v>-7.2796990000000006E-2</v>
      </c>
      <c r="W2248">
        <v>0.18292069999999999</v>
      </c>
      <c r="X2248">
        <v>0.98042879999999999</v>
      </c>
      <c r="Y2248">
        <v>-0.52457749999999903</v>
      </c>
      <c r="Z2248">
        <v>-0.14367569999999999</v>
      </c>
      <c r="AA2248">
        <v>0.8391518</v>
      </c>
      <c r="AB2248">
        <v>32</v>
      </c>
      <c r="AC2248">
        <v>27.7060999999999</v>
      </c>
      <c r="AD2248">
        <v>6.4790489999999998</v>
      </c>
      <c r="AE2248">
        <v>-35.785699999999899</v>
      </c>
      <c r="AF2248">
        <v>-23.736645010552799</v>
      </c>
      <c r="AG2248">
        <v>6.4790489999999998</v>
      </c>
      <c r="AH2248">
        <v>37.461607653476797</v>
      </c>
      <c r="AI2248">
        <v>81.688255186054803</v>
      </c>
      <c r="AJ2248">
        <v>122.359406034785</v>
      </c>
      <c r="AK2248">
        <v>44.819398035721498</v>
      </c>
    </row>
    <row r="2249" spans="1:37" x14ac:dyDescent="0.2">
      <c r="A2249" t="str">
        <f>"20200111150638822"</f>
        <v>20200111150638822</v>
      </c>
      <c r="B2249" t="str">
        <f>"1578726398819467"</f>
        <v>1578726398819467</v>
      </c>
      <c r="C2249" t="s">
        <v>37</v>
      </c>
      <c r="D2249">
        <v>4.9076769999999996</v>
      </c>
      <c r="E2249">
        <v>0.35579640000000001</v>
      </c>
      <c r="F2249" t="s">
        <v>99</v>
      </c>
      <c r="G2249">
        <v>-277.17500000000001</v>
      </c>
      <c r="H2249">
        <v>1.628808</v>
      </c>
      <c r="I2249">
        <v>-94.918329999999997</v>
      </c>
      <c r="J2249">
        <v>-301.62119999999999</v>
      </c>
      <c r="K2249">
        <v>1.1149309999999999</v>
      </c>
      <c r="L2249">
        <v>-44.344540000000002</v>
      </c>
      <c r="M2249">
        <v>0.1146969</v>
      </c>
      <c r="N2249">
        <v>0</v>
      </c>
      <c r="O2249">
        <v>-0.9933052</v>
      </c>
      <c r="P2249">
        <v>0.18423510000000001</v>
      </c>
      <c r="Q2249">
        <v>0.1712388</v>
      </c>
      <c r="R2249">
        <v>-0.96785080000000001</v>
      </c>
      <c r="S2249">
        <v>1.371399</v>
      </c>
      <c r="T2249">
        <v>2.877855E-2</v>
      </c>
      <c r="U2249">
        <v>-2.855286</v>
      </c>
      <c r="V2249">
        <v>-7.7060020000000007E-2</v>
      </c>
      <c r="W2249">
        <v>0.18268960000000001</v>
      </c>
      <c r="X2249">
        <v>0.98014609999999902</v>
      </c>
      <c r="Y2249">
        <v>-0.32667649999999998</v>
      </c>
      <c r="Z2249">
        <v>-9.2001050000000001E-3</v>
      </c>
      <c r="AA2249">
        <v>0.94509140000000003</v>
      </c>
      <c r="AB2249">
        <v>32</v>
      </c>
      <c r="AC2249">
        <v>24.446199999999902</v>
      </c>
      <c r="AD2249">
        <v>0.51387700000000003</v>
      </c>
      <c r="AE2249">
        <v>-50.573790000000002</v>
      </c>
      <c r="AF2249">
        <v>-18.482084367840599</v>
      </c>
      <c r="AG2249">
        <v>0.51387700000000003</v>
      </c>
      <c r="AH2249">
        <v>53.039696586373097</v>
      </c>
      <c r="AI2249">
        <v>89.475815716104194</v>
      </c>
      <c r="AJ2249">
        <v>109.211278675836</v>
      </c>
      <c r="AK2249">
        <v>56.169929020122702</v>
      </c>
    </row>
    <row r="2250" spans="1:37" x14ac:dyDescent="0.2">
      <c r="A2250" t="str">
        <f>"20200111150638856"</f>
        <v>20200111150638856</v>
      </c>
      <c r="B2250" t="str">
        <f>"1578726398848746"</f>
        <v>1578726398848746</v>
      </c>
      <c r="C2250" t="s">
        <v>37</v>
      </c>
      <c r="D2250">
        <v>4.8435790000000001</v>
      </c>
      <c r="E2250">
        <v>0.37028939999999999</v>
      </c>
      <c r="F2250" t="s">
        <v>99</v>
      </c>
      <c r="G2250">
        <v>-272.44540000000001</v>
      </c>
      <c r="H2250">
        <v>3.8427690000000001</v>
      </c>
      <c r="I2250">
        <v>-91.564989999999995</v>
      </c>
      <c r="J2250">
        <v>-301.5444</v>
      </c>
      <c r="K2250">
        <v>1.115394</v>
      </c>
      <c r="L2250">
        <v>-44.812899999999999</v>
      </c>
      <c r="M2250">
        <v>0.1367747</v>
      </c>
      <c r="N2250">
        <v>0</v>
      </c>
      <c r="O2250">
        <v>-0.99050499999999997</v>
      </c>
      <c r="P2250">
        <v>0.2071421</v>
      </c>
      <c r="Q2250">
        <v>0.17308750000000001</v>
      </c>
      <c r="R2250">
        <v>-0.96287749999999905</v>
      </c>
      <c r="S2250">
        <v>1.6980900000000001</v>
      </c>
      <c r="T2250">
        <v>0.158766299999999</v>
      </c>
      <c r="U2250">
        <v>-2.7483219999999999</v>
      </c>
      <c r="V2250">
        <v>-7.8809340000000005E-2</v>
      </c>
      <c r="W2250">
        <v>0.1845251</v>
      </c>
      <c r="X2250">
        <v>0.97966299999999995</v>
      </c>
      <c r="Y2250">
        <v>-0.40366039999999997</v>
      </c>
      <c r="Z2250">
        <v>-5.0040870000000001E-2</v>
      </c>
      <c r="AA2250">
        <v>0.9135394</v>
      </c>
      <c r="AB2250">
        <v>31</v>
      </c>
      <c r="AC2250">
        <v>29.098999999999901</v>
      </c>
      <c r="AD2250">
        <v>2.7273749999999999</v>
      </c>
      <c r="AE2250">
        <v>-46.752090000000003</v>
      </c>
      <c r="AF2250">
        <v>-22.3754754607892</v>
      </c>
      <c r="AG2250">
        <v>2.7273749999999999</v>
      </c>
      <c r="AH2250">
        <v>50.1699634264547</v>
      </c>
      <c r="AI2250">
        <v>87.157673797727398</v>
      </c>
      <c r="AJ2250">
        <v>114.036558780424</v>
      </c>
      <c r="AK2250">
        <v>55.001142776298799</v>
      </c>
    </row>
    <row r="2251" spans="1:37" x14ac:dyDescent="0.2">
      <c r="A2251" t="str">
        <f>"20200111150638888"</f>
        <v>20200111150638888</v>
      </c>
      <c r="B2251" t="str">
        <f>"1578726398879002"</f>
        <v>1578726398879002</v>
      </c>
      <c r="C2251" t="s">
        <v>37</v>
      </c>
      <c r="D2251">
        <v>4.8456939999999999</v>
      </c>
      <c r="E2251">
        <v>0.37685990000000003</v>
      </c>
      <c r="F2251" t="s">
        <v>99</v>
      </c>
      <c r="G2251">
        <v>-273.33519999999999</v>
      </c>
      <c r="H2251">
        <v>2.8338640000000002</v>
      </c>
      <c r="I2251">
        <v>-91.564989999999995</v>
      </c>
      <c r="J2251">
        <v>-301.46120000000002</v>
      </c>
      <c r="K2251">
        <v>1.1157859999999999</v>
      </c>
      <c r="L2251">
        <v>-45.254429999999999</v>
      </c>
      <c r="M2251">
        <v>0.15834899999999999</v>
      </c>
      <c r="N2251">
        <v>0</v>
      </c>
      <c r="O2251">
        <v>-0.9872841</v>
      </c>
      <c r="P2251">
        <v>0.2296734</v>
      </c>
      <c r="Q2251">
        <v>0.17287659999999999</v>
      </c>
      <c r="R2251">
        <v>-0.95779139999999996</v>
      </c>
      <c r="S2251">
        <v>1.654266</v>
      </c>
      <c r="T2251">
        <v>0.1007767</v>
      </c>
      <c r="U2251">
        <v>-2.7416689999999999</v>
      </c>
      <c r="V2251">
        <v>-8.059521E-2</v>
      </c>
      <c r="W2251">
        <v>0.18430479999999999</v>
      </c>
      <c r="X2251">
        <v>0.97955919999999896</v>
      </c>
      <c r="Y2251">
        <v>-0.37424289999999999</v>
      </c>
      <c r="Z2251">
        <v>-3.2027479999999997E-2</v>
      </c>
      <c r="AA2251">
        <v>0.92677749999999903</v>
      </c>
      <c r="AB2251">
        <v>31</v>
      </c>
      <c r="AC2251">
        <v>28.126000000000001</v>
      </c>
      <c r="AD2251">
        <v>1.718078</v>
      </c>
      <c r="AE2251">
        <v>-46.310560000000002</v>
      </c>
      <c r="AF2251">
        <v>-20.416593374094901</v>
      </c>
      <c r="AG2251">
        <v>1.718078</v>
      </c>
      <c r="AH2251">
        <v>50.129909897749698</v>
      </c>
      <c r="AI2251">
        <v>88.181985303075805</v>
      </c>
      <c r="AJ2251">
        <v>112.159774691812</v>
      </c>
      <c r="AK2251">
        <v>54.1553039265197</v>
      </c>
    </row>
    <row r="2252" spans="1:37" x14ac:dyDescent="0.2">
      <c r="A2252" t="str">
        <f>"20200111150638926"</f>
        <v>20200111150638926</v>
      </c>
      <c r="B2252" t="str">
        <f>"1578726398918650"</f>
        <v>1578726398918650</v>
      </c>
      <c r="C2252" t="s">
        <v>37</v>
      </c>
      <c r="D2252">
        <v>4.8530680000000004</v>
      </c>
      <c r="E2252">
        <v>0.313751</v>
      </c>
      <c r="F2252" t="s">
        <v>99</v>
      </c>
      <c r="G2252">
        <v>-273.00330000000002</v>
      </c>
      <c r="H2252">
        <v>2.30436</v>
      </c>
      <c r="I2252">
        <v>-91.564989999999995</v>
      </c>
      <c r="J2252">
        <v>-301.35739999999998</v>
      </c>
      <c r="K2252">
        <v>1.1161669999999999</v>
      </c>
      <c r="L2252">
        <v>-45.739779999999897</v>
      </c>
      <c r="M2252">
        <v>0.182828399999999</v>
      </c>
      <c r="N2252">
        <v>0</v>
      </c>
      <c r="O2252">
        <v>-0.98304349999999996</v>
      </c>
      <c r="P2252">
        <v>0.25750079999999997</v>
      </c>
      <c r="Q2252">
        <v>0.17737239999999899</v>
      </c>
      <c r="R2252">
        <v>-0.94985919999999902</v>
      </c>
      <c r="S2252">
        <v>1.6708069999999999</v>
      </c>
      <c r="T2252">
        <v>6.9783810000000002E-2</v>
      </c>
      <c r="U2252">
        <v>-2.7189640000000002</v>
      </c>
      <c r="V2252">
        <v>-8.5296499999999997E-2</v>
      </c>
      <c r="W2252">
        <v>0.1886911</v>
      </c>
      <c r="X2252">
        <v>0.97832520000000001</v>
      </c>
      <c r="Y2252">
        <v>-0.35881079999999999</v>
      </c>
      <c r="Z2252">
        <v>-2.2235189999999998E-2</v>
      </c>
      <c r="AA2252">
        <v>0.93314549999999996</v>
      </c>
      <c r="AB2252">
        <v>31</v>
      </c>
      <c r="AC2252">
        <v>28.354099999999899</v>
      </c>
      <c r="AD2252">
        <v>1.1881930000000001</v>
      </c>
      <c r="AE2252">
        <v>-45.825209999999998</v>
      </c>
      <c r="AF2252">
        <v>-19.487632030079201</v>
      </c>
      <c r="AG2252">
        <v>1.1881930000000001</v>
      </c>
      <c r="AH2252">
        <v>50.212702663911202</v>
      </c>
      <c r="AI2252">
        <v>88.736256056989504</v>
      </c>
      <c r="AJ2252">
        <v>111.211314289675</v>
      </c>
      <c r="AK2252">
        <v>53.874809638265802</v>
      </c>
    </row>
    <row r="2253" spans="1:37" x14ac:dyDescent="0.2">
      <c r="A2253" t="str">
        <f>"20200111150638958"</f>
        <v>20200111150638958</v>
      </c>
      <c r="B2253" t="str">
        <f>"1578726398948906"</f>
        <v>1578726398948906</v>
      </c>
      <c r="C2253" t="s">
        <v>37</v>
      </c>
      <c r="D2253">
        <v>5.1354259999999998</v>
      </c>
      <c r="E2253">
        <v>0.39423809999999998</v>
      </c>
      <c r="F2253" t="s">
        <v>99</v>
      </c>
      <c r="G2253">
        <v>-269.79989999999998</v>
      </c>
      <c r="H2253">
        <v>8.9474490000000007</v>
      </c>
      <c r="I2253">
        <v>-80.916469999999904</v>
      </c>
      <c r="J2253">
        <v>-301.25420000000003</v>
      </c>
      <c r="K2253">
        <v>1.1164810000000001</v>
      </c>
      <c r="L2253">
        <v>-46.170990000000003</v>
      </c>
      <c r="M2253">
        <v>0.20515149999999999</v>
      </c>
      <c r="N2253">
        <v>0</v>
      </c>
      <c r="O2253">
        <v>-0.97862700000000002</v>
      </c>
      <c r="P2253">
        <v>0.28287899999999999</v>
      </c>
      <c r="Q2253">
        <v>0.18222189999999999</v>
      </c>
      <c r="R2253">
        <v>-0.94168750000000001</v>
      </c>
      <c r="S2253">
        <v>2.2053829999999999</v>
      </c>
      <c r="T2253">
        <v>0.54728779999999999</v>
      </c>
      <c r="U2253">
        <v>-2.458313</v>
      </c>
      <c r="V2253">
        <v>-8.9763839999999998E-2</v>
      </c>
      <c r="W2253">
        <v>0.1934265</v>
      </c>
      <c r="X2253">
        <v>0.97699979999999997</v>
      </c>
      <c r="Y2253">
        <v>-0.49121399999999998</v>
      </c>
      <c r="Z2253">
        <v>-0.16894779999999901</v>
      </c>
      <c r="AA2253">
        <v>0.85449719999999996</v>
      </c>
      <c r="AB2253">
        <v>31</v>
      </c>
      <c r="AC2253">
        <v>31.4543</v>
      </c>
      <c r="AD2253">
        <v>7.8309679999999897</v>
      </c>
      <c r="AE2253">
        <v>-34.745479999999901</v>
      </c>
      <c r="AF2253">
        <v>-23.0138422758736</v>
      </c>
      <c r="AG2253">
        <v>7.8309679999999897</v>
      </c>
      <c r="AH2253">
        <v>39.360991116658397</v>
      </c>
      <c r="AI2253">
        <v>80.254546227260803</v>
      </c>
      <c r="AJ2253">
        <v>120.31425218958999</v>
      </c>
      <c r="AK2253">
        <v>46.262821118058497</v>
      </c>
    </row>
    <row r="2254" spans="1:37" x14ac:dyDescent="0.2">
      <c r="A2254" t="str">
        <f>"20200111150638988"</f>
        <v>20200111150638988</v>
      </c>
      <c r="B2254" t="str">
        <f>"1578726398979162"</f>
        <v>1578726398979162</v>
      </c>
      <c r="C2254" t="s">
        <v>37</v>
      </c>
      <c r="D2254">
        <v>5.0436930000000002</v>
      </c>
      <c r="E2254">
        <v>0.39312229999999998</v>
      </c>
      <c r="F2254" t="s">
        <v>99</v>
      </c>
      <c r="G2254">
        <v>-272.49990000000003</v>
      </c>
      <c r="H2254">
        <v>0.48178339999999997</v>
      </c>
      <c r="I2254">
        <v>-91.564989999999995</v>
      </c>
      <c r="J2254">
        <v>-301.14139999999998</v>
      </c>
      <c r="K2254">
        <v>1.116708</v>
      </c>
      <c r="L2254">
        <v>-46.597559999999902</v>
      </c>
      <c r="M2254">
        <v>0.22769639999999999</v>
      </c>
      <c r="N2254">
        <v>0</v>
      </c>
      <c r="O2254">
        <v>-0.97362680000000001</v>
      </c>
      <c r="P2254">
        <v>0.31049899999999903</v>
      </c>
      <c r="Q2254">
        <v>0.1800736</v>
      </c>
      <c r="R2254">
        <v>-0.93336180000000002</v>
      </c>
      <c r="S2254">
        <v>1.699249</v>
      </c>
      <c r="T2254">
        <v>-3.7507060000000002E-2</v>
      </c>
      <c r="U2254">
        <v>-2.6825869999999998</v>
      </c>
      <c r="V2254">
        <v>-9.5961820000000003E-2</v>
      </c>
      <c r="W2254">
        <v>0.1911148</v>
      </c>
      <c r="X2254">
        <v>0.976865599999999</v>
      </c>
      <c r="Y2254">
        <v>-0.32864349999999998</v>
      </c>
      <c r="Z2254">
        <v>1.1954920000000001E-2</v>
      </c>
      <c r="AA2254">
        <v>0.94437839999999995</v>
      </c>
      <c r="AB2254">
        <v>31</v>
      </c>
      <c r="AC2254">
        <v>28.641499999999901</v>
      </c>
      <c r="AD2254">
        <v>-0.63492459999999995</v>
      </c>
      <c r="AE2254">
        <v>-44.96743</v>
      </c>
      <c r="AF2254">
        <v>-17.646518230263499</v>
      </c>
      <c r="AG2254">
        <v>-0.63492459999999995</v>
      </c>
      <c r="AH2254">
        <v>50.301089355993703</v>
      </c>
      <c r="AI2254">
        <v>90.682406004809195</v>
      </c>
      <c r="AJ2254">
        <v>109.3317792796</v>
      </c>
      <c r="AK2254">
        <v>53.310433550088199</v>
      </c>
    </row>
    <row r="2255" spans="1:37" x14ac:dyDescent="0.2">
      <c r="A2255" t="str">
        <f>"20200111150639035"</f>
        <v>20200111150639035</v>
      </c>
      <c r="B2255" t="str">
        <f>"1578726399029474"</f>
        <v>1578726399029474</v>
      </c>
      <c r="C2255" t="s">
        <v>37</v>
      </c>
      <c r="D2255">
        <v>5.1020389999999898</v>
      </c>
      <c r="E2255">
        <v>0.40185140000000003</v>
      </c>
      <c r="F2255" t="s">
        <v>99</v>
      </c>
      <c r="G2255">
        <v>-270.6361</v>
      </c>
      <c r="H2255">
        <v>0.37655429999999901</v>
      </c>
      <c r="I2255">
        <v>-91.564989999999995</v>
      </c>
      <c r="J2255">
        <v>-300.96679999999998</v>
      </c>
      <c r="K2255">
        <v>1.1169450000000001</v>
      </c>
      <c r="L2255">
        <v>-47.189360000000001</v>
      </c>
      <c r="M2255">
        <v>0.25955470000000003</v>
      </c>
      <c r="N2255">
        <v>0</v>
      </c>
      <c r="O2255">
        <v>-0.96562079999999995</v>
      </c>
      <c r="P2255">
        <v>0.346284599999999</v>
      </c>
      <c r="Q2255">
        <v>0.17664859999999999</v>
      </c>
      <c r="R2255">
        <v>-0.92134830000000001</v>
      </c>
      <c r="S2255">
        <v>1.7836000000000001</v>
      </c>
      <c r="T2255">
        <v>-4.3275000000000001E-2</v>
      </c>
      <c r="U2255">
        <v>-2.629181</v>
      </c>
      <c r="V2255">
        <v>-0.1014336</v>
      </c>
      <c r="W2255">
        <v>0.1875569</v>
      </c>
      <c r="X2255">
        <v>0.97700239999999905</v>
      </c>
      <c r="Y2255">
        <v>-0.32728220000000002</v>
      </c>
      <c r="Z2255">
        <v>1.3747880000000001E-2</v>
      </c>
      <c r="AA2255">
        <v>0.94482659999999996</v>
      </c>
      <c r="AB2255">
        <v>31</v>
      </c>
      <c r="AC2255">
        <v>30.330699999999901</v>
      </c>
      <c r="AD2255">
        <v>-0.74039069999999996</v>
      </c>
      <c r="AE2255">
        <v>-44.375630000000001</v>
      </c>
      <c r="AF2255">
        <v>-17.7685269665817</v>
      </c>
      <c r="AG2255">
        <v>-0.74039069999999996</v>
      </c>
      <c r="AH2255">
        <v>50.718155575669201</v>
      </c>
      <c r="AI2255">
        <v>90.789320929355398</v>
      </c>
      <c r="AJ2255">
        <v>109.307326901159</v>
      </c>
      <c r="AK2255">
        <v>53.745697818044697</v>
      </c>
    </row>
    <row r="2256" spans="1:37" x14ac:dyDescent="0.2">
      <c r="A2256" t="str">
        <f>"20200111150639079"</f>
        <v>20200111150639079</v>
      </c>
      <c r="B2256" t="str">
        <f>"1578726399069490"</f>
        <v>1578726399069490</v>
      </c>
      <c r="C2256" t="s">
        <v>37</v>
      </c>
      <c r="D2256">
        <v>5.1294139999999997</v>
      </c>
      <c r="E2256">
        <v>0.40263019999999999</v>
      </c>
      <c r="F2256" t="s">
        <v>85</v>
      </c>
      <c r="G2256">
        <v>-284.93630000000002</v>
      </c>
      <c r="H2256" s="1">
        <v>-4.3418209999999996E-6</v>
      </c>
      <c r="I2256">
        <v>-70.035830000000004</v>
      </c>
      <c r="J2256">
        <v>-300.77519999999998</v>
      </c>
      <c r="K2256">
        <v>1.117089</v>
      </c>
      <c r="L2256">
        <v>-47.766080000000002</v>
      </c>
      <c r="M2256">
        <v>0.29107909999999998</v>
      </c>
      <c r="N2256">
        <v>0</v>
      </c>
      <c r="O2256">
        <v>-0.95658889999999996</v>
      </c>
      <c r="P2256">
        <v>0.37716279999999902</v>
      </c>
      <c r="Q2256">
        <v>0.1719377</v>
      </c>
      <c r="R2256">
        <v>-0.9100471</v>
      </c>
      <c r="S2256">
        <v>1.8214109999999999</v>
      </c>
      <c r="T2256">
        <v>-0.12690969999999999</v>
      </c>
      <c r="U2256">
        <v>-2.5958559999999999</v>
      </c>
      <c r="V2256">
        <v>-0.1020209</v>
      </c>
      <c r="W2256">
        <v>0.1828729</v>
      </c>
      <c r="X2256">
        <v>0.9778289</v>
      </c>
      <c r="Y2256">
        <v>-0.31072070000000002</v>
      </c>
      <c r="Z2256">
        <v>4.011323E-2</v>
      </c>
      <c r="AA2256">
        <v>0.94965449999999996</v>
      </c>
      <c r="AB2256">
        <v>31</v>
      </c>
      <c r="AC2256">
        <v>15.838899999999899</v>
      </c>
      <c r="AD2256">
        <v>-1.1170933418210001</v>
      </c>
      <c r="AE2256">
        <v>-22.269749999999998</v>
      </c>
      <c r="AF2256">
        <v>-8.6555072349501003</v>
      </c>
      <c r="AG2256">
        <v>-1.1170933418210001</v>
      </c>
      <c r="AH2256">
        <v>25.872865310601799</v>
      </c>
      <c r="AI2256">
        <v>92.3447084928424</v>
      </c>
      <c r="AJ2256">
        <v>108.49714725570701</v>
      </c>
      <c r="AK2256">
        <v>27.3051435156301</v>
      </c>
    </row>
    <row r="2257" spans="1:37" x14ac:dyDescent="0.2">
      <c r="A2257" t="str">
        <f>"20200111150639112"</f>
        <v>20200111150639112</v>
      </c>
      <c r="B2257" t="str">
        <f>"1578726399109131"</f>
        <v>1578726399109131</v>
      </c>
      <c r="C2257" t="s">
        <v>37</v>
      </c>
      <c r="D2257">
        <v>5.1333919999999997</v>
      </c>
      <c r="E2257">
        <v>0.40193119999999999</v>
      </c>
      <c r="F2257" t="s">
        <v>85</v>
      </c>
      <c r="G2257">
        <v>-286.69099999999997</v>
      </c>
      <c r="H2257" s="1">
        <v>-4.0751350000000001E-6</v>
      </c>
      <c r="I2257">
        <v>-66.578090000000003</v>
      </c>
      <c r="J2257">
        <v>-300.62299999999999</v>
      </c>
      <c r="K2257">
        <v>1.1171709999999999</v>
      </c>
      <c r="L2257">
        <v>-48.185549999999999</v>
      </c>
      <c r="M2257">
        <v>0.31419350000000001</v>
      </c>
      <c r="N2257">
        <v>0</v>
      </c>
      <c r="O2257">
        <v>-0.94924750000000002</v>
      </c>
      <c r="P2257">
        <v>0.39881659999999902</v>
      </c>
      <c r="Q2257">
        <v>0.17122019999999999</v>
      </c>
      <c r="R2257">
        <v>-0.900904699999999</v>
      </c>
      <c r="S2257">
        <v>1.899872</v>
      </c>
      <c r="T2257">
        <v>-0.150689299999999</v>
      </c>
      <c r="U2257">
        <v>-2.53762799999999</v>
      </c>
      <c r="V2257">
        <v>-0.10166599999999899</v>
      </c>
      <c r="W2257">
        <v>0.18219260000000001</v>
      </c>
      <c r="X2257">
        <v>0.9779928</v>
      </c>
      <c r="Y2257">
        <v>-0.31672250000000002</v>
      </c>
      <c r="Z2257">
        <v>4.7506439999999997E-2</v>
      </c>
      <c r="AA2257">
        <v>0.94732780000000005</v>
      </c>
      <c r="AB2257">
        <v>31</v>
      </c>
      <c r="AC2257">
        <v>13.932</v>
      </c>
      <c r="AD2257">
        <v>-1.11717507513499</v>
      </c>
      <c r="AE2257">
        <v>-18.39254</v>
      </c>
      <c r="AF2257">
        <v>-7.4294706714284402</v>
      </c>
      <c r="AG2257">
        <v>-1.11717507513499</v>
      </c>
      <c r="AH2257">
        <v>21.787650337163299</v>
      </c>
      <c r="AI2257">
        <v>92.778477001590502</v>
      </c>
      <c r="AJ2257">
        <v>108.82909806789</v>
      </c>
      <c r="AK2257">
        <v>23.046622785575501</v>
      </c>
    </row>
    <row r="2258" spans="1:37" x14ac:dyDescent="0.2">
      <c r="A2258" t="str">
        <f>"20200111150639147"</f>
        <v>20200111150639147</v>
      </c>
      <c r="B2258" t="str">
        <f>"1578726399139390"</f>
        <v>1578726399139390</v>
      </c>
      <c r="C2258" t="s">
        <v>37</v>
      </c>
      <c r="D2258">
        <v>5.1081839999999996</v>
      </c>
      <c r="E2258">
        <v>0.40167329999999901</v>
      </c>
      <c r="F2258" t="s">
        <v>85</v>
      </c>
      <c r="G2258">
        <v>-285.92020000000002</v>
      </c>
      <c r="H2258" s="1">
        <v>-4.4197509999999997E-6</v>
      </c>
      <c r="I2258">
        <v>-66.821370000000002</v>
      </c>
      <c r="J2258">
        <v>-300.44749999999999</v>
      </c>
      <c r="K2258">
        <v>1.117256</v>
      </c>
      <c r="L2258">
        <v>-48.631409999999903</v>
      </c>
      <c r="M2258">
        <v>0.33891890000000002</v>
      </c>
      <c r="N2258">
        <v>0</v>
      </c>
      <c r="O2258">
        <v>-0.94070239999999905</v>
      </c>
      <c r="P2258">
        <v>0.42203359999999901</v>
      </c>
      <c r="Q2258">
        <v>0.17559859999999999</v>
      </c>
      <c r="R2258">
        <v>-0.88941190000000003</v>
      </c>
      <c r="S2258">
        <v>1.9637450000000001</v>
      </c>
      <c r="T2258">
        <v>-0.1492126</v>
      </c>
      <c r="U2258">
        <v>-2.4890439999999998</v>
      </c>
      <c r="V2258">
        <v>-0.10190109999999999</v>
      </c>
      <c r="W2258">
        <v>0.18657550000000001</v>
      </c>
      <c r="X2258">
        <v>0.97714159999999906</v>
      </c>
      <c r="Y2258">
        <v>-0.31590819999999997</v>
      </c>
      <c r="Z2258">
        <v>4.6816589999999998E-2</v>
      </c>
      <c r="AA2258">
        <v>0.94763399999999998</v>
      </c>
      <c r="AB2258">
        <v>31</v>
      </c>
      <c r="AC2258">
        <v>14.527299999999901</v>
      </c>
      <c r="AD2258">
        <v>-1.1172604197510001</v>
      </c>
      <c r="AE2258">
        <v>-18.189959999999999</v>
      </c>
      <c r="AF2258">
        <v>-7.4845035532741502</v>
      </c>
      <c r="AG2258">
        <v>-1.1172604197510001</v>
      </c>
      <c r="AH2258">
        <v>21.9866176224965</v>
      </c>
      <c r="AI2258">
        <v>92.754071317732695</v>
      </c>
      <c r="AJ2258">
        <v>108.79917885331599</v>
      </c>
      <c r="AK2258">
        <v>23.252471239900299</v>
      </c>
    </row>
    <row r="2259" spans="1:37" x14ac:dyDescent="0.2">
      <c r="A2259" t="str">
        <f>"20200111150639191"</f>
        <v>20200111150639191</v>
      </c>
      <c r="B2259" t="str">
        <f>"1578726399189163"</f>
        <v>1578726399189163</v>
      </c>
      <c r="C2259" t="s">
        <v>37</v>
      </c>
      <c r="D2259">
        <v>5.201111</v>
      </c>
      <c r="E2259">
        <v>0.40193519999999999</v>
      </c>
      <c r="F2259" t="s">
        <v>85</v>
      </c>
      <c r="G2259">
        <v>-283.57749999999999</v>
      </c>
      <c r="H2259" s="1">
        <v>-5.1798729999999996E-6</v>
      </c>
      <c r="I2259">
        <v>-68.883849999999995</v>
      </c>
      <c r="J2259">
        <v>-300.21140000000003</v>
      </c>
      <c r="K2259">
        <v>1.1173299999999999</v>
      </c>
      <c r="L2259">
        <v>-49.184600000000003</v>
      </c>
      <c r="M2259">
        <v>0.3697202</v>
      </c>
      <c r="N2259">
        <v>0</v>
      </c>
      <c r="O2259">
        <v>-0.92902790000000002</v>
      </c>
      <c r="P2259">
        <v>0.45535509999999901</v>
      </c>
      <c r="Q2259">
        <v>0.1780369</v>
      </c>
      <c r="R2259">
        <v>-0.87232739999999998</v>
      </c>
      <c r="S2259">
        <v>2.0295719999999999</v>
      </c>
      <c r="T2259">
        <v>-0.13441339999999999</v>
      </c>
      <c r="U2259">
        <v>-2.436493</v>
      </c>
      <c r="V2259">
        <v>-0.10696549999999901</v>
      </c>
      <c r="W2259">
        <v>0.1888522</v>
      </c>
      <c r="X2259">
        <v>0.97616250000000004</v>
      </c>
      <c r="Y2259">
        <v>-0.30996770000000001</v>
      </c>
      <c r="Z2259">
        <v>4.1840059999999998E-2</v>
      </c>
      <c r="AA2259">
        <v>0.94982599999999995</v>
      </c>
      <c r="AB2259">
        <v>31</v>
      </c>
      <c r="AC2259">
        <v>16.633900000000001</v>
      </c>
      <c r="AD2259">
        <v>-1.117335179873</v>
      </c>
      <c r="AE2259">
        <v>-19.6992499999999</v>
      </c>
      <c r="AF2259">
        <v>-8.1557044933167706</v>
      </c>
      <c r="AG2259">
        <v>-1.117335179873</v>
      </c>
      <c r="AH2259">
        <v>24.407820561252201</v>
      </c>
      <c r="AI2259">
        <v>92.486108493173205</v>
      </c>
      <c r="AJ2259">
        <v>108.47669456147899</v>
      </c>
      <c r="AK2259">
        <v>25.758603576994901</v>
      </c>
    </row>
    <row r="2260" spans="1:37" x14ac:dyDescent="0.2">
      <c r="A2260" t="str">
        <f>"20200111150639222"</f>
        <v>20200111150639222</v>
      </c>
      <c r="B2260" t="str">
        <f>"1578726399219486"</f>
        <v>1578726399219486</v>
      </c>
      <c r="C2260" t="s">
        <v>37</v>
      </c>
      <c r="D2260">
        <v>5.2128519999999998</v>
      </c>
      <c r="E2260">
        <v>0.40262870000000001</v>
      </c>
      <c r="F2260" t="s">
        <v>85</v>
      </c>
      <c r="G2260">
        <v>-281.81610000000001</v>
      </c>
      <c r="H2260" s="1">
        <v>-5.8603020000000001E-6</v>
      </c>
      <c r="I2260">
        <v>-69.670590000000004</v>
      </c>
      <c r="J2260">
        <v>-300.03500000000003</v>
      </c>
      <c r="K2260">
        <v>1.117361</v>
      </c>
      <c r="L2260">
        <v>-49.56671</v>
      </c>
      <c r="M2260">
        <v>0.39108389999999998</v>
      </c>
      <c r="N2260">
        <v>0</v>
      </c>
      <c r="O2260">
        <v>-0.92023829999999995</v>
      </c>
      <c r="P2260">
        <v>0.47753479999999998</v>
      </c>
      <c r="Q2260">
        <v>0.1787976</v>
      </c>
      <c r="R2260">
        <v>-0.86022809999999905</v>
      </c>
      <c r="S2260">
        <v>2.1186219999999998</v>
      </c>
      <c r="T2260">
        <v>-0.12868550000000001</v>
      </c>
      <c r="U2260">
        <v>-2.3594059999999999</v>
      </c>
      <c r="V2260">
        <v>-0.1095115</v>
      </c>
      <c r="W2260">
        <v>0.18953299999999901</v>
      </c>
      <c r="X2260">
        <v>0.97574810000000001</v>
      </c>
      <c r="Y2260">
        <v>-0.32330690000000001</v>
      </c>
      <c r="Z2260">
        <v>3.9956470000000001E-2</v>
      </c>
      <c r="AA2260">
        <v>0.94545020000000002</v>
      </c>
      <c r="AB2260">
        <v>31</v>
      </c>
      <c r="AC2260">
        <v>18.218900000000001</v>
      </c>
      <c r="AD2260">
        <v>-1.1173668603019999</v>
      </c>
      <c r="AE2260">
        <v>-20.10388</v>
      </c>
      <c r="AF2260">
        <v>-8.8893050110551997</v>
      </c>
      <c r="AG2260">
        <v>-1.1173668603019999</v>
      </c>
      <c r="AH2260">
        <v>25.584837029604099</v>
      </c>
      <c r="AI2260">
        <v>92.362335040195006</v>
      </c>
      <c r="AJ2260">
        <v>109.159490225384</v>
      </c>
      <c r="AK2260">
        <v>27.108156302328499</v>
      </c>
    </row>
    <row r="2261" spans="1:37" x14ac:dyDescent="0.2">
      <c r="A2261" t="str">
        <f>"20200111150639242"</f>
        <v>20200111150639242</v>
      </c>
      <c r="B2261" t="str">
        <f>"1578726399239006"</f>
        <v>1578726399239006</v>
      </c>
      <c r="C2261" t="s">
        <v>37</v>
      </c>
      <c r="D2261">
        <v>5.2108449999999999</v>
      </c>
      <c r="E2261">
        <v>0.40282449999999997</v>
      </c>
      <c r="F2261" t="s">
        <v>85</v>
      </c>
      <c r="G2261">
        <v>-281.5847</v>
      </c>
      <c r="H2261" s="1">
        <v>-6.0585230000000001E-6</v>
      </c>
      <c r="I2261">
        <v>-69.162610000000001</v>
      </c>
      <c r="J2261">
        <v>-299.90769999999998</v>
      </c>
      <c r="K2261">
        <v>1.1173770000000001</v>
      </c>
      <c r="L2261">
        <v>-49.829070000000002</v>
      </c>
      <c r="M2261">
        <v>0.40577750000000001</v>
      </c>
      <c r="N2261">
        <v>0</v>
      </c>
      <c r="O2261">
        <v>-0.91385400000000006</v>
      </c>
      <c r="P2261">
        <v>0.49365720000000002</v>
      </c>
      <c r="Q2261">
        <v>0.178927</v>
      </c>
      <c r="R2261">
        <v>-0.85105090000000005</v>
      </c>
      <c r="S2261">
        <v>2.1733699999999998</v>
      </c>
      <c r="T2261">
        <v>-0.1316214</v>
      </c>
      <c r="U2261">
        <v>-2.308319</v>
      </c>
      <c r="V2261">
        <v>-0.112293</v>
      </c>
      <c r="W2261">
        <v>0.1895714</v>
      </c>
      <c r="X2261">
        <v>0.97542450000000003</v>
      </c>
      <c r="Y2261">
        <v>-0.33043929999999999</v>
      </c>
      <c r="Z2261">
        <v>4.0775779999999998E-2</v>
      </c>
      <c r="AA2261">
        <v>0.94294599999999995</v>
      </c>
      <c r="AB2261">
        <v>31</v>
      </c>
      <c r="AC2261">
        <v>18.322999999999901</v>
      </c>
      <c r="AD2261">
        <v>-1.117383058523</v>
      </c>
      <c r="AE2261">
        <v>-19.333539999999999</v>
      </c>
      <c r="AF2261">
        <v>-8.8847557477102796</v>
      </c>
      <c r="AG2261">
        <v>-1.117383058523</v>
      </c>
      <c r="AH2261">
        <v>25.0616978520973</v>
      </c>
      <c r="AI2261">
        <v>92.406307308940598</v>
      </c>
      <c r="AJ2261">
        <v>109.52019630449701</v>
      </c>
      <c r="AK2261">
        <v>26.613457663854302</v>
      </c>
    </row>
    <row r="2262" spans="1:37" x14ac:dyDescent="0.2">
      <c r="A2262" t="str">
        <f>"20200111150639266"</f>
        <v>20200111150639266</v>
      </c>
      <c r="B2262" t="str">
        <f>"1578726399259502"</f>
        <v>1578726399259502</v>
      </c>
      <c r="C2262" t="s">
        <v>37</v>
      </c>
      <c r="D2262">
        <v>5.2599960000000001</v>
      </c>
      <c r="E2262">
        <v>0.41147609999999901</v>
      </c>
      <c r="F2262" t="s">
        <v>85</v>
      </c>
      <c r="G2262">
        <v>-281.3537</v>
      </c>
      <c r="H2262" s="1">
        <v>-6.2246499999999998E-6</v>
      </c>
      <c r="I2262">
        <v>-68.833780000000004</v>
      </c>
      <c r="J2262">
        <v>-299.76499999999999</v>
      </c>
      <c r="K2262">
        <v>1.117381</v>
      </c>
      <c r="L2262">
        <v>-50.111449999999998</v>
      </c>
      <c r="M2262">
        <v>0.42161149999999997</v>
      </c>
      <c r="N2262">
        <v>0</v>
      </c>
      <c r="O2262">
        <v>-0.90665779999999996</v>
      </c>
      <c r="P2262">
        <v>0.51097939999999997</v>
      </c>
      <c r="Q2262">
        <v>0.17769560000000001</v>
      </c>
      <c r="R2262">
        <v>-0.8410261</v>
      </c>
      <c r="S2262">
        <v>2.214661</v>
      </c>
      <c r="T2262">
        <v>-0.1333744</v>
      </c>
      <c r="U2262">
        <v>-2.2684630000000001</v>
      </c>
      <c r="V2262">
        <v>-0.115161999999999</v>
      </c>
      <c r="W2262">
        <v>0.18824769999999999</v>
      </c>
      <c r="X2262">
        <v>0.97534639999999995</v>
      </c>
      <c r="Y2262">
        <v>-0.33107880000000001</v>
      </c>
      <c r="Z2262">
        <v>4.1137649999999998E-2</v>
      </c>
      <c r="AA2262">
        <v>0.94270599999999904</v>
      </c>
      <c r="AB2262">
        <v>31</v>
      </c>
      <c r="AC2262">
        <v>18.411299999999901</v>
      </c>
      <c r="AD2262">
        <v>-1.1173872246500001</v>
      </c>
      <c r="AE2262">
        <v>-18.722329999999999</v>
      </c>
      <c r="AF2262">
        <v>-8.7842402808187092</v>
      </c>
      <c r="AG2262">
        <v>-1.1173872246500001</v>
      </c>
      <c r="AH2262">
        <v>24.6951086031297</v>
      </c>
      <c r="AI2262">
        <v>92.441077232398996</v>
      </c>
      <c r="AJ2262">
        <v>109.580864341755</v>
      </c>
      <c r="AK2262">
        <v>26.234706410427702</v>
      </c>
    </row>
    <row r="2263" spans="1:37" x14ac:dyDescent="0.2">
      <c r="A2263" t="str">
        <f>"20200111150639302"</f>
        <v>20200111150639302</v>
      </c>
      <c r="B2263" t="str">
        <f>"1578726399299519"</f>
        <v>1578726399299519</v>
      </c>
      <c r="C2263" t="s">
        <v>37</v>
      </c>
      <c r="D2263">
        <v>5.2279819999999999</v>
      </c>
      <c r="E2263">
        <v>0.41404940000000001</v>
      </c>
      <c r="F2263" t="s">
        <v>85</v>
      </c>
      <c r="G2263">
        <v>-287.2244</v>
      </c>
      <c r="H2263" s="1">
        <v>-4.4442520000000003E-6</v>
      </c>
      <c r="I2263">
        <v>-62.996940000000002</v>
      </c>
      <c r="J2263">
        <v>-299.53500000000003</v>
      </c>
      <c r="K2263">
        <v>1.1173679999999999</v>
      </c>
      <c r="L2263">
        <v>-50.541899999999998</v>
      </c>
      <c r="M2263">
        <v>0.44580259999999999</v>
      </c>
      <c r="N2263">
        <v>0</v>
      </c>
      <c r="O2263">
        <v>-0.89501049999999904</v>
      </c>
      <c r="P2263">
        <v>0.53740889999999997</v>
      </c>
      <c r="Q2263">
        <v>0.1738354</v>
      </c>
      <c r="R2263">
        <v>-0.82521089999999997</v>
      </c>
      <c r="S2263">
        <v>2.2070310000000002</v>
      </c>
      <c r="T2263">
        <v>-0.19664979999999899</v>
      </c>
      <c r="U2263">
        <v>-2.2677309999999999</v>
      </c>
      <c r="V2263">
        <v>-0.1194452</v>
      </c>
      <c r="W2263">
        <v>0.18425239999999901</v>
      </c>
      <c r="X2263">
        <v>0.97559419999999897</v>
      </c>
      <c r="Y2263">
        <v>-0.30340820000000002</v>
      </c>
      <c r="Z2263">
        <v>5.9830960000000002E-2</v>
      </c>
      <c r="AA2263">
        <v>0.95098039999999995</v>
      </c>
      <c r="AB2263">
        <v>31</v>
      </c>
      <c r="AC2263">
        <v>12.310600000000001</v>
      </c>
      <c r="AD2263">
        <v>-1.1173724442520001</v>
      </c>
      <c r="AE2263">
        <v>-12.45504</v>
      </c>
      <c r="AF2263">
        <v>-5.4440547994896296</v>
      </c>
      <c r="AG2263">
        <v>-1.1173724442520001</v>
      </c>
      <c r="AH2263">
        <v>16.569830565335501</v>
      </c>
      <c r="AI2263">
        <v>93.665641651825894</v>
      </c>
      <c r="AJ2263">
        <v>108.18805293182299</v>
      </c>
      <c r="AK2263">
        <v>17.477000280452799</v>
      </c>
    </row>
    <row r="2264" spans="1:37" x14ac:dyDescent="0.2">
      <c r="A2264" t="str">
        <f>"20200111150639333"</f>
        <v>20200111150639333</v>
      </c>
      <c r="B2264" t="str">
        <f>"1578726399328799"</f>
        <v>1578726399328799</v>
      </c>
      <c r="C2264" t="s">
        <v>37</v>
      </c>
      <c r="D2264">
        <v>5.2409179999999997</v>
      </c>
      <c r="E2264">
        <v>0.41595670000000001</v>
      </c>
      <c r="F2264" t="s">
        <v>85</v>
      </c>
      <c r="G2264">
        <v>-288.1259</v>
      </c>
      <c r="H2264" s="1">
        <v>-4.2203479999999997E-6</v>
      </c>
      <c r="I2264">
        <v>-61.706060000000001</v>
      </c>
      <c r="J2264">
        <v>-299.32740000000001</v>
      </c>
      <c r="K2264">
        <v>1.1173629999999899</v>
      </c>
      <c r="L2264">
        <v>-50.909149999999997</v>
      </c>
      <c r="M2264">
        <v>0.46647109999999897</v>
      </c>
      <c r="N2264">
        <v>0</v>
      </c>
      <c r="O2264">
        <v>-0.88441399999999903</v>
      </c>
      <c r="P2264">
        <v>0.55780010000000002</v>
      </c>
      <c r="Q2264">
        <v>0.1722987</v>
      </c>
      <c r="R2264">
        <v>-0.81189469999999997</v>
      </c>
      <c r="S2264">
        <v>2.2592469999999998</v>
      </c>
      <c r="T2264">
        <v>-0.22126460000000001</v>
      </c>
      <c r="U2264">
        <v>-2.2107540000000001</v>
      </c>
      <c r="V2264">
        <v>-0.12089129999999999</v>
      </c>
      <c r="W2264">
        <v>0.182675</v>
      </c>
      <c r="X2264">
        <v>0.97571269999999999</v>
      </c>
      <c r="Y2264">
        <v>-0.30412929999999999</v>
      </c>
      <c r="Z2264">
        <v>6.6862610000000003E-2</v>
      </c>
      <c r="AA2264">
        <v>0.95028140000000005</v>
      </c>
      <c r="AB2264">
        <v>31</v>
      </c>
      <c r="AC2264">
        <v>11.201499999999999</v>
      </c>
      <c r="AD2264">
        <v>-1.1173672203479901</v>
      </c>
      <c r="AE2264">
        <v>-10.79691</v>
      </c>
      <c r="AF2264">
        <v>-4.8458489274380101</v>
      </c>
      <c r="AG2264">
        <v>-1.1173672203479901</v>
      </c>
      <c r="AH2264">
        <v>14.699890641306901</v>
      </c>
      <c r="AI2264">
        <v>94.1290531650573</v>
      </c>
      <c r="AJ2264">
        <v>108.244909291653</v>
      </c>
      <c r="AK2264">
        <v>15.5182971423749</v>
      </c>
    </row>
    <row r="2265" spans="1:37" x14ac:dyDescent="0.2">
      <c r="A2265" t="str">
        <f>"20200111150639355"</f>
        <v>20200111150639355</v>
      </c>
      <c r="B2265" t="str">
        <f>"1578726399349294"</f>
        <v>1578726399349294</v>
      </c>
      <c r="C2265" t="s">
        <v>37</v>
      </c>
      <c r="D2265">
        <v>5.2523099999999996</v>
      </c>
      <c r="E2265">
        <v>0.41734379999999999</v>
      </c>
      <c r="F2265" t="s">
        <v>85</v>
      </c>
      <c r="G2265">
        <v>-288.38400000000001</v>
      </c>
      <c r="H2265" s="1">
        <v>-4.180744E-6</v>
      </c>
      <c r="I2265">
        <v>-61.199080000000002</v>
      </c>
      <c r="J2265">
        <v>-299.17669999999998</v>
      </c>
      <c r="K2265">
        <v>1.117356</v>
      </c>
      <c r="L2265">
        <v>-51.162959999999998</v>
      </c>
      <c r="M2265">
        <v>0.48079290000000002</v>
      </c>
      <c r="N2265">
        <v>0</v>
      </c>
      <c r="O2265">
        <v>-0.87671080000000001</v>
      </c>
      <c r="P2265">
        <v>0.57146209999999997</v>
      </c>
      <c r="Q2265">
        <v>0.1709302</v>
      </c>
      <c r="R2265">
        <v>-0.8026297</v>
      </c>
      <c r="S2265">
        <v>2.3012700000000001</v>
      </c>
      <c r="T2265">
        <v>-0.23496889999999901</v>
      </c>
      <c r="U2265">
        <v>-2.1638489999999999</v>
      </c>
      <c r="V2265">
        <v>-0.12135309999999901</v>
      </c>
      <c r="W2265">
        <v>0.18129799999999999</v>
      </c>
      <c r="X2265">
        <v>0.97591219999999901</v>
      </c>
      <c r="Y2265">
        <v>-0.30734250000000002</v>
      </c>
      <c r="Z2265">
        <v>7.0690249999999996E-2</v>
      </c>
      <c r="AA2265">
        <v>0.94896970000000003</v>
      </c>
      <c r="AB2265">
        <v>31</v>
      </c>
      <c r="AC2265">
        <v>10.7926999999999</v>
      </c>
      <c r="AD2265">
        <v>-1.1173601807439999</v>
      </c>
      <c r="AE2265">
        <v>-10.03612</v>
      </c>
      <c r="AF2265">
        <v>-4.6107804784943998</v>
      </c>
      <c r="AG2265">
        <v>-1.1173601807439999</v>
      </c>
      <c r="AH2265">
        <v>13.909391031501899</v>
      </c>
      <c r="AI2265">
        <v>94.360430976791207</v>
      </c>
      <c r="AJ2265">
        <v>108.33968097036301</v>
      </c>
      <c r="AK2265">
        <v>14.6962222785859</v>
      </c>
    </row>
    <row r="2266" spans="1:37" x14ac:dyDescent="0.2">
      <c r="A2266" t="str">
        <f>"20200111150639379"</f>
        <v>20200111150639379</v>
      </c>
      <c r="B2266" t="str">
        <f>"1578726399368814"</f>
        <v>1578726399368814</v>
      </c>
      <c r="C2266" t="s">
        <v>37</v>
      </c>
      <c r="D2266">
        <v>5.2739699999999896</v>
      </c>
      <c r="E2266">
        <v>0.41800169999999998</v>
      </c>
      <c r="F2266" t="s">
        <v>85</v>
      </c>
      <c r="G2266">
        <v>-288.72699999999998</v>
      </c>
      <c r="H2266" s="1">
        <v>-4.0918079999999997E-6</v>
      </c>
      <c r="I2266">
        <v>-60.729039999999998</v>
      </c>
      <c r="J2266">
        <v>-299.00659999999999</v>
      </c>
      <c r="K2266">
        <v>1.1173420000000001</v>
      </c>
      <c r="L2266">
        <v>-51.438420000000001</v>
      </c>
      <c r="M2266">
        <v>0.49635940000000001</v>
      </c>
      <c r="N2266">
        <v>0</v>
      </c>
      <c r="O2266">
        <v>-0.86799249999999994</v>
      </c>
      <c r="P2266">
        <v>0.58577080000000004</v>
      </c>
      <c r="Q2266">
        <v>0.17020199999999999</v>
      </c>
      <c r="R2266">
        <v>-0.792404199999999</v>
      </c>
      <c r="S2266">
        <v>2.329285</v>
      </c>
      <c r="T2266">
        <v>-0.249064799999999</v>
      </c>
      <c r="U2266">
        <v>-2.1323240000000001</v>
      </c>
      <c r="V2266">
        <v>-0.1213471</v>
      </c>
      <c r="W2266">
        <v>0.18057719999999999</v>
      </c>
      <c r="X2266">
        <v>0.97604650000000004</v>
      </c>
      <c r="Y2266">
        <v>-0.30279820000000002</v>
      </c>
      <c r="Z2266">
        <v>7.4344320000000005E-2</v>
      </c>
      <c r="AA2266">
        <v>0.95015059999999996</v>
      </c>
      <c r="AB2266">
        <v>31</v>
      </c>
      <c r="AC2266">
        <v>10.279599999999901</v>
      </c>
      <c r="AD2266">
        <v>-1.117346091808</v>
      </c>
      <c r="AE2266">
        <v>-9.2906200000000005</v>
      </c>
      <c r="AF2266">
        <v>-4.2837389227164904</v>
      </c>
      <c r="AG2266">
        <v>-1.117346091808</v>
      </c>
      <c r="AH2266">
        <v>13.0829124727116</v>
      </c>
      <c r="AI2266">
        <v>94.640233781460296</v>
      </c>
      <c r="AJ2266">
        <v>108.130002682259</v>
      </c>
      <c r="AK2266">
        <v>13.811642922386399</v>
      </c>
    </row>
    <row r="2267" spans="1:37" x14ac:dyDescent="0.2">
      <c r="A2267" t="str">
        <f>"20200111150639404"</f>
        <v>20200111150639404</v>
      </c>
      <c r="B2267" t="str">
        <f>"1578726399399072"</f>
        <v>1578726399399072</v>
      </c>
      <c r="C2267" t="s">
        <v>37</v>
      </c>
      <c r="D2267">
        <v>5.2956310000000002</v>
      </c>
      <c r="E2267">
        <v>0.42025709999999999</v>
      </c>
      <c r="F2267" t="s">
        <v>85</v>
      </c>
      <c r="G2267">
        <v>-288.64240000000001</v>
      </c>
      <c r="H2267" s="1">
        <v>-4.153004E-6</v>
      </c>
      <c r="I2267">
        <v>-60.624559999999903</v>
      </c>
      <c r="J2267">
        <v>-298.82470000000001</v>
      </c>
      <c r="K2267">
        <v>1.117332</v>
      </c>
      <c r="L2267">
        <v>-51.721589999999999</v>
      </c>
      <c r="M2267">
        <v>0.51238170000000005</v>
      </c>
      <c r="N2267">
        <v>0</v>
      </c>
      <c r="O2267">
        <v>-0.858631699999999</v>
      </c>
      <c r="P2267">
        <v>0.60054240000000003</v>
      </c>
      <c r="Q2267">
        <v>0.1698799</v>
      </c>
      <c r="R2267">
        <v>-0.78133850000000005</v>
      </c>
      <c r="S2267">
        <v>2.36267099999999</v>
      </c>
      <c r="T2267">
        <v>-0.25471559999999999</v>
      </c>
      <c r="U2267">
        <v>-2.0941160000000001</v>
      </c>
      <c r="V2267">
        <v>-0.121508399999999</v>
      </c>
      <c r="W2267">
        <v>0.18025539999999901</v>
      </c>
      <c r="X2267">
        <v>0.97608589999999995</v>
      </c>
      <c r="Y2267">
        <v>-0.30029629999999902</v>
      </c>
      <c r="Z2267">
        <v>7.5433840000000002E-2</v>
      </c>
      <c r="AA2267">
        <v>0.95085849999999905</v>
      </c>
      <c r="AB2267">
        <v>31</v>
      </c>
      <c r="AC2267">
        <v>10.1822999999999</v>
      </c>
      <c r="AD2267">
        <v>-1.117336153004</v>
      </c>
      <c r="AE2267">
        <v>-8.9029699999999892</v>
      </c>
      <c r="AF2267">
        <v>-4.1532368714836299</v>
      </c>
      <c r="AG2267">
        <v>-1.117336153004</v>
      </c>
      <c r="AH2267">
        <v>12.775804467753799</v>
      </c>
      <c r="AI2267">
        <v>94.754500042602402</v>
      </c>
      <c r="AJ2267">
        <v>108.008625087962</v>
      </c>
      <c r="AK2267">
        <v>13.480318853340901</v>
      </c>
    </row>
    <row r="2268" spans="1:37" x14ac:dyDescent="0.2">
      <c r="A2268" t="str">
        <f>"20200111150639438"</f>
        <v>20200111150639438</v>
      </c>
      <c r="B2268" t="str">
        <f>"1578726399429326"</f>
        <v>1578726399429326</v>
      </c>
      <c r="C2268" t="s">
        <v>37</v>
      </c>
      <c r="D2268">
        <v>5.2214210000000003</v>
      </c>
      <c r="E2268">
        <v>0.43377579999999999</v>
      </c>
      <c r="F2268" t="s">
        <v>85</v>
      </c>
      <c r="G2268">
        <v>-288.8365</v>
      </c>
      <c r="H2268" s="1">
        <v>-1.545582E-6</v>
      </c>
      <c r="I2268">
        <v>-60.344540000000002</v>
      </c>
      <c r="J2268">
        <v>-298.57400000000001</v>
      </c>
      <c r="K2268">
        <v>1.117308</v>
      </c>
      <c r="L2268">
        <v>-52.094180000000001</v>
      </c>
      <c r="M2268">
        <v>0.53349360000000001</v>
      </c>
      <c r="N2268">
        <v>0</v>
      </c>
      <c r="O2268">
        <v>-0.84567579999999998</v>
      </c>
      <c r="P2268">
        <v>0.61916000000000004</v>
      </c>
      <c r="Q2268">
        <v>0.16896659999999999</v>
      </c>
      <c r="R2268">
        <v>-0.76687119999999998</v>
      </c>
      <c r="S2268">
        <v>2.3883669999999899</v>
      </c>
      <c r="T2268">
        <v>-0.267177</v>
      </c>
      <c r="U2268">
        <v>-2.0619200000000002</v>
      </c>
      <c r="V2268">
        <v>-0.120660899999999</v>
      </c>
      <c r="W2268">
        <v>0.17938109999999999</v>
      </c>
      <c r="X2268">
        <v>0.97635209999999995</v>
      </c>
      <c r="Y2268">
        <v>-0.28884660000000001</v>
      </c>
      <c r="Z2268">
        <v>7.8056420000000001E-2</v>
      </c>
      <c r="AA2268">
        <v>0.95418799999999904</v>
      </c>
      <c r="AB2268">
        <v>31</v>
      </c>
      <c r="AC2268">
        <v>9.7375000000000096</v>
      </c>
      <c r="AD2268">
        <v>-1.1173095455819999</v>
      </c>
      <c r="AE2268">
        <v>-8.2503600000000006</v>
      </c>
      <c r="AF2268">
        <v>-3.8045118003235201</v>
      </c>
      <c r="AG2268">
        <v>-1.1173095455819999</v>
      </c>
      <c r="AH2268">
        <v>12.0807569140871</v>
      </c>
      <c r="AI2268">
        <v>95.041333907268196</v>
      </c>
      <c r="AJ2268">
        <v>107.48042919541101</v>
      </c>
      <c r="AK2268">
        <v>12.7148487319634</v>
      </c>
    </row>
    <row r="2269" spans="1:37" x14ac:dyDescent="0.2">
      <c r="A2269" t="str">
        <f>"20200111150639461"</f>
        <v>20200111150639461</v>
      </c>
      <c r="B2269" t="str">
        <f>"1578726399459582"</f>
        <v>1578726399459582</v>
      </c>
      <c r="C2269" t="s">
        <v>37</v>
      </c>
      <c r="D2269">
        <v>5.1610849999999999</v>
      </c>
      <c r="E2269">
        <v>0.43502600000000002</v>
      </c>
      <c r="F2269" t="s">
        <v>85</v>
      </c>
      <c r="G2269">
        <v>-290.13380000000001</v>
      </c>
      <c r="H2269" s="1">
        <v>-9.8193299999999997E-6</v>
      </c>
      <c r="I2269">
        <v>-59.530090000000001</v>
      </c>
      <c r="J2269">
        <v>-298.38049999999998</v>
      </c>
      <c r="K2269">
        <v>1.1173</v>
      </c>
      <c r="L2269">
        <v>-52.36835</v>
      </c>
      <c r="M2269">
        <v>0.54906350000000004</v>
      </c>
      <c r="N2269">
        <v>0</v>
      </c>
      <c r="O2269">
        <v>-0.83565069999999997</v>
      </c>
      <c r="P2269">
        <v>0.63360269999999996</v>
      </c>
      <c r="Q2269">
        <v>0.1681908</v>
      </c>
      <c r="R2269">
        <v>-0.75515549999999998</v>
      </c>
      <c r="S2269">
        <v>2.3577270000000001</v>
      </c>
      <c r="T2269">
        <v>-0.31211630000000001</v>
      </c>
      <c r="U2269">
        <v>-2.0771790000000001</v>
      </c>
      <c r="V2269">
        <v>-0.1209856</v>
      </c>
      <c r="W2269">
        <v>0.17860039999999999</v>
      </c>
      <c r="X2269">
        <v>0.97645499999999996</v>
      </c>
      <c r="Y2269">
        <v>-0.26050709999999999</v>
      </c>
      <c r="Z2269">
        <v>8.9885820000000005E-2</v>
      </c>
      <c r="AA2269">
        <v>0.96127859999999998</v>
      </c>
      <c r="AB2269">
        <v>31</v>
      </c>
      <c r="AC2269">
        <v>8.2466999999999704</v>
      </c>
      <c r="AD2269">
        <v>-1.11730981933</v>
      </c>
      <c r="AE2269">
        <v>-7.16174</v>
      </c>
      <c r="AF2269">
        <v>-2.9287841788490399</v>
      </c>
      <c r="AG2269">
        <v>-1.11730981933</v>
      </c>
      <c r="AH2269">
        <v>10.4049359543477</v>
      </c>
      <c r="AI2269">
        <v>95.901466933825205</v>
      </c>
      <c r="AJ2269">
        <v>105.72086345410101</v>
      </c>
      <c r="AK2269">
        <v>10.8668693841752</v>
      </c>
    </row>
    <row r="2270" spans="1:37" x14ac:dyDescent="0.2">
      <c r="A2270" t="str">
        <f>"20200111150639486"</f>
        <v>20200111150639486</v>
      </c>
      <c r="B2270" t="str">
        <f>"1578726399479102"</f>
        <v>1578726399479102</v>
      </c>
      <c r="C2270" t="s">
        <v>37</v>
      </c>
      <c r="D2270">
        <v>5.2788000000000004</v>
      </c>
      <c r="E2270">
        <v>0.43724669999999999</v>
      </c>
      <c r="F2270" t="s">
        <v>85</v>
      </c>
      <c r="G2270">
        <v>-290.00229999999999</v>
      </c>
      <c r="H2270" s="1">
        <v>-9.8683559999999999E-6</v>
      </c>
      <c r="I2270">
        <v>-59.517940000000003</v>
      </c>
      <c r="J2270">
        <v>-298.17939999999999</v>
      </c>
      <c r="K2270">
        <v>1.117283</v>
      </c>
      <c r="L2270">
        <v>-52.642580000000002</v>
      </c>
      <c r="M2270">
        <v>0.5646542</v>
      </c>
      <c r="N2270">
        <v>0</v>
      </c>
      <c r="O2270">
        <v>-0.82519599999999904</v>
      </c>
      <c r="P2270">
        <v>0.6479163</v>
      </c>
      <c r="Q2270">
        <v>0.16774919999999999</v>
      </c>
      <c r="R2270">
        <v>-0.74301049999999902</v>
      </c>
      <c r="S2270">
        <v>2.389313</v>
      </c>
      <c r="T2270">
        <v>-0.31863750000000002</v>
      </c>
      <c r="U2270">
        <v>-2.0389400000000002</v>
      </c>
      <c r="V2270">
        <v>-0.121237699999999</v>
      </c>
      <c r="W2270">
        <v>0.1781547</v>
      </c>
      <c r="X2270">
        <v>0.97650519999999996</v>
      </c>
      <c r="Y2270">
        <v>-0.25744659999999903</v>
      </c>
      <c r="Z2270">
        <v>9.0847650000000002E-2</v>
      </c>
      <c r="AA2270">
        <v>0.96201239999999999</v>
      </c>
      <c r="AB2270">
        <v>31</v>
      </c>
      <c r="AC2270">
        <v>8.1770999999999905</v>
      </c>
      <c r="AD2270">
        <v>-1.1172928683559999</v>
      </c>
      <c r="AE2270">
        <v>-6.8753599999999997</v>
      </c>
      <c r="AF2270">
        <v>-2.8348151105611201</v>
      </c>
      <c r="AG2270">
        <v>-1.1172928683559999</v>
      </c>
      <c r="AH2270">
        <v>10.180522955477199</v>
      </c>
      <c r="AI2270">
        <v>96.035219601248002</v>
      </c>
      <c r="AJ2270">
        <v>105.56011458384501</v>
      </c>
      <c r="AK2270">
        <v>10.6267383383493</v>
      </c>
    </row>
    <row r="2271" spans="1:37" x14ac:dyDescent="0.2">
      <c r="A2271" t="str">
        <f>"20200111150639509"</f>
        <v>20200111150639509</v>
      </c>
      <c r="B2271" t="str">
        <f>"1578726399499599"</f>
        <v>1578726399499599</v>
      </c>
      <c r="C2271" t="s">
        <v>37</v>
      </c>
      <c r="D2271">
        <v>5.2530859999999997</v>
      </c>
      <c r="E2271">
        <v>0.4401273</v>
      </c>
      <c r="F2271" t="s">
        <v>85</v>
      </c>
      <c r="G2271">
        <v>-285.67419999999998</v>
      </c>
      <c r="H2271" s="1">
        <v>-5.2226569999999999E-6</v>
      </c>
      <c r="I2271">
        <v>-63.006319999999903</v>
      </c>
      <c r="J2271">
        <v>-298.00040000000001</v>
      </c>
      <c r="K2271">
        <v>1.1172660000000001</v>
      </c>
      <c r="L2271">
        <v>-52.877869999999902</v>
      </c>
      <c r="M2271">
        <v>0.57805059999999997</v>
      </c>
      <c r="N2271">
        <v>0</v>
      </c>
      <c r="O2271">
        <v>-0.81586780000000003</v>
      </c>
      <c r="P2271">
        <v>0.66033450000000005</v>
      </c>
      <c r="Q2271">
        <v>0.16647500000000001</v>
      </c>
      <c r="R2271">
        <v>-0.73228700000000002</v>
      </c>
      <c r="S2271">
        <v>2.402466</v>
      </c>
      <c r="T2271">
        <v>-0.21465109999999901</v>
      </c>
      <c r="U2271">
        <v>-1.991058</v>
      </c>
      <c r="V2271">
        <v>-0.1215232</v>
      </c>
      <c r="W2271">
        <v>0.1768769</v>
      </c>
      <c r="X2271">
        <v>0.97670190000000001</v>
      </c>
      <c r="Y2271">
        <v>-0.25760850000000002</v>
      </c>
      <c r="Z2271">
        <v>6.122739E-2</v>
      </c>
      <c r="AA2271">
        <v>0.96430749999999998</v>
      </c>
      <c r="AB2271">
        <v>31</v>
      </c>
      <c r="AC2271">
        <v>12.3262</v>
      </c>
      <c r="AD2271">
        <v>-1.1172712226570001</v>
      </c>
      <c r="AE2271">
        <v>-10.128450000000001</v>
      </c>
      <c r="AF2271">
        <v>-4.1817402280271496</v>
      </c>
      <c r="AG2271">
        <v>-1.1172712226570001</v>
      </c>
      <c r="AH2271">
        <v>15.315201987737201</v>
      </c>
      <c r="AI2271">
        <v>94.025585251757605</v>
      </c>
      <c r="AJ2271">
        <v>105.272064598878</v>
      </c>
      <c r="AK2271">
        <v>15.915107861553</v>
      </c>
    </row>
    <row r="2272" spans="1:37" x14ac:dyDescent="0.2">
      <c r="A2272" t="str">
        <f>"20200111150639533"</f>
        <v>20200111150639533</v>
      </c>
      <c r="B2272" t="str">
        <f>"1578726399528879"</f>
        <v>1578726399528879</v>
      </c>
      <c r="C2272" t="s">
        <v>37</v>
      </c>
      <c r="D2272">
        <v>5.2587390000000003</v>
      </c>
      <c r="E2272">
        <v>0.44205119999999998</v>
      </c>
      <c r="F2272" t="s">
        <v>85</v>
      </c>
      <c r="G2272">
        <v>-289.82479999999998</v>
      </c>
      <c r="H2272" s="1">
        <v>-1.1400019999999999E-6</v>
      </c>
      <c r="I2272">
        <v>-59.537719999999901</v>
      </c>
      <c r="J2272">
        <v>-297.79689999999999</v>
      </c>
      <c r="K2272">
        <v>1.1172500000000001</v>
      </c>
      <c r="L2272">
        <v>-53.136200000000002</v>
      </c>
      <c r="M2272">
        <v>0.5927751</v>
      </c>
      <c r="N2272">
        <v>0</v>
      </c>
      <c r="O2272">
        <v>-0.80523319999999998</v>
      </c>
      <c r="P2272">
        <v>0.67314609999999997</v>
      </c>
      <c r="Q2272">
        <v>0.16576279999999999</v>
      </c>
      <c r="R2272">
        <v>-0.72069220000000001</v>
      </c>
      <c r="S2272">
        <v>2.4309080000000001</v>
      </c>
      <c r="T2272">
        <v>-0.3322058</v>
      </c>
      <c r="U2272">
        <v>-1.9802249999999999</v>
      </c>
      <c r="V2272">
        <v>-0.12087919999999901</v>
      </c>
      <c r="W2272">
        <v>0.1761926</v>
      </c>
      <c r="X2272">
        <v>0.97690549999999998</v>
      </c>
      <c r="Y2272">
        <v>-0.2458639</v>
      </c>
      <c r="Z2272">
        <v>9.2761969999999999E-2</v>
      </c>
      <c r="AA2272">
        <v>0.96485549999999998</v>
      </c>
      <c r="AB2272">
        <v>31</v>
      </c>
      <c r="AC2272">
        <v>7.97210000000001</v>
      </c>
      <c r="AD2272">
        <v>-1.117251140002</v>
      </c>
      <c r="AE2272">
        <v>-6.4015199999999899</v>
      </c>
      <c r="AF2272">
        <v>-2.5940471904869198</v>
      </c>
      <c r="AG2272">
        <v>-1.117251140002</v>
      </c>
      <c r="AH2272">
        <v>9.7648487277789098</v>
      </c>
      <c r="AI2272">
        <v>96.3101453061158</v>
      </c>
      <c r="AJ2272">
        <v>104.87710288564899</v>
      </c>
      <c r="AK2272">
        <v>10.165116901084501</v>
      </c>
    </row>
    <row r="2273" spans="1:37" x14ac:dyDescent="0.2">
      <c r="A2273" t="str">
        <f>"20200111150639570"</f>
        <v>20200111150639570</v>
      </c>
      <c r="B2273" t="str">
        <f>"1578726399559134"</f>
        <v>1578726399559134</v>
      </c>
      <c r="C2273" t="s">
        <v>37</v>
      </c>
      <c r="D2273">
        <v>5.1087749999999996</v>
      </c>
      <c r="E2273">
        <v>0.44017200000000001</v>
      </c>
      <c r="F2273" t="s">
        <v>85</v>
      </c>
      <c r="G2273">
        <v>-289.637</v>
      </c>
      <c r="H2273" s="1">
        <v>-1.235045E-6</v>
      </c>
      <c r="I2273">
        <v>-59.610369999999897</v>
      </c>
      <c r="J2273">
        <v>-297.47719999999998</v>
      </c>
      <c r="K2273">
        <v>1.1172200000000001</v>
      </c>
      <c r="L2273">
        <v>-53.522640000000003</v>
      </c>
      <c r="M2273">
        <v>0.61486409999999903</v>
      </c>
      <c r="N2273">
        <v>0</v>
      </c>
      <c r="O2273">
        <v>-0.78849550000000002</v>
      </c>
      <c r="P2273">
        <v>0.69225190000000003</v>
      </c>
      <c r="Q2273">
        <v>0.1651763</v>
      </c>
      <c r="R2273">
        <v>-0.70249899999999998</v>
      </c>
      <c r="S2273">
        <v>2.4544679999999999</v>
      </c>
      <c r="T2273">
        <v>-0.33606190000000002</v>
      </c>
      <c r="U2273">
        <v>-1.9473879999999999</v>
      </c>
      <c r="V2273">
        <v>-0.1199165</v>
      </c>
      <c r="W2273">
        <v>0.17564669999999999</v>
      </c>
      <c r="X2273">
        <v>0.97712239999999995</v>
      </c>
      <c r="Y2273">
        <v>-0.23140830000000001</v>
      </c>
      <c r="Z2273">
        <v>9.1911960000000001E-2</v>
      </c>
      <c r="AA2273">
        <v>0.96850530000000001</v>
      </c>
      <c r="AB2273">
        <v>31</v>
      </c>
      <c r="AC2273">
        <v>7.8401999999999799</v>
      </c>
      <c r="AD2273">
        <v>-1.1172212350449999</v>
      </c>
      <c r="AE2273">
        <v>-6.0877299999999899</v>
      </c>
      <c r="AF2273">
        <v>-2.4085880582344799</v>
      </c>
      <c r="AG2273">
        <v>-1.1172212350449999</v>
      </c>
      <c r="AH2273">
        <v>9.5014829043358802</v>
      </c>
      <c r="AI2273">
        <v>96.502439911274095</v>
      </c>
      <c r="AJ2273">
        <v>104.22461201439199</v>
      </c>
      <c r="AK2273">
        <v>9.8654780473980193</v>
      </c>
    </row>
    <row r="2274" spans="1:37" x14ac:dyDescent="0.2">
      <c r="A2274" t="str">
        <f>"20200111150639594"</f>
        <v>20200111150639594</v>
      </c>
      <c r="B2274" t="str">
        <f>"1578726399589392"</f>
        <v>1578726399589392</v>
      </c>
      <c r="C2274" t="s">
        <v>37</v>
      </c>
      <c r="D2274">
        <v>5.0966180000000003</v>
      </c>
      <c r="E2274">
        <v>0.40732770000000001</v>
      </c>
      <c r="F2274" t="s">
        <v>85</v>
      </c>
      <c r="G2274">
        <v>-289.65440000000001</v>
      </c>
      <c r="H2274" s="1">
        <v>-1.284639E-6</v>
      </c>
      <c r="I2274">
        <v>-59.3407699999999</v>
      </c>
      <c r="J2274">
        <v>-297.2731</v>
      </c>
      <c r="K2274">
        <v>1.1172</v>
      </c>
      <c r="L2274">
        <v>-53.75864</v>
      </c>
      <c r="M2274">
        <v>0.62837390000000004</v>
      </c>
      <c r="N2274">
        <v>0</v>
      </c>
      <c r="O2274">
        <v>-0.77777189999999996</v>
      </c>
      <c r="P2274">
        <v>0.70332209999999995</v>
      </c>
      <c r="Q2274">
        <v>0.16397819999999999</v>
      </c>
      <c r="R2274">
        <v>-0.691700599999999</v>
      </c>
      <c r="S2274">
        <v>2.5186160000000002</v>
      </c>
      <c r="T2274">
        <v>-0.35969959999999901</v>
      </c>
      <c r="U2274">
        <v>-1.8731990000000001</v>
      </c>
      <c r="V2274">
        <v>-0.11835319999999901</v>
      </c>
      <c r="W2274">
        <v>0.17450959999999999</v>
      </c>
      <c r="X2274">
        <v>0.97751669999999902</v>
      </c>
      <c r="Y2274">
        <v>-0.2442636</v>
      </c>
      <c r="Z2274">
        <v>9.7584550000000006E-2</v>
      </c>
      <c r="AA2274">
        <v>0.96478629999999999</v>
      </c>
      <c r="AB2274">
        <v>31</v>
      </c>
      <c r="AC2274">
        <v>7.6186999999999898</v>
      </c>
      <c r="AD2274">
        <v>-1.117201284639</v>
      </c>
      <c r="AE2274">
        <v>-5.5821299999999896</v>
      </c>
      <c r="AF2274">
        <v>-2.38484020290828</v>
      </c>
      <c r="AG2274">
        <v>-1.117201284639</v>
      </c>
      <c r="AH2274">
        <v>9.0040244053554606</v>
      </c>
      <c r="AI2274">
        <v>96.8395063468259</v>
      </c>
      <c r="AJ2274">
        <v>104.834935678791</v>
      </c>
      <c r="AK2274">
        <v>9.3812609491498193</v>
      </c>
    </row>
    <row r="2275" spans="1:37" x14ac:dyDescent="0.2">
      <c r="A2275" t="str">
        <f>"20200111150639616"</f>
        <v>20200111150639616</v>
      </c>
      <c r="B2275" t="str">
        <f>"1578726399608909"</f>
        <v>1578726399608909</v>
      </c>
      <c r="C2275" t="s">
        <v>37</v>
      </c>
      <c r="D2275">
        <v>5.0632190000000001</v>
      </c>
      <c r="E2275">
        <v>0.4078251</v>
      </c>
      <c r="F2275" t="s">
        <v>85</v>
      </c>
      <c r="G2275">
        <v>-282.63200000000001</v>
      </c>
      <c r="H2275" s="1">
        <v>-6.5865880000000003E-6</v>
      </c>
      <c r="I2275">
        <v>-62.535179999999997</v>
      </c>
      <c r="J2275">
        <v>-297.06889999999999</v>
      </c>
      <c r="K2275">
        <v>1.117197</v>
      </c>
      <c r="L2275">
        <v>-53.986150000000002</v>
      </c>
      <c r="M2275">
        <v>0.64142809999999995</v>
      </c>
      <c r="N2275">
        <v>0</v>
      </c>
      <c r="O2275">
        <v>-0.76704150000000004</v>
      </c>
      <c r="P2275">
        <v>0.71305410000000002</v>
      </c>
      <c r="Q2275">
        <v>0.16418289999999999</v>
      </c>
      <c r="R2275">
        <v>-0.68161419999999995</v>
      </c>
      <c r="S2275">
        <v>2.7138369999999998</v>
      </c>
      <c r="T2275">
        <v>-0.20708299999999999</v>
      </c>
      <c r="U2275">
        <v>-1.6268009999999999</v>
      </c>
      <c r="V2275">
        <v>-0.115714</v>
      </c>
      <c r="W2275">
        <v>0.17480960000000001</v>
      </c>
      <c r="X2275">
        <v>0.97777899999999995</v>
      </c>
      <c r="Y2275">
        <v>-0.32635959999999897</v>
      </c>
      <c r="Z2275">
        <v>5.7161429999999999E-2</v>
      </c>
      <c r="AA2275">
        <v>0.94351580000000002</v>
      </c>
      <c r="AB2275">
        <v>31</v>
      </c>
      <c r="AC2275">
        <v>14.4368999999999</v>
      </c>
      <c r="AD2275">
        <v>-1.1172035865879999</v>
      </c>
      <c r="AE2275">
        <v>-8.5490300000000001</v>
      </c>
      <c r="AF2275">
        <v>-5.5660424904074599</v>
      </c>
      <c r="AG2275">
        <v>-1.1172035865879999</v>
      </c>
      <c r="AH2275">
        <v>15.7495835847664</v>
      </c>
      <c r="AI2275">
        <v>93.826335403327803</v>
      </c>
      <c r="AJ2275">
        <v>109.463859774019</v>
      </c>
      <c r="AK2275">
        <v>16.741515939497599</v>
      </c>
    </row>
    <row r="2276" spans="1:37" x14ac:dyDescent="0.2">
      <c r="A2276" t="str">
        <f>"20200111150639638"</f>
        <v>20200111150639638</v>
      </c>
      <c r="B2276" t="str">
        <f>"1578726399629406"</f>
        <v>1578726399629406</v>
      </c>
      <c r="C2276" t="s">
        <v>37</v>
      </c>
      <c r="D2276">
        <v>5.0513629999999896</v>
      </c>
      <c r="E2276">
        <v>0.40753869999999998</v>
      </c>
      <c r="F2276" t="s">
        <v>85</v>
      </c>
      <c r="G2276">
        <v>-282.37220000000002</v>
      </c>
      <c r="H2276" s="1">
        <v>-6.67398299999999E-6</v>
      </c>
      <c r="I2276">
        <v>-62.531500000000001</v>
      </c>
      <c r="J2276">
        <v>-296.87020000000001</v>
      </c>
      <c r="K2276">
        <v>1.1171869999999999</v>
      </c>
      <c r="L2276">
        <v>-54.200499999999998</v>
      </c>
      <c r="M2276">
        <v>0.65374480000000001</v>
      </c>
      <c r="N2276">
        <v>0</v>
      </c>
      <c r="O2276">
        <v>-0.75657180000000002</v>
      </c>
      <c r="P2276">
        <v>0.72251160000000003</v>
      </c>
      <c r="Q2276">
        <v>0.16488549999999999</v>
      </c>
      <c r="R2276">
        <v>-0.67140940000000005</v>
      </c>
      <c r="S2276">
        <v>2.734985</v>
      </c>
      <c r="T2276">
        <v>-0.20790520000000001</v>
      </c>
      <c r="U2276">
        <v>-1.5902399999999901</v>
      </c>
      <c r="V2276">
        <v>-0.1136995</v>
      </c>
      <c r="W2276">
        <v>0.17558379999999901</v>
      </c>
      <c r="X2276">
        <v>0.97787669999999904</v>
      </c>
      <c r="Y2276">
        <v>-0.32368219999999998</v>
      </c>
      <c r="Z2276">
        <v>5.678159E-2</v>
      </c>
      <c r="AA2276">
        <v>0.94446049999999904</v>
      </c>
      <c r="AB2276">
        <v>31</v>
      </c>
      <c r="AC2276">
        <v>14.4979999999999</v>
      </c>
      <c r="AD2276">
        <v>-1.117193673983</v>
      </c>
      <c r="AE2276">
        <v>-8.3309999999999995</v>
      </c>
      <c r="AF2276">
        <v>-5.49848369340621</v>
      </c>
      <c r="AG2276">
        <v>-1.117193673983</v>
      </c>
      <c r="AH2276">
        <v>15.7125623165068</v>
      </c>
      <c r="AI2276">
        <v>93.839441357369594</v>
      </c>
      <c r="AJ2276">
        <v>109.287079859957</v>
      </c>
      <c r="AK2276">
        <v>16.6843057746479</v>
      </c>
    </row>
    <row r="2277" spans="1:37" x14ac:dyDescent="0.2">
      <c r="A2277" t="str">
        <f>"20200111150639660"</f>
        <v>20200111150639660</v>
      </c>
      <c r="B2277" t="str">
        <f>"1578726399648927"</f>
        <v>1578726399648927</v>
      </c>
      <c r="C2277" t="s">
        <v>37</v>
      </c>
      <c r="D2277">
        <v>5.0255989999999997</v>
      </c>
      <c r="E2277">
        <v>0.40711779999999997</v>
      </c>
      <c r="F2277" t="s">
        <v>85</v>
      </c>
      <c r="G2277">
        <v>-281.66329999999999</v>
      </c>
      <c r="H2277" s="1">
        <v>-6.887151E-6</v>
      </c>
      <c r="I2277">
        <v>-62.745840000000001</v>
      </c>
      <c r="J2277">
        <v>-296.661</v>
      </c>
      <c r="K2277">
        <v>1.1171739999999999</v>
      </c>
      <c r="L2277">
        <v>-54.418849999999999</v>
      </c>
      <c r="M2277">
        <v>0.66631149999999995</v>
      </c>
      <c r="N2277">
        <v>0</v>
      </c>
      <c r="O2277">
        <v>-0.74552810000000003</v>
      </c>
      <c r="P2277">
        <v>0.73255519999999996</v>
      </c>
      <c r="Q2277">
        <v>0.1635974</v>
      </c>
      <c r="R2277">
        <v>-0.66075660000000003</v>
      </c>
      <c r="S2277">
        <v>2.7581790000000002</v>
      </c>
      <c r="T2277">
        <v>-0.20263310000000001</v>
      </c>
      <c r="U2277">
        <v>-1.5499270000000001</v>
      </c>
      <c r="V2277">
        <v>-0.111821399999999</v>
      </c>
      <c r="W2277">
        <v>0.17436689999999999</v>
      </c>
      <c r="X2277">
        <v>0.97831089999999998</v>
      </c>
      <c r="Y2277">
        <v>-0.32185069999999999</v>
      </c>
      <c r="Z2277">
        <v>5.4729729999999997E-2</v>
      </c>
      <c r="AA2277">
        <v>0.94520729999999997</v>
      </c>
      <c r="AB2277">
        <v>31</v>
      </c>
      <c r="AC2277">
        <v>14.9977</v>
      </c>
      <c r="AD2277">
        <v>-1.1171808871509901</v>
      </c>
      <c r="AE2277">
        <v>-8.3269900000000003</v>
      </c>
      <c r="AF2277">
        <v>-5.6096560281994003</v>
      </c>
      <c r="AG2277">
        <v>-1.1171808871509901</v>
      </c>
      <c r="AH2277">
        <v>16.134470307119901</v>
      </c>
      <c r="AI2277">
        <v>93.741909892928007</v>
      </c>
      <c r="AJ2277">
        <v>109.171614987393</v>
      </c>
      <c r="AK2277">
        <v>17.118337126621299</v>
      </c>
    </row>
    <row r="2278" spans="1:37" x14ac:dyDescent="0.2">
      <c r="A2278" t="str">
        <f>"20200111150639682"</f>
        <v>20200111150639682</v>
      </c>
      <c r="B2278" t="str">
        <f>"1578726399679182"</f>
        <v>1578726399679182</v>
      </c>
      <c r="C2278" t="s">
        <v>37</v>
      </c>
      <c r="D2278">
        <v>4.9694039999999999</v>
      </c>
      <c r="E2278">
        <v>0.40742509999999998</v>
      </c>
      <c r="F2278" t="s">
        <v>85</v>
      </c>
      <c r="G2278">
        <v>-281.28559999999999</v>
      </c>
      <c r="H2278" s="1">
        <v>-7.014573E-6</v>
      </c>
      <c r="I2278">
        <v>-62.737259999999999</v>
      </c>
      <c r="J2278">
        <v>-296.45530000000002</v>
      </c>
      <c r="K2278">
        <v>1.1171549999999999</v>
      </c>
      <c r="L2278">
        <v>-54.626709999999903</v>
      </c>
      <c r="M2278">
        <v>0.67828929999999998</v>
      </c>
      <c r="N2278">
        <v>0</v>
      </c>
      <c r="O2278">
        <v>-0.7346473</v>
      </c>
      <c r="P2278">
        <v>0.74254140000000002</v>
      </c>
      <c r="Q2278">
        <v>0.1622054</v>
      </c>
      <c r="R2278">
        <v>-0.64986299999999997</v>
      </c>
      <c r="S2278">
        <v>2.7825319999999998</v>
      </c>
      <c r="T2278">
        <v>-0.2021791</v>
      </c>
      <c r="U2278">
        <v>-1.5054019999999999</v>
      </c>
      <c r="V2278">
        <v>-0.11061029999999999</v>
      </c>
      <c r="W2278">
        <v>0.17302200000000001</v>
      </c>
      <c r="X2278">
        <v>0.97868729999999904</v>
      </c>
      <c r="Y2278">
        <v>-0.3217199</v>
      </c>
      <c r="Z2278">
        <v>5.4040320000000003E-2</v>
      </c>
      <c r="AA2278">
        <v>0.94529149999999995</v>
      </c>
      <c r="AB2278">
        <v>31</v>
      </c>
      <c r="AC2278">
        <v>15.169700000000001</v>
      </c>
      <c r="AD2278">
        <v>-1.1171620145729999</v>
      </c>
      <c r="AE2278">
        <v>-8.1105499999999999</v>
      </c>
      <c r="AF2278">
        <v>-5.6199881587804503</v>
      </c>
      <c r="AG2278">
        <v>-1.1171620145729999</v>
      </c>
      <c r="AH2278">
        <v>16.1813520542531</v>
      </c>
      <c r="AI2278">
        <v>93.731461851097606</v>
      </c>
      <c r="AJ2278">
        <v>109.152760684104</v>
      </c>
      <c r="AK2278">
        <v>17.1659101761404</v>
      </c>
    </row>
    <row r="2279" spans="1:37" x14ac:dyDescent="0.2">
      <c r="A2279" t="str">
        <f>"20200111150639704"</f>
        <v>20200111150639704</v>
      </c>
      <c r="B2279" t="str">
        <f>"1578726399698702"</f>
        <v>1578726399698702</v>
      </c>
      <c r="C2279" t="s">
        <v>37</v>
      </c>
      <c r="D2279">
        <v>4.9024369999999999</v>
      </c>
      <c r="E2279">
        <v>0.40777609999999997</v>
      </c>
      <c r="F2279" t="s">
        <v>85</v>
      </c>
      <c r="G2279">
        <v>-281.23430000000002</v>
      </c>
      <c r="H2279" s="1">
        <v>-7.0495619999999996E-6</v>
      </c>
      <c r="I2279">
        <v>-62.578899999999997</v>
      </c>
      <c r="J2279">
        <v>-296.23759999999999</v>
      </c>
      <c r="K2279">
        <v>1.1171389999999899</v>
      </c>
      <c r="L2279">
        <v>-54.839509999999997</v>
      </c>
      <c r="M2279">
        <v>0.6905715</v>
      </c>
      <c r="N2279">
        <v>0</v>
      </c>
      <c r="O2279">
        <v>-0.72311409999999998</v>
      </c>
      <c r="P2279">
        <v>0.75322869999999997</v>
      </c>
      <c r="Q2279">
        <v>0.1618367</v>
      </c>
      <c r="R2279">
        <v>-0.63753879999999996</v>
      </c>
      <c r="S2279">
        <v>2.8033450000000002</v>
      </c>
      <c r="T2279">
        <v>-0.2057542</v>
      </c>
      <c r="U2279">
        <v>-1.4645999999999999</v>
      </c>
      <c r="V2279">
        <v>-0.110286</v>
      </c>
      <c r="W2279">
        <v>0.17266599999999999</v>
      </c>
      <c r="X2279">
        <v>0.97878670000000001</v>
      </c>
      <c r="Y2279">
        <v>-0.31941550000000002</v>
      </c>
      <c r="Z2279">
        <v>5.4334130000000001E-2</v>
      </c>
      <c r="AA2279">
        <v>0.9460558</v>
      </c>
      <c r="AB2279">
        <v>31</v>
      </c>
      <c r="AC2279">
        <v>15.0032999999999</v>
      </c>
      <c r="AD2279">
        <v>-1.11714604956199</v>
      </c>
      <c r="AE2279">
        <v>-7.7393899999999896</v>
      </c>
      <c r="AF2279">
        <v>-5.48109101330191</v>
      </c>
      <c r="AG2279">
        <v>-1.11714604956199</v>
      </c>
      <c r="AH2279">
        <v>15.889464412338</v>
      </c>
      <c r="AI2279">
        <v>93.802521531924995</v>
      </c>
      <c r="AJ2279">
        <v>109.031939540111</v>
      </c>
      <c r="AK2279">
        <v>16.8453392160296</v>
      </c>
    </row>
    <row r="2280" spans="1:37" x14ac:dyDescent="0.2">
      <c r="A2280" t="str">
        <f>"20200111150639727"</f>
        <v>20200111150639727</v>
      </c>
      <c r="B2280" t="str">
        <f>"1578726399719199"</f>
        <v>1578726399719199</v>
      </c>
      <c r="C2280" t="s">
        <v>37</v>
      </c>
      <c r="D2280">
        <v>4.9084599999999998</v>
      </c>
      <c r="E2280">
        <v>0.40839379999999997</v>
      </c>
      <c r="F2280" t="s">
        <v>85</v>
      </c>
      <c r="G2280">
        <v>-280.93029999999999</v>
      </c>
      <c r="H2280" s="1">
        <v>-7.15662799999999E-6</v>
      </c>
      <c r="I2280">
        <v>-62.531599999999997</v>
      </c>
      <c r="J2280">
        <v>-296.01220000000001</v>
      </c>
      <c r="K2280">
        <v>1.1171199999999999</v>
      </c>
      <c r="L2280">
        <v>-55.052549999999997</v>
      </c>
      <c r="M2280">
        <v>0.70288649999999997</v>
      </c>
      <c r="N2280">
        <v>0</v>
      </c>
      <c r="O2280">
        <v>-0.71114949999999999</v>
      </c>
      <c r="P2280">
        <v>0.76427559999999894</v>
      </c>
      <c r="Q2280">
        <v>0.16139909999999999</v>
      </c>
      <c r="R2280">
        <v>-0.62436650000000005</v>
      </c>
      <c r="S2280">
        <v>2.8254090000000001</v>
      </c>
      <c r="T2280">
        <v>-0.20620179999999999</v>
      </c>
      <c r="U2280">
        <v>-1.4198</v>
      </c>
      <c r="V2280">
        <v>-0.1105173</v>
      </c>
      <c r="W2280">
        <v>0.17222309999999999</v>
      </c>
      <c r="X2280">
        <v>0.97883869999999895</v>
      </c>
      <c r="Y2280">
        <v>-0.31809890000000002</v>
      </c>
      <c r="Z2280">
        <v>5.3786380000000002E-2</v>
      </c>
      <c r="AA2280">
        <v>0.9465306</v>
      </c>
      <c r="AB2280">
        <v>31</v>
      </c>
      <c r="AC2280">
        <v>15.081899999999999</v>
      </c>
      <c r="AD2280">
        <v>-1.1171271566280001</v>
      </c>
      <c r="AE2280">
        <v>-7.47905</v>
      </c>
      <c r="AF2280">
        <v>-5.4451774289867103</v>
      </c>
      <c r="AG2280">
        <v>-1.1171271566280001</v>
      </c>
      <c r="AH2280">
        <v>15.8515104477565</v>
      </c>
      <c r="AI2280">
        <v>93.813219220822901</v>
      </c>
      <c r="AJ2280">
        <v>108.958190143837</v>
      </c>
      <c r="AK2280">
        <v>16.797866346430901</v>
      </c>
    </row>
    <row r="2281" spans="1:37" x14ac:dyDescent="0.2">
      <c r="A2281" t="str">
        <f>"20200111150639749"</f>
        <v>20200111150639749</v>
      </c>
      <c r="B2281" t="str">
        <f>"1578726399738718"</f>
        <v>1578726399738718</v>
      </c>
      <c r="C2281" t="s">
        <v>37</v>
      </c>
      <c r="D2281">
        <v>4.8958139999999997</v>
      </c>
      <c r="E2281">
        <v>0.40873899999999902</v>
      </c>
      <c r="F2281" t="s">
        <v>85</v>
      </c>
      <c r="G2281">
        <v>-280.86470000000003</v>
      </c>
      <c r="H2281" s="1">
        <v>-7.1974209999999998E-6</v>
      </c>
      <c r="I2281">
        <v>-62.363990000000001</v>
      </c>
      <c r="J2281">
        <v>-295.80149999999998</v>
      </c>
      <c r="K2281">
        <v>1.117103</v>
      </c>
      <c r="L2281">
        <v>-55.245269999999998</v>
      </c>
      <c r="M2281">
        <v>0.71404669999999903</v>
      </c>
      <c r="N2281">
        <v>0</v>
      </c>
      <c r="O2281">
        <v>-0.69994339999999999</v>
      </c>
      <c r="P2281">
        <v>0.77430149999999998</v>
      </c>
      <c r="Q2281">
        <v>0.16097839999999999</v>
      </c>
      <c r="R2281">
        <v>-0.61199989999999904</v>
      </c>
      <c r="S2281">
        <v>2.8470149999999999</v>
      </c>
      <c r="T2281">
        <v>-0.2099676</v>
      </c>
      <c r="U2281">
        <v>-1.374207</v>
      </c>
      <c r="V2281">
        <v>-0.110812799999999</v>
      </c>
      <c r="W2281">
        <v>0.17179369999999999</v>
      </c>
      <c r="X2281">
        <v>0.97888069999999905</v>
      </c>
      <c r="Y2281">
        <v>-0.31816459999999902</v>
      </c>
      <c r="Z2281">
        <v>5.4159239999999997E-2</v>
      </c>
      <c r="AA2281">
        <v>0.94648719999999997</v>
      </c>
      <c r="AB2281">
        <v>31</v>
      </c>
      <c r="AC2281">
        <v>14.9367999999999</v>
      </c>
      <c r="AD2281">
        <v>-1.117110197421</v>
      </c>
      <c r="AE2281">
        <v>-7.1187199999999997</v>
      </c>
      <c r="AF2281">
        <v>-5.3480209666965601</v>
      </c>
      <c r="AG2281">
        <v>-1.117110197421</v>
      </c>
      <c r="AH2281">
        <v>15.5789579736312</v>
      </c>
      <c r="AI2281">
        <v>93.879939771048598</v>
      </c>
      <c r="AJ2281">
        <v>108.94657203126999</v>
      </c>
      <c r="AK2281">
        <v>16.5091851706126</v>
      </c>
    </row>
    <row r="2282" spans="1:37" x14ac:dyDescent="0.2">
      <c r="A2282" t="str">
        <f>"20200111150639771"</f>
        <v>20200111150639771</v>
      </c>
      <c r="B2282" t="str">
        <f>"1578726399768974"</f>
        <v>1578726399768974</v>
      </c>
      <c r="C2282" t="s">
        <v>37</v>
      </c>
      <c r="D2282">
        <v>4.7950889999999999</v>
      </c>
      <c r="E2282">
        <v>0.40950629999999999</v>
      </c>
      <c r="F2282" t="s">
        <v>85</v>
      </c>
      <c r="G2282">
        <v>-280.75040000000001</v>
      </c>
      <c r="H2282" s="1">
        <v>-7.2508759999999997E-6</v>
      </c>
      <c r="I2282">
        <v>-62.228990000000003</v>
      </c>
      <c r="J2282">
        <v>-295.57159999999999</v>
      </c>
      <c r="K2282">
        <v>1.117089</v>
      </c>
      <c r="L2282">
        <v>-55.44876</v>
      </c>
      <c r="M2282">
        <v>0.72584539999999997</v>
      </c>
      <c r="N2282">
        <v>0</v>
      </c>
      <c r="O2282">
        <v>-0.68770019999999998</v>
      </c>
      <c r="P2282">
        <v>0.78424669999999996</v>
      </c>
      <c r="Q2282">
        <v>0.16068160000000001</v>
      </c>
      <c r="R2282">
        <v>-0.59928199999999998</v>
      </c>
      <c r="S2282">
        <v>2.8671880000000001</v>
      </c>
      <c r="T2282">
        <v>-0.2128072</v>
      </c>
      <c r="U2282">
        <v>-1.3303830000000001</v>
      </c>
      <c r="V2282">
        <v>-0.1101678</v>
      </c>
      <c r="W2282">
        <v>0.171520799999999</v>
      </c>
      <c r="X2282">
        <v>0.97900129999999996</v>
      </c>
      <c r="Y2282">
        <v>-0.31646679999999999</v>
      </c>
      <c r="Z2282">
        <v>5.4161029999999999E-2</v>
      </c>
      <c r="AA2282">
        <v>0.94705620000000001</v>
      </c>
      <c r="AB2282">
        <v>31</v>
      </c>
      <c r="AC2282">
        <v>14.8211999999999</v>
      </c>
      <c r="AD2282">
        <v>-1.1170962508759901</v>
      </c>
      <c r="AE2282">
        <v>-6.7802300000000004</v>
      </c>
      <c r="AF2282">
        <v>-5.2470658434522699</v>
      </c>
      <c r="AG2282">
        <v>-1.1170962508759901</v>
      </c>
      <c r="AH2282">
        <v>15.350226633947599</v>
      </c>
      <c r="AI2282">
        <v>93.939283778209898</v>
      </c>
      <c r="AJ2282">
        <v>108.87162587797999</v>
      </c>
      <c r="AK2282">
        <v>16.260659940875701</v>
      </c>
    </row>
    <row r="2283" spans="1:37" x14ac:dyDescent="0.2">
      <c r="A2283" t="str">
        <f>"20200111150639795"</f>
        <v>20200111150639795</v>
      </c>
      <c r="B2283" t="str">
        <f>"1578726399789470"</f>
        <v>1578726399789470</v>
      </c>
      <c r="C2283" t="s">
        <v>37</v>
      </c>
      <c r="D2283">
        <v>4.828036</v>
      </c>
      <c r="E2283">
        <v>0.41594340000000002</v>
      </c>
      <c r="F2283" t="s">
        <v>85</v>
      </c>
      <c r="G2283">
        <v>-280.64260000000002</v>
      </c>
      <c r="H2283" s="1">
        <v>-7.2999369999999997E-6</v>
      </c>
      <c r="I2283">
        <v>-62.113630000000001</v>
      </c>
      <c r="J2283">
        <v>-295.34179999999998</v>
      </c>
      <c r="K2283">
        <v>1.117076</v>
      </c>
      <c r="L2283">
        <v>-55.644930000000002</v>
      </c>
      <c r="M2283">
        <v>0.73725830000000003</v>
      </c>
      <c r="N2283">
        <v>0</v>
      </c>
      <c r="O2283">
        <v>-0.67545059999999901</v>
      </c>
      <c r="P2283">
        <v>0.79349199999999998</v>
      </c>
      <c r="Q2283">
        <v>0.16030710000000001</v>
      </c>
      <c r="R2283">
        <v>-0.587088099999999</v>
      </c>
      <c r="S2283">
        <v>2.8852540000000002</v>
      </c>
      <c r="T2283">
        <v>-0.2158957</v>
      </c>
      <c r="U2283">
        <v>-1.2880860000000001</v>
      </c>
      <c r="V2283">
        <v>-0.10893940000000001</v>
      </c>
      <c r="W2283">
        <v>0.1711905</v>
      </c>
      <c r="X2283">
        <v>0.97919659999999997</v>
      </c>
      <c r="Y2283">
        <v>-0.3143379</v>
      </c>
      <c r="Z2283">
        <v>5.4197210000000003E-2</v>
      </c>
      <c r="AA2283">
        <v>0.94776280000000002</v>
      </c>
      <c r="AB2283">
        <v>31</v>
      </c>
      <c r="AC2283">
        <v>14.6991999999999</v>
      </c>
      <c r="AD2283">
        <v>-1.117083299937</v>
      </c>
      <c r="AE2283">
        <v>-6.4687000000000001</v>
      </c>
      <c r="AF2283">
        <v>-5.1351936451398297</v>
      </c>
      <c r="AG2283">
        <v>-1.117083299937</v>
      </c>
      <c r="AH2283">
        <v>15.1348139524681</v>
      </c>
      <c r="AI2283">
        <v>93.998196378775503</v>
      </c>
      <c r="AJ2283">
        <v>108.741909028946</v>
      </c>
      <c r="AK2283">
        <v>16.021257199355599</v>
      </c>
    </row>
    <row r="2284" spans="1:37" x14ac:dyDescent="0.2">
      <c r="A2284" t="str">
        <f>"20200111150639816"</f>
        <v>20200111150639816</v>
      </c>
      <c r="B2284" t="str">
        <f>"1578726399808991"</f>
        <v>1578726399808991</v>
      </c>
      <c r="C2284" t="s">
        <v>37</v>
      </c>
      <c r="D2284">
        <v>4.7940879999999897</v>
      </c>
      <c r="E2284">
        <v>0.41674870000000003</v>
      </c>
      <c r="F2284" t="s">
        <v>85</v>
      </c>
      <c r="G2284">
        <v>-281.86849999999998</v>
      </c>
      <c r="H2284" s="1">
        <v>-6.9399210000000002E-6</v>
      </c>
      <c r="I2284">
        <v>-61.666109999999897</v>
      </c>
      <c r="J2284">
        <v>-295.10669999999999</v>
      </c>
      <c r="K2284">
        <v>1.1170659999999999</v>
      </c>
      <c r="L2284">
        <v>-55.838749999999997</v>
      </c>
      <c r="M2284">
        <v>0.74856009999999995</v>
      </c>
      <c r="N2284">
        <v>0</v>
      </c>
      <c r="O2284">
        <v>-0.66290360000000004</v>
      </c>
      <c r="P2284">
        <v>0.80242760000000002</v>
      </c>
      <c r="Q2284">
        <v>0.15973280000000001</v>
      </c>
      <c r="R2284">
        <v>-0.5749744</v>
      </c>
      <c r="S2284">
        <v>2.8775019999999998</v>
      </c>
      <c r="T2284">
        <v>-0.23857619999999999</v>
      </c>
      <c r="U2284">
        <v>-1.2859499999999999</v>
      </c>
      <c r="V2284">
        <v>-0.107315699999999</v>
      </c>
      <c r="W2284">
        <v>0.17067560000000001</v>
      </c>
      <c r="X2284">
        <v>0.97946580000000005</v>
      </c>
      <c r="Y2284">
        <v>-0.29752610000000002</v>
      </c>
      <c r="Z2284">
        <v>5.8699399999999999E-2</v>
      </c>
      <c r="AA2284">
        <v>0.95290739999999996</v>
      </c>
      <c r="AB2284">
        <v>31</v>
      </c>
      <c r="AC2284">
        <v>13.238200000000001</v>
      </c>
      <c r="AD2284">
        <v>-1.117072939921</v>
      </c>
      <c r="AE2284">
        <v>-5.8273599999999899</v>
      </c>
      <c r="AF2284">
        <v>-4.3878274658012399</v>
      </c>
      <c r="AG2284">
        <v>-1.117072939921</v>
      </c>
      <c r="AH2284">
        <v>13.6923877666734</v>
      </c>
      <c r="AI2284">
        <v>94.442486805320101</v>
      </c>
      <c r="AJ2284">
        <v>107.768443057014</v>
      </c>
      <c r="AK2284">
        <v>14.4215936905631</v>
      </c>
    </row>
    <row r="2285" spans="1:37" x14ac:dyDescent="0.2">
      <c r="A2285" t="str">
        <f>"20200111150639838"</f>
        <v>20200111150639838</v>
      </c>
      <c r="B2285" t="str">
        <f>"1578726399829487"</f>
        <v>1578726399829487</v>
      </c>
      <c r="C2285" t="s">
        <v>37</v>
      </c>
      <c r="D2285">
        <v>4.733136</v>
      </c>
      <c r="E2285">
        <v>0.41750130000000002</v>
      </c>
      <c r="F2285" t="s">
        <v>85</v>
      </c>
      <c r="G2285">
        <v>-281.8381</v>
      </c>
      <c r="H2285" s="1">
        <v>-6.9620840000000002E-6</v>
      </c>
      <c r="I2285">
        <v>-61.559469999999997</v>
      </c>
      <c r="J2285">
        <v>-294.88490000000002</v>
      </c>
      <c r="K2285">
        <v>1.117054</v>
      </c>
      <c r="L2285">
        <v>-56.015779999999999</v>
      </c>
      <c r="M2285">
        <v>0.75889799999999996</v>
      </c>
      <c r="N2285">
        <v>0</v>
      </c>
      <c r="O2285">
        <v>-0.65104319999999904</v>
      </c>
      <c r="P2285">
        <v>0.81054510000000002</v>
      </c>
      <c r="Q2285">
        <v>0.1606969</v>
      </c>
      <c r="R2285">
        <v>-0.56319919999999901</v>
      </c>
      <c r="S2285">
        <v>2.8932799999999999</v>
      </c>
      <c r="T2285">
        <v>-0.24358399999999999</v>
      </c>
      <c r="U2285">
        <v>-1.2474369999999999</v>
      </c>
      <c r="V2285">
        <v>-0.1061035</v>
      </c>
      <c r="W2285">
        <v>0.171681</v>
      </c>
      <c r="X2285">
        <v>0.97942209999999996</v>
      </c>
      <c r="Y2285">
        <v>-0.29502509999999998</v>
      </c>
      <c r="Z2285">
        <v>5.9075419999999997E-2</v>
      </c>
      <c r="AA2285">
        <v>0.95366149999999905</v>
      </c>
      <c r="AB2285">
        <v>31</v>
      </c>
      <c r="AC2285">
        <v>13.046799999999999</v>
      </c>
      <c r="AD2285">
        <v>-1.117060962084</v>
      </c>
      <c r="AE2285">
        <v>-5.54368999999999</v>
      </c>
      <c r="AF2285">
        <v>-4.2609407993463702</v>
      </c>
      <c r="AG2285">
        <v>-1.117060962084</v>
      </c>
      <c r="AH2285">
        <v>13.428450268923299</v>
      </c>
      <c r="AI2285">
        <v>94.533511111820701</v>
      </c>
      <c r="AJ2285">
        <v>107.604595476336</v>
      </c>
      <c r="AK2285">
        <v>14.1324703542407</v>
      </c>
    </row>
    <row r="2286" spans="1:37" x14ac:dyDescent="0.2">
      <c r="A2286" t="str">
        <f>"20200111150639860"</f>
        <v>20200111150639860</v>
      </c>
      <c r="B2286" t="str">
        <f>"1578726399849006"</f>
        <v>1578726399849006</v>
      </c>
      <c r="C2286" t="s">
        <v>37</v>
      </c>
      <c r="D2286">
        <v>4.7416799999999997</v>
      </c>
      <c r="E2286">
        <v>0.41857240000000001</v>
      </c>
      <c r="F2286" t="s">
        <v>85</v>
      </c>
      <c r="G2286">
        <v>-281.12</v>
      </c>
      <c r="H2286" s="1">
        <v>-7.1820259999999901E-6</v>
      </c>
      <c r="I2286">
        <v>-61.74136</v>
      </c>
      <c r="J2286">
        <v>-294.65030000000002</v>
      </c>
      <c r="K2286">
        <v>1.1170469999999999</v>
      </c>
      <c r="L2286">
        <v>-56.196840000000002</v>
      </c>
      <c r="M2286">
        <v>0.76949109999999998</v>
      </c>
      <c r="N2286">
        <v>0</v>
      </c>
      <c r="O2286">
        <v>-0.638488099999999</v>
      </c>
      <c r="P2286">
        <v>0.81872429999999996</v>
      </c>
      <c r="Q2286">
        <v>0.16177449999999999</v>
      </c>
      <c r="R2286">
        <v>-0.55092649999999999</v>
      </c>
      <c r="S2286">
        <v>2.9076230000000001</v>
      </c>
      <c r="T2286">
        <v>-0.23596199999999901</v>
      </c>
      <c r="U2286">
        <v>-1.2094419999999999</v>
      </c>
      <c r="V2286">
        <v>-0.1046585</v>
      </c>
      <c r="W2286">
        <v>0.172807399999999</v>
      </c>
      <c r="X2286">
        <v>0.97937949999999996</v>
      </c>
      <c r="Y2286">
        <v>-0.2917999</v>
      </c>
      <c r="Z2286">
        <v>5.6345190000000003E-2</v>
      </c>
      <c r="AA2286">
        <v>0.95481830000000001</v>
      </c>
      <c r="AB2286">
        <v>31</v>
      </c>
      <c r="AC2286">
        <v>13.5303</v>
      </c>
      <c r="AD2286">
        <v>-1.1170541820259901</v>
      </c>
      <c r="AE2286">
        <v>-5.5445199999999897</v>
      </c>
      <c r="AF2286">
        <v>-4.3475772315751398</v>
      </c>
      <c r="AG2286">
        <v>-1.1170541820259901</v>
      </c>
      <c r="AH2286">
        <v>13.8721069172108</v>
      </c>
      <c r="AI2286">
        <v>94.393966731649499</v>
      </c>
      <c r="AJ2286">
        <v>107.40121265841699</v>
      </c>
      <c r="AK2286">
        <v>14.580280798140301</v>
      </c>
    </row>
    <row r="2287" spans="1:37" x14ac:dyDescent="0.2">
      <c r="A2287" t="str">
        <f>"20200111150639884"</f>
        <v>20200111150639884</v>
      </c>
      <c r="B2287" t="str">
        <f>"1578726399879262"</f>
        <v>1578726399879262</v>
      </c>
      <c r="C2287" t="s">
        <v>37</v>
      </c>
      <c r="D2287">
        <v>4.7476739999999999</v>
      </c>
      <c r="E2287">
        <v>0.42504779999999998</v>
      </c>
      <c r="F2287" t="s">
        <v>85</v>
      </c>
      <c r="G2287">
        <v>-280.68459999999999</v>
      </c>
      <c r="H2287" s="1">
        <v>-7.3210949999999997E-6</v>
      </c>
      <c r="I2287">
        <v>-61.800699999999999</v>
      </c>
      <c r="J2287">
        <v>-294.40170000000001</v>
      </c>
      <c r="K2287">
        <v>1.1170370000000001</v>
      </c>
      <c r="L2287">
        <v>-56.38223</v>
      </c>
      <c r="M2287">
        <v>0.78036289999999997</v>
      </c>
      <c r="N2287">
        <v>0</v>
      </c>
      <c r="O2287">
        <v>-0.62515410000000005</v>
      </c>
      <c r="P2287">
        <v>0.82758039999999999</v>
      </c>
      <c r="Q2287">
        <v>0.16200020000000001</v>
      </c>
      <c r="R2287">
        <v>-0.53746340000000004</v>
      </c>
      <c r="S2287">
        <v>2.92157</v>
      </c>
      <c r="T2287">
        <v>-0.23368249999999999</v>
      </c>
      <c r="U2287">
        <v>-1.172302</v>
      </c>
      <c r="V2287">
        <v>-0.10379629999999999</v>
      </c>
      <c r="W2287">
        <v>0.17306279999999999</v>
      </c>
      <c r="X2287">
        <v>0.97942609999999997</v>
      </c>
      <c r="Y2287">
        <v>-0.28745310000000002</v>
      </c>
      <c r="Z2287">
        <v>5.4821780000000001E-2</v>
      </c>
      <c r="AA2287">
        <v>0.95622450000000003</v>
      </c>
      <c r="AB2287">
        <v>31</v>
      </c>
      <c r="AC2287">
        <v>13.7171</v>
      </c>
      <c r="AD2287">
        <v>-1.1170443210950001</v>
      </c>
      <c r="AE2287">
        <v>-5.4184699999999903</v>
      </c>
      <c r="AF2287">
        <v>-4.3226016434760997</v>
      </c>
      <c r="AG2287">
        <v>-1.1170443210950001</v>
      </c>
      <c r="AH2287">
        <v>14.012833373478401</v>
      </c>
      <c r="AI2287">
        <v>94.356032347348105</v>
      </c>
      <c r="AJ2287">
        <v>107.143659808411</v>
      </c>
      <c r="AK2287">
        <v>14.7068749956047</v>
      </c>
    </row>
    <row r="2288" spans="1:37" x14ac:dyDescent="0.2">
      <c r="A2288" t="str">
        <f>"20200111150639906"</f>
        <v>20200111150639906</v>
      </c>
      <c r="B2288" t="str">
        <f>"1578726399898782"</f>
        <v>1578726399898782</v>
      </c>
      <c r="C2288" t="s">
        <v>37</v>
      </c>
      <c r="D2288">
        <v>4.7106079999999997</v>
      </c>
      <c r="E2288">
        <v>0.4255892</v>
      </c>
      <c r="F2288" t="s">
        <v>85</v>
      </c>
      <c r="G2288">
        <v>-280.78899999999999</v>
      </c>
      <c r="H2288" s="1">
        <v>-7.2817869999999997E-6</v>
      </c>
      <c r="I2288">
        <v>-61.839329999999997</v>
      </c>
      <c r="J2288">
        <v>-294.15440000000001</v>
      </c>
      <c r="K2288">
        <v>1.117024</v>
      </c>
      <c r="L2288">
        <v>-56.560209999999998</v>
      </c>
      <c r="M2288">
        <v>0.7908174</v>
      </c>
      <c r="N2288">
        <v>0</v>
      </c>
      <c r="O2288">
        <v>-0.61187519999999995</v>
      </c>
      <c r="P2288">
        <v>0.83563419999999899</v>
      </c>
      <c r="Q2288">
        <v>0.16160959999999999</v>
      </c>
      <c r="R2288">
        <v>-0.5249743</v>
      </c>
      <c r="S2288">
        <v>2.91332999999999</v>
      </c>
      <c r="T2288">
        <v>-0.23906579999999999</v>
      </c>
      <c r="U2288">
        <v>-1.1679079999999999</v>
      </c>
      <c r="V2288">
        <v>-0.101975</v>
      </c>
      <c r="W2288">
        <v>0.1727369</v>
      </c>
      <c r="X2288">
        <v>0.97967499999999996</v>
      </c>
      <c r="Y2288">
        <v>-0.27149119999999999</v>
      </c>
      <c r="Z2288">
        <v>5.4843040000000003E-2</v>
      </c>
      <c r="AA2288">
        <v>0.96087710000000004</v>
      </c>
      <c r="AB2288">
        <v>31</v>
      </c>
      <c r="AC2288">
        <v>13.365399999999999</v>
      </c>
      <c r="AD2288">
        <v>-1.1170312817870001</v>
      </c>
      <c r="AE2288">
        <v>-5.2791199999999998</v>
      </c>
      <c r="AF2288">
        <v>-3.9795248226450699</v>
      </c>
      <c r="AG2288">
        <v>-1.1170312817870001</v>
      </c>
      <c r="AH2288">
        <v>13.718357292310699</v>
      </c>
      <c r="AI2288">
        <v>94.471549372435405</v>
      </c>
      <c r="AJ2288">
        <v>106.176786651618</v>
      </c>
      <c r="AK2288">
        <v>14.327515608019199</v>
      </c>
    </row>
    <row r="2289" spans="1:37" x14ac:dyDescent="0.2">
      <c r="A2289" t="str">
        <f>"20200111150639928"</f>
        <v>20200111150639928</v>
      </c>
      <c r="B2289" t="str">
        <f>"1578726399919278"</f>
        <v>1578726399919278</v>
      </c>
      <c r="C2289" t="s">
        <v>37</v>
      </c>
      <c r="D2289">
        <v>4.6838069999999998</v>
      </c>
      <c r="E2289">
        <v>0.426867099999999</v>
      </c>
      <c r="F2289" t="s">
        <v>85</v>
      </c>
      <c r="G2289">
        <v>-280.59870000000001</v>
      </c>
      <c r="H2289" s="1">
        <v>-7.3523239999999997E-6</v>
      </c>
      <c r="I2289">
        <v>-61.778569999999903</v>
      </c>
      <c r="J2289">
        <v>-293.91640000000001</v>
      </c>
      <c r="K2289">
        <v>1.117011</v>
      </c>
      <c r="L2289">
        <v>-56.725559999999902</v>
      </c>
      <c r="M2289">
        <v>0.80055189999999998</v>
      </c>
      <c r="N2289">
        <v>0</v>
      </c>
      <c r="O2289">
        <v>-0.59908300000000003</v>
      </c>
      <c r="P2289">
        <v>0.84360309999999905</v>
      </c>
      <c r="Q2289">
        <v>0.16206609999999999</v>
      </c>
      <c r="R2289">
        <v>-0.5119262</v>
      </c>
      <c r="S2289">
        <v>2.9284970000000001</v>
      </c>
      <c r="T2289">
        <v>-0.24131820000000001</v>
      </c>
      <c r="U2289">
        <v>-1.1273500000000001</v>
      </c>
      <c r="V2289">
        <v>-0.10140539999999899</v>
      </c>
      <c r="W2289">
        <v>0.17321220000000001</v>
      </c>
      <c r="X2289">
        <v>0.97965020000000003</v>
      </c>
      <c r="Y2289">
        <v>-0.2692734</v>
      </c>
      <c r="Z2289">
        <v>5.4420780000000002E-2</v>
      </c>
      <c r="AA2289">
        <v>0.96152499999999996</v>
      </c>
      <c r="AB2289">
        <v>31</v>
      </c>
      <c r="AC2289">
        <v>13.3177</v>
      </c>
      <c r="AD2289">
        <v>-1.117018352324</v>
      </c>
      <c r="AE2289">
        <v>-5.0530099999999996</v>
      </c>
      <c r="AF2289">
        <v>-3.9095935077989199</v>
      </c>
      <c r="AG2289">
        <v>-1.117018352324</v>
      </c>
      <c r="AH2289">
        <v>13.606487202952399</v>
      </c>
      <c r="AI2289">
        <v>94.511407554562297</v>
      </c>
      <c r="AJ2289">
        <v>106.031107827564</v>
      </c>
      <c r="AK2289">
        <v>14.2010262093892</v>
      </c>
    </row>
    <row r="2290" spans="1:37" x14ac:dyDescent="0.2">
      <c r="A2290" t="str">
        <f>"20200111150639950"</f>
        <v>20200111150639950</v>
      </c>
      <c r="B2290" t="str">
        <f>"1578726399938798"</f>
        <v>1578726399938798</v>
      </c>
      <c r="C2290" t="s">
        <v>37</v>
      </c>
      <c r="D2290">
        <v>4.7153339999999897</v>
      </c>
      <c r="E2290">
        <v>0.42771399999999998</v>
      </c>
      <c r="F2290" t="s">
        <v>85</v>
      </c>
      <c r="G2290">
        <v>-280.74650000000003</v>
      </c>
      <c r="H2290" s="1">
        <v>-7.3220129999999899E-6</v>
      </c>
      <c r="I2290">
        <v>-61.608379999999997</v>
      </c>
      <c r="J2290">
        <v>-293.67349999999999</v>
      </c>
      <c r="K2290">
        <v>1.117</v>
      </c>
      <c r="L2290">
        <v>-56.8887</v>
      </c>
      <c r="M2290">
        <v>0.81017790000000001</v>
      </c>
      <c r="N2290">
        <v>0</v>
      </c>
      <c r="O2290">
        <v>-0.58599959999999995</v>
      </c>
      <c r="P2290">
        <v>0.85207169999999899</v>
      </c>
      <c r="Q2290">
        <v>0.16259489999999999</v>
      </c>
      <c r="R2290">
        <v>-0.4975308</v>
      </c>
      <c r="S2290">
        <v>2.9421689999999998</v>
      </c>
      <c r="T2290">
        <v>-0.2495415</v>
      </c>
      <c r="U2290">
        <v>-1.0908199999999999</v>
      </c>
      <c r="V2290">
        <v>-0.1020781</v>
      </c>
      <c r="W2290">
        <v>0.17371700000000001</v>
      </c>
      <c r="X2290">
        <v>0.97949089999999905</v>
      </c>
      <c r="Y2290">
        <v>-0.26547300000000001</v>
      </c>
      <c r="Z2290">
        <v>5.5208550000000002E-2</v>
      </c>
      <c r="AA2290">
        <v>0.96253630000000001</v>
      </c>
      <c r="AB2290">
        <v>31</v>
      </c>
      <c r="AC2290">
        <v>12.9269999999999</v>
      </c>
      <c r="AD2290">
        <v>-1.1170073220129999</v>
      </c>
      <c r="AE2290">
        <v>-4.7196800000000003</v>
      </c>
      <c r="AF2290">
        <v>-3.7272856846386802</v>
      </c>
      <c r="AG2290">
        <v>-1.1170073220129999</v>
      </c>
      <c r="AH2290">
        <v>13.1536719144177</v>
      </c>
      <c r="AI2290">
        <v>94.670859276819797</v>
      </c>
      <c r="AJ2290">
        <v>105.820855094488</v>
      </c>
      <c r="AK2290">
        <v>13.717122466628499</v>
      </c>
    </row>
    <row r="2291" spans="1:37" x14ac:dyDescent="0.2">
      <c r="A2291" t="str">
        <f>"20200111150639973"</f>
        <v>20200111150639973</v>
      </c>
      <c r="B2291" t="str">
        <f>"1578726399969055"</f>
        <v>1578726399969055</v>
      </c>
      <c r="C2291" t="s">
        <v>37</v>
      </c>
      <c r="D2291">
        <v>4.7485900000000001</v>
      </c>
      <c r="E2291">
        <v>0.42788670000000001</v>
      </c>
      <c r="F2291" t="s">
        <v>85</v>
      </c>
      <c r="G2291">
        <v>-280.68540000000002</v>
      </c>
      <c r="H2291" s="1">
        <v>-7.355839E-6</v>
      </c>
      <c r="I2291">
        <v>-61.4893</v>
      </c>
      <c r="J2291">
        <v>-293.41739999999999</v>
      </c>
      <c r="K2291">
        <v>1.116986</v>
      </c>
      <c r="L2291">
        <v>-57.054569999999998</v>
      </c>
      <c r="M2291">
        <v>0.81998579999999999</v>
      </c>
      <c r="N2291">
        <v>0</v>
      </c>
      <c r="O2291">
        <v>-0.57219489999999995</v>
      </c>
      <c r="P2291">
        <v>0.86068999999999996</v>
      </c>
      <c r="Q2291">
        <v>0.16292579999999901</v>
      </c>
      <c r="R2291">
        <v>-0.48235659999999903</v>
      </c>
      <c r="S2291">
        <v>2.957611</v>
      </c>
      <c r="T2291">
        <v>-0.25436259999999999</v>
      </c>
      <c r="U2291">
        <v>-1.0476379999999901</v>
      </c>
      <c r="V2291">
        <v>-0.10281419999999999</v>
      </c>
      <c r="W2291">
        <v>0.17402179999999901</v>
      </c>
      <c r="X2291">
        <v>0.9793598</v>
      </c>
      <c r="Y2291">
        <v>-0.26317069999999998</v>
      </c>
      <c r="Z2291">
        <v>5.5185440000000002E-2</v>
      </c>
      <c r="AA2291">
        <v>0.96316959999999996</v>
      </c>
      <c r="AB2291">
        <v>31</v>
      </c>
      <c r="AC2291">
        <v>12.7319999999999</v>
      </c>
      <c r="AD2291">
        <v>-1.1169933558389999</v>
      </c>
      <c r="AE2291">
        <v>-4.4347300000000001</v>
      </c>
      <c r="AF2291">
        <v>-3.6242873733977001</v>
      </c>
      <c r="AG2291">
        <v>-1.1169933558389999</v>
      </c>
      <c r="AH2291">
        <v>12.8905122425302</v>
      </c>
      <c r="AI2291">
        <v>94.768456463990503</v>
      </c>
      <c r="AJ2291">
        <v>105.703821820108</v>
      </c>
      <c r="AK2291">
        <v>13.4368314344112</v>
      </c>
    </row>
    <row r="2292" spans="1:37" x14ac:dyDescent="0.2">
      <c r="A2292" t="str">
        <f>"20200111150639996"</f>
        <v>20200111150639996</v>
      </c>
      <c r="B2292" t="str">
        <f>"1578726399988574"</f>
        <v>1578726399988574</v>
      </c>
      <c r="C2292" t="s">
        <v>37</v>
      </c>
      <c r="D2292">
        <v>4.7316839999999996</v>
      </c>
      <c r="E2292">
        <v>0.4285098</v>
      </c>
      <c r="F2292" t="s">
        <v>85</v>
      </c>
      <c r="G2292">
        <v>-280.28410000000002</v>
      </c>
      <c r="H2292" s="1">
        <v>-7.4945979999999997E-6</v>
      </c>
      <c r="I2292">
        <v>-61.449909999999903</v>
      </c>
      <c r="J2292">
        <v>-293.1533</v>
      </c>
      <c r="K2292">
        <v>1.116965</v>
      </c>
      <c r="L2292">
        <v>-57.218719999999998</v>
      </c>
      <c r="M2292">
        <v>0.82973920000000001</v>
      </c>
      <c r="N2292">
        <v>0</v>
      </c>
      <c r="O2292">
        <v>-0.55795790000000001</v>
      </c>
      <c r="P2292">
        <v>0.86930010000000002</v>
      </c>
      <c r="Q2292">
        <v>0.16205890000000001</v>
      </c>
      <c r="R2292">
        <v>-0.46696309999999902</v>
      </c>
      <c r="S2292">
        <v>2.975403</v>
      </c>
      <c r="T2292">
        <v>-0.25306089999999998</v>
      </c>
      <c r="U2292">
        <v>-0.99578860000000002</v>
      </c>
      <c r="V2292">
        <v>-0.103397499999999</v>
      </c>
      <c r="W2292">
        <v>0.1731356</v>
      </c>
      <c r="X2292">
        <v>0.97945550000000003</v>
      </c>
      <c r="Y2292">
        <v>-0.26341900000000001</v>
      </c>
      <c r="Z2292">
        <v>5.3874440000000003E-2</v>
      </c>
      <c r="AA2292">
        <v>0.96317600000000003</v>
      </c>
      <c r="AB2292">
        <v>31</v>
      </c>
      <c r="AC2292">
        <v>12.8691999999999</v>
      </c>
      <c r="AD2292">
        <v>-1.116972494598</v>
      </c>
      <c r="AE2292">
        <v>-4.23118999999999</v>
      </c>
      <c r="AF2292">
        <v>-3.64530167891904</v>
      </c>
      <c r="AG2292">
        <v>-1.116972494598</v>
      </c>
      <c r="AH2292">
        <v>12.952259058756599</v>
      </c>
      <c r="AI2292">
        <v>94.745392477362302</v>
      </c>
      <c r="AJ2292">
        <v>105.718798862347</v>
      </c>
      <c r="AK2292">
        <v>13.501735688761</v>
      </c>
    </row>
    <row r="2293" spans="1:37" x14ac:dyDescent="0.2">
      <c r="A2293" t="str">
        <f>"20200111150640017"</f>
        <v>20200111150640017</v>
      </c>
      <c r="B2293" t="str">
        <f>"1578726400009070"</f>
        <v>1578726400009070</v>
      </c>
      <c r="C2293" t="s">
        <v>37</v>
      </c>
      <c r="D2293">
        <v>4.7712649999999996</v>
      </c>
      <c r="E2293">
        <v>0.42912820000000002</v>
      </c>
      <c r="F2293" t="s">
        <v>85</v>
      </c>
      <c r="G2293">
        <v>-280.20639999999997</v>
      </c>
      <c r="H2293" s="1">
        <v>-7.5355820000000003E-6</v>
      </c>
      <c r="I2293">
        <v>-61.316940000000002</v>
      </c>
      <c r="J2293">
        <v>-292.90879999999999</v>
      </c>
      <c r="K2293">
        <v>1.1169480000000001</v>
      </c>
      <c r="L2293">
        <v>-57.36533</v>
      </c>
      <c r="M2293">
        <v>0.83846779999999999</v>
      </c>
      <c r="N2293">
        <v>0</v>
      </c>
      <c r="O2293">
        <v>-0.54475280000000004</v>
      </c>
      <c r="P2293">
        <v>0.87696379999999996</v>
      </c>
      <c r="Q2293">
        <v>0.16158320000000001</v>
      </c>
      <c r="R2293">
        <v>-0.45257619999999998</v>
      </c>
      <c r="S2293">
        <v>2.990631</v>
      </c>
      <c r="T2293">
        <v>-0.2580115</v>
      </c>
      <c r="U2293">
        <v>-0.94665529999999998</v>
      </c>
      <c r="V2293">
        <v>-0.104058199999999</v>
      </c>
      <c r="W2293">
        <v>0.17263829999999999</v>
      </c>
      <c r="X2293">
        <v>0.97947329999999999</v>
      </c>
      <c r="Y2293">
        <v>-0.26388659999999903</v>
      </c>
      <c r="Z2293">
        <v>5.3967260000000003E-2</v>
      </c>
      <c r="AA2293">
        <v>0.96304279999999998</v>
      </c>
      <c r="AB2293">
        <v>30</v>
      </c>
      <c r="AC2293">
        <v>12.702400000000001</v>
      </c>
      <c r="AD2293">
        <v>-1.116955535582</v>
      </c>
      <c r="AE2293">
        <v>-3.9516099999999899</v>
      </c>
      <c r="AF2293">
        <v>-3.5815108116821901</v>
      </c>
      <c r="AG2293">
        <v>-1.116955535582</v>
      </c>
      <c r="AH2293">
        <v>12.7149490176303</v>
      </c>
      <c r="AI2293">
        <v>94.8331750889445</v>
      </c>
      <c r="AJ2293">
        <v>105.73131605830901</v>
      </c>
      <c r="AK2293">
        <v>13.256875117598399</v>
      </c>
    </row>
    <row r="2294" spans="1:37" x14ac:dyDescent="0.2">
      <c r="A2294" t="str">
        <f>"20200111150640041"</f>
        <v>20200111150640041</v>
      </c>
      <c r="B2294" t="str">
        <f>"1578726400028590"</f>
        <v>1578726400028590</v>
      </c>
      <c r="C2294" t="s">
        <v>37</v>
      </c>
      <c r="D2294">
        <v>4.6653310000000001</v>
      </c>
      <c r="E2294">
        <v>0.42877959999999898</v>
      </c>
      <c r="F2294" t="s">
        <v>85</v>
      </c>
      <c r="G2294">
        <v>-280.15320000000003</v>
      </c>
      <c r="H2294" s="1">
        <v>-7.5667830000000003E-6</v>
      </c>
      <c r="I2294">
        <v>-61.197800000000001</v>
      </c>
      <c r="J2294">
        <v>-292.64339999999999</v>
      </c>
      <c r="K2294">
        <v>1.1169370000000001</v>
      </c>
      <c r="L2294">
        <v>-57.518590000000003</v>
      </c>
      <c r="M2294">
        <v>0.84761699999999995</v>
      </c>
      <c r="N2294">
        <v>0</v>
      </c>
      <c r="O2294">
        <v>-0.53040500000000002</v>
      </c>
      <c r="P2294">
        <v>0.88487309999999997</v>
      </c>
      <c r="Q2294">
        <v>0.16124079999999999</v>
      </c>
      <c r="R2294">
        <v>-0.43703690000000001</v>
      </c>
      <c r="S2294">
        <v>3.0036619999999998</v>
      </c>
      <c r="T2294">
        <v>-0.26301929999999901</v>
      </c>
      <c r="U2294">
        <v>-0.90246579999999998</v>
      </c>
      <c r="V2294">
        <v>-0.10468429999999999</v>
      </c>
      <c r="W2294">
        <v>0.1722747</v>
      </c>
      <c r="X2294">
        <v>0.97947059999999997</v>
      </c>
      <c r="Y2294">
        <v>-0.26157559999999902</v>
      </c>
      <c r="Z2294">
        <v>5.3837240000000001E-2</v>
      </c>
      <c r="AA2294">
        <v>0.96368029999999905</v>
      </c>
      <c r="AB2294">
        <v>30</v>
      </c>
      <c r="AC2294">
        <v>12.4901999999999</v>
      </c>
      <c r="AD2294">
        <v>-1.116944566783</v>
      </c>
      <c r="AE2294">
        <v>-3.6792099999999901</v>
      </c>
      <c r="AF2294">
        <v>-3.4810669742967502</v>
      </c>
      <c r="AG2294">
        <v>-1.116944566783</v>
      </c>
      <c r="AH2294">
        <v>12.4481322845694</v>
      </c>
      <c r="AI2294">
        <v>94.938812587266696</v>
      </c>
      <c r="AJ2294">
        <v>105.62342195409001</v>
      </c>
      <c r="AK2294">
        <v>12.973873354513101</v>
      </c>
    </row>
    <row r="2295" spans="1:37" x14ac:dyDescent="0.2">
      <c r="A2295" t="str">
        <f>"20200111150640061"</f>
        <v>20200111150640061</v>
      </c>
      <c r="B2295" t="str">
        <f>"1578726400058846"</f>
        <v>1578726400058846</v>
      </c>
      <c r="C2295" t="s">
        <v>37</v>
      </c>
      <c r="D2295">
        <v>4.7254680000000002</v>
      </c>
      <c r="E2295">
        <v>0.41680909999999899</v>
      </c>
      <c r="F2295" t="s">
        <v>39</v>
      </c>
      <c r="G2295">
        <v>-279.84750000000003</v>
      </c>
      <c r="H2295" s="1">
        <v>-3.4855599999999999E-6</v>
      </c>
      <c r="I2295">
        <v>-61.109009999999998</v>
      </c>
      <c r="J2295">
        <v>-292.39679999999998</v>
      </c>
      <c r="K2295">
        <v>1.1169309999999999</v>
      </c>
      <c r="L2295">
        <v>-57.655729999999998</v>
      </c>
      <c r="M2295">
        <v>0.85582289999999905</v>
      </c>
      <c r="N2295">
        <v>0</v>
      </c>
      <c r="O2295">
        <v>-0.51706009999999902</v>
      </c>
      <c r="P2295">
        <v>0.89144210000000002</v>
      </c>
      <c r="Q2295">
        <v>0.1606764</v>
      </c>
      <c r="R2295">
        <v>-0.42369089999999998</v>
      </c>
      <c r="S2295">
        <v>3.0198669999999899</v>
      </c>
      <c r="T2295">
        <v>-0.26360149999999999</v>
      </c>
      <c r="U2295">
        <v>-0.84735110000000002</v>
      </c>
      <c r="V2295">
        <v>-0.1040833</v>
      </c>
      <c r="W2295">
        <v>0.1717322</v>
      </c>
      <c r="X2295">
        <v>0.97962990000000005</v>
      </c>
      <c r="Y2295">
        <v>-0.26413429999999999</v>
      </c>
      <c r="Z2295">
        <v>5.3023309999999997E-2</v>
      </c>
      <c r="AA2295">
        <v>0.96302730000000003</v>
      </c>
      <c r="AB2295">
        <v>30</v>
      </c>
      <c r="AC2295">
        <v>12.549299999999899</v>
      </c>
      <c r="AD2295">
        <v>-1.1169344855600001</v>
      </c>
      <c r="AE2295">
        <v>-3.4532799999999901</v>
      </c>
      <c r="AF2295">
        <v>-3.5078956162886898</v>
      </c>
      <c r="AG2295">
        <v>-1.1169344855600001</v>
      </c>
      <c r="AH2295">
        <v>12.4353105720805</v>
      </c>
      <c r="AI2295">
        <v>94.940703998587793</v>
      </c>
      <c r="AJ2295">
        <v>105.75330902390699</v>
      </c>
      <c r="AK2295">
        <v>12.968801923227399</v>
      </c>
    </row>
    <row r="2296" spans="1:37" x14ac:dyDescent="0.2">
      <c r="A2296" t="str">
        <f>"20200111150640085"</f>
        <v>20200111150640085</v>
      </c>
      <c r="B2296" t="str">
        <f>"1578726400079345"</f>
        <v>1578726400079345</v>
      </c>
      <c r="C2296" t="s">
        <v>37</v>
      </c>
      <c r="D2296">
        <v>4.6944689999999998</v>
      </c>
      <c r="E2296">
        <v>0.41765169999999902</v>
      </c>
      <c r="F2296" t="s">
        <v>39</v>
      </c>
      <c r="G2296">
        <v>-276.6105</v>
      </c>
      <c r="H2296" s="1">
        <v>-2.1985159999999998E-6</v>
      </c>
      <c r="I2296">
        <v>-61.320700000000002</v>
      </c>
      <c r="J2296">
        <v>-292.1302</v>
      </c>
      <c r="K2296">
        <v>1.1169129999999901</v>
      </c>
      <c r="L2296">
        <v>-57.798400000000001</v>
      </c>
      <c r="M2296">
        <v>0.8643866</v>
      </c>
      <c r="N2296">
        <v>0</v>
      </c>
      <c r="O2296">
        <v>-0.50261309999999904</v>
      </c>
      <c r="P2296">
        <v>0.8978891</v>
      </c>
      <c r="Q2296">
        <v>0.16038329999999901</v>
      </c>
      <c r="R2296">
        <v>-0.4099661</v>
      </c>
      <c r="S2296">
        <v>3.066071</v>
      </c>
      <c r="T2296">
        <v>-0.2169344</v>
      </c>
      <c r="U2296">
        <v>-0.71182250000000002</v>
      </c>
      <c r="V2296">
        <v>-0.1026657</v>
      </c>
      <c r="W2296">
        <v>0.1714889</v>
      </c>
      <c r="X2296">
        <v>0.97982209999999903</v>
      </c>
      <c r="Y2296">
        <v>-0.29239799999999999</v>
      </c>
      <c r="Z2296">
        <v>4.3490790000000001E-2</v>
      </c>
      <c r="AA2296">
        <v>0.95530720000000002</v>
      </c>
      <c r="AB2296">
        <v>30</v>
      </c>
      <c r="AC2296">
        <v>15.5197</v>
      </c>
      <c r="AD2296">
        <v>-1.11691519851599</v>
      </c>
      <c r="AE2296">
        <v>-3.5223</v>
      </c>
      <c r="AF2296">
        <v>-4.7329761954076996</v>
      </c>
      <c r="AG2296">
        <v>-1.11691519851599</v>
      </c>
      <c r="AH2296">
        <v>15.1125754384167</v>
      </c>
      <c r="AI2296">
        <v>94.034301104096798</v>
      </c>
      <c r="AJ2296">
        <v>107.389581028461</v>
      </c>
      <c r="AK2296">
        <v>15.875720443772201</v>
      </c>
    </row>
    <row r="2297" spans="1:37" x14ac:dyDescent="0.2">
      <c r="A2297" t="str">
        <f>"20200111150640107"</f>
        <v>20200111150640107</v>
      </c>
      <c r="B2297" t="str">
        <f>"1578726400098865"</f>
        <v>1578726400098865</v>
      </c>
      <c r="C2297" t="s">
        <v>37</v>
      </c>
      <c r="D2297">
        <v>4.7330750000000004</v>
      </c>
      <c r="E2297">
        <v>0.42195149999999998</v>
      </c>
      <c r="F2297" t="s">
        <v>39</v>
      </c>
      <c r="G2297">
        <v>-276.54680000000002</v>
      </c>
      <c r="H2297" s="1">
        <v>-2.1438760000000001E-6</v>
      </c>
      <c r="I2297">
        <v>-61.197929999999999</v>
      </c>
      <c r="J2297">
        <v>-291.86239999999998</v>
      </c>
      <c r="K2297">
        <v>1.116895</v>
      </c>
      <c r="L2297">
        <v>-57.936069999999901</v>
      </c>
      <c r="M2297">
        <v>0.87267169999999905</v>
      </c>
      <c r="N2297">
        <v>0</v>
      </c>
      <c r="O2297">
        <v>-0.48808649999999998</v>
      </c>
      <c r="P2297">
        <v>0.90402199999999899</v>
      </c>
      <c r="Q2297">
        <v>0.15981909999999999</v>
      </c>
      <c r="R2297">
        <v>-0.39648739999999999</v>
      </c>
      <c r="S2297">
        <v>3.0742799999999999</v>
      </c>
      <c r="T2297">
        <v>-0.220343399999999</v>
      </c>
      <c r="U2297">
        <v>-0.67065430000000004</v>
      </c>
      <c r="V2297">
        <v>-0.10095800000000001</v>
      </c>
      <c r="W2297">
        <v>0.17098379999999999</v>
      </c>
      <c r="X2297">
        <v>0.98008779999999995</v>
      </c>
      <c r="Y2297">
        <v>-0.28912929999999998</v>
      </c>
      <c r="Z2297">
        <v>4.3151540000000002E-2</v>
      </c>
      <c r="AA2297">
        <v>0.95631699999999997</v>
      </c>
      <c r="AB2297">
        <v>30</v>
      </c>
      <c r="AC2297">
        <v>15.3155999999999</v>
      </c>
      <c r="AD2297">
        <v>-1.116897143876</v>
      </c>
      <c r="AE2297">
        <v>-3.2618600000000102</v>
      </c>
      <c r="AF2297">
        <v>-4.6058721685552202</v>
      </c>
      <c r="AG2297">
        <v>-1.116897143876</v>
      </c>
      <c r="AH2297">
        <v>14.8834561725767</v>
      </c>
      <c r="AI2297">
        <v>94.100440989105394</v>
      </c>
      <c r="AJ2297">
        <v>107.195337658404</v>
      </c>
      <c r="AK2297">
        <v>15.6198202711837</v>
      </c>
    </row>
    <row r="2298" spans="1:37" x14ac:dyDescent="0.2">
      <c r="A2298" t="str">
        <f>"20200111150640130"</f>
        <v>20200111150640130</v>
      </c>
      <c r="B2298" t="str">
        <f>"1578726400119357"</f>
        <v>1578726400119357</v>
      </c>
      <c r="C2298" t="s">
        <v>37</v>
      </c>
      <c r="D2298">
        <v>4.7491029999999999</v>
      </c>
      <c r="E2298">
        <v>0.42263129999999999</v>
      </c>
      <c r="F2298" t="s">
        <v>39</v>
      </c>
      <c r="G2298">
        <v>-277.0711</v>
      </c>
      <c r="H2298" s="1">
        <v>-2.3463969999999998E-6</v>
      </c>
      <c r="I2298">
        <v>-61.09713</v>
      </c>
      <c r="J2298">
        <v>-291.59230000000002</v>
      </c>
      <c r="K2298">
        <v>1.1168830000000001</v>
      </c>
      <c r="L2298">
        <v>-58.069240000000001</v>
      </c>
      <c r="M2298">
        <v>0.8807142</v>
      </c>
      <c r="N2298">
        <v>0</v>
      </c>
      <c r="O2298">
        <v>-0.47342070000000003</v>
      </c>
      <c r="P2298">
        <v>0.91017780000000004</v>
      </c>
      <c r="Q2298">
        <v>0.16009229999999899</v>
      </c>
      <c r="R2298">
        <v>-0.38202999999999998</v>
      </c>
      <c r="S2298">
        <v>3.0715939999999899</v>
      </c>
      <c r="T2298">
        <v>-0.23193749999999999</v>
      </c>
      <c r="U2298">
        <v>-0.65643309999999999</v>
      </c>
      <c r="V2298">
        <v>-0.100162</v>
      </c>
      <c r="W2298">
        <v>0.17128399999999999</v>
      </c>
      <c r="X2298">
        <v>0.98011700000000002</v>
      </c>
      <c r="Y2298">
        <v>-0.27702189999999999</v>
      </c>
      <c r="Z2298">
        <v>4.4084529999999997E-2</v>
      </c>
      <c r="AA2298">
        <v>0.95985180000000003</v>
      </c>
      <c r="AB2298">
        <v>30</v>
      </c>
      <c r="AC2298">
        <v>14.5212</v>
      </c>
      <c r="AD2298">
        <v>-1.1168853463970001</v>
      </c>
      <c r="AE2298">
        <v>-3.0278900000000002</v>
      </c>
      <c r="AF2298">
        <v>-4.1846600386763999</v>
      </c>
      <c r="AG2298">
        <v>-1.1168853463970001</v>
      </c>
      <c r="AH2298">
        <v>14.1438388999627</v>
      </c>
      <c r="AI2298">
        <v>94.330261765241701</v>
      </c>
      <c r="AJ2298">
        <v>106.481616080506</v>
      </c>
      <c r="AK2298">
        <v>14.7921259913642</v>
      </c>
    </row>
    <row r="2299" spans="1:37" x14ac:dyDescent="0.2">
      <c r="A2299" t="str">
        <f>"20200111150640151"</f>
        <v>20200111150640151</v>
      </c>
      <c r="B2299" t="str">
        <f>"1578726400148638"</f>
        <v>1578726400148638</v>
      </c>
      <c r="C2299" t="s">
        <v>37</v>
      </c>
      <c r="D2299">
        <v>4.7948459999999997</v>
      </c>
      <c r="E2299">
        <v>0.42274650000000003</v>
      </c>
      <c r="F2299" t="s">
        <v>39</v>
      </c>
      <c r="G2299">
        <v>-276.90890000000002</v>
      </c>
      <c r="H2299" s="1">
        <v>-2.2533250000000001E-6</v>
      </c>
      <c r="I2299">
        <v>-60.991349999999997</v>
      </c>
      <c r="J2299">
        <v>-291.33550000000002</v>
      </c>
      <c r="K2299">
        <v>1.116879</v>
      </c>
      <c r="L2299">
        <v>-58.190769999999901</v>
      </c>
      <c r="M2299">
        <v>0.88807819999999904</v>
      </c>
      <c r="N2299">
        <v>0</v>
      </c>
      <c r="O2299">
        <v>-0.45945819999999998</v>
      </c>
      <c r="P2299">
        <v>0.91585519999999998</v>
      </c>
      <c r="Q2299">
        <v>0.16088620000000001</v>
      </c>
      <c r="R2299">
        <v>-0.36786579999999902</v>
      </c>
      <c r="S2299">
        <v>3.0800169999999998</v>
      </c>
      <c r="T2299">
        <v>-0.23427989999999899</v>
      </c>
      <c r="U2299">
        <v>-0.61294559999999998</v>
      </c>
      <c r="V2299">
        <v>-9.984867E-2</v>
      </c>
      <c r="W2299">
        <v>0.17208679999999901</v>
      </c>
      <c r="X2299">
        <v>0.9800084</v>
      </c>
      <c r="Y2299">
        <v>-0.27539459999999999</v>
      </c>
      <c r="Z2299">
        <v>4.3516979999999997E-2</v>
      </c>
      <c r="AA2299">
        <v>0.96034580000000003</v>
      </c>
      <c r="AB2299">
        <v>30</v>
      </c>
      <c r="AC2299">
        <v>14.426600000000001</v>
      </c>
      <c r="AD2299">
        <v>-1.1168812533250001</v>
      </c>
      <c r="AE2299">
        <v>-2.8005800000000001</v>
      </c>
      <c r="AF2299">
        <v>-4.1179465551808798</v>
      </c>
      <c r="AG2299">
        <v>-1.1168812533250001</v>
      </c>
      <c r="AH2299">
        <v>14.0192422888866</v>
      </c>
      <c r="AI2299">
        <v>94.3710966731296</v>
      </c>
      <c r="AJ2299">
        <v>106.36937636423499</v>
      </c>
      <c r="AK2299">
        <v>14.6541482836725</v>
      </c>
    </row>
    <row r="2300" spans="1:37" x14ac:dyDescent="0.2">
      <c r="A2300" t="str">
        <f>"20200111150640174"</f>
        <v>20200111150640174</v>
      </c>
      <c r="B2300" t="str">
        <f>"1578726400169133"</f>
        <v>1578726400169133</v>
      </c>
      <c r="C2300" t="s">
        <v>37</v>
      </c>
      <c r="D2300">
        <v>4.8435499999999996</v>
      </c>
      <c r="E2300">
        <v>0.42357250000000002</v>
      </c>
      <c r="F2300" t="s">
        <v>39</v>
      </c>
      <c r="G2300">
        <v>-276.62209999999999</v>
      </c>
      <c r="H2300" s="1">
        <v>-2.106721E-6</v>
      </c>
      <c r="I2300">
        <v>-60.885440000000003</v>
      </c>
      <c r="J2300">
        <v>-291.0548</v>
      </c>
      <c r="K2300">
        <v>1.11687</v>
      </c>
      <c r="L2300">
        <v>-58.317689999999999</v>
      </c>
      <c r="M2300">
        <v>0.89581129999999998</v>
      </c>
      <c r="N2300">
        <v>0</v>
      </c>
      <c r="O2300">
        <v>-0.44419229999999998</v>
      </c>
      <c r="P2300">
        <v>0.92174040000000002</v>
      </c>
      <c r="Q2300">
        <v>0.16089909999999999</v>
      </c>
      <c r="R2300">
        <v>-0.35285420000000001</v>
      </c>
      <c r="S2300">
        <v>3.0895079999999999</v>
      </c>
      <c r="T2300">
        <v>-0.23452210000000001</v>
      </c>
      <c r="U2300">
        <v>-0.56582639999999995</v>
      </c>
      <c r="V2300">
        <v>-9.9079219999999996E-2</v>
      </c>
      <c r="W2300">
        <v>0.17212629999999901</v>
      </c>
      <c r="X2300">
        <v>0.98007949999999999</v>
      </c>
      <c r="Y2300">
        <v>-0.27368439999999999</v>
      </c>
      <c r="Z2300">
        <v>4.243806E-2</v>
      </c>
      <c r="AA2300">
        <v>0.96088289999999998</v>
      </c>
      <c r="AB2300">
        <v>30</v>
      </c>
      <c r="AC2300">
        <v>14.432700000000001</v>
      </c>
      <c r="AD2300">
        <v>-1.1168721067209999</v>
      </c>
      <c r="AE2300">
        <v>-2.5677500000000002</v>
      </c>
      <c r="AF2300">
        <v>-4.0873913647024596</v>
      </c>
      <c r="AG2300">
        <v>-1.1168721067209999</v>
      </c>
      <c r="AH2300">
        <v>13.989858826888</v>
      </c>
      <c r="AI2300">
        <v>94.382051225994402</v>
      </c>
      <c r="AJ2300">
        <v>106.286682084573</v>
      </c>
      <c r="AK2300">
        <v>14.617466314901201</v>
      </c>
    </row>
    <row r="2301" spans="1:37" x14ac:dyDescent="0.2">
      <c r="A2301" t="str">
        <f>"20200111150640196"</f>
        <v>20200111150640196</v>
      </c>
      <c r="B2301" t="str">
        <f>"1578726400188654"</f>
        <v>1578726400188654</v>
      </c>
      <c r="C2301" t="s">
        <v>37</v>
      </c>
      <c r="D2301">
        <v>4.8670609999999996</v>
      </c>
      <c r="E2301">
        <v>0.4242223</v>
      </c>
      <c r="F2301" t="s">
        <v>39</v>
      </c>
      <c r="G2301">
        <v>-276.26299999999998</v>
      </c>
      <c r="H2301" s="1">
        <v>-1.9347439999999998E-6</v>
      </c>
      <c r="I2301">
        <v>-60.804759999999902</v>
      </c>
      <c r="J2301">
        <v>-290.7801</v>
      </c>
      <c r="K2301">
        <v>1.1168530000000001</v>
      </c>
      <c r="L2301">
        <v>-58.436250000000001</v>
      </c>
      <c r="M2301">
        <v>0.90307559999999998</v>
      </c>
      <c r="N2301">
        <v>0</v>
      </c>
      <c r="O2301">
        <v>-0.42923109999999998</v>
      </c>
      <c r="P2301">
        <v>0.9272049</v>
      </c>
      <c r="Q2301">
        <v>0.16121930000000001</v>
      </c>
      <c r="R2301">
        <v>-0.33808189999999999</v>
      </c>
      <c r="S2301">
        <v>3.0962519999999998</v>
      </c>
      <c r="T2301">
        <v>-0.2337862</v>
      </c>
      <c r="U2301">
        <v>-0.52059940000000005</v>
      </c>
      <c r="V2301">
        <v>-9.8417089999999999E-2</v>
      </c>
      <c r="W2301">
        <v>0.17246819999999999</v>
      </c>
      <c r="X2301">
        <v>0.98008609999999896</v>
      </c>
      <c r="Y2301">
        <v>-0.27173249999999999</v>
      </c>
      <c r="Z2301">
        <v>4.1215229999999999E-2</v>
      </c>
      <c r="AA2301">
        <v>0.96148989999999901</v>
      </c>
      <c r="AB2301">
        <v>30</v>
      </c>
      <c r="AC2301">
        <v>14.517099999999999</v>
      </c>
      <c r="AD2301">
        <v>-1.116854934744</v>
      </c>
      <c r="AE2301">
        <v>-2.3685099999999899</v>
      </c>
      <c r="AF2301">
        <v>-4.06922699698488</v>
      </c>
      <c r="AG2301">
        <v>-1.116854934744</v>
      </c>
      <c r="AH2301">
        <v>14.047209813973801</v>
      </c>
      <c r="AI2301">
        <v>94.367062583322095</v>
      </c>
      <c r="AJ2301">
        <v>106.15536287032199</v>
      </c>
      <c r="AK2301">
        <v>14.6673132119027</v>
      </c>
    </row>
    <row r="2302" spans="1:37" x14ac:dyDescent="0.2">
      <c r="A2302" t="str">
        <f>"20200111150640217"</f>
        <v>20200111150640217</v>
      </c>
      <c r="B2302" t="str">
        <f>"1578726400209153"</f>
        <v>1578726400209153</v>
      </c>
      <c r="C2302" t="s">
        <v>37</v>
      </c>
      <c r="D2302">
        <v>4.8296799999999998</v>
      </c>
      <c r="E2302">
        <v>0.42458889999999999</v>
      </c>
      <c r="F2302" t="s">
        <v>39</v>
      </c>
      <c r="G2302">
        <v>-275.93900000000002</v>
      </c>
      <c r="H2302" s="1">
        <v>-1.7754909999999999E-6</v>
      </c>
      <c r="I2302">
        <v>-60.713700000000003</v>
      </c>
      <c r="J2302">
        <v>-290.51659999999998</v>
      </c>
      <c r="K2302">
        <v>1.116843</v>
      </c>
      <c r="L2302">
        <v>-58.545009999999998</v>
      </c>
      <c r="M2302">
        <v>0.90976299999999899</v>
      </c>
      <c r="N2302">
        <v>0</v>
      </c>
      <c r="O2302">
        <v>-0.41486899999999899</v>
      </c>
      <c r="P2302">
        <v>0.93246879999999999</v>
      </c>
      <c r="Q2302">
        <v>0.16110039999999901</v>
      </c>
      <c r="R2302">
        <v>-0.32334029999999903</v>
      </c>
      <c r="S2302">
        <v>3.1025390000000002</v>
      </c>
      <c r="T2302">
        <v>-0.2334801</v>
      </c>
      <c r="U2302">
        <v>-0.47610469999999999</v>
      </c>
      <c r="V2302">
        <v>-9.8425239999999997E-2</v>
      </c>
      <c r="W2302">
        <v>0.1723489</v>
      </c>
      <c r="X2302">
        <v>0.98010629999999999</v>
      </c>
      <c r="Y2302">
        <v>-0.2702947</v>
      </c>
      <c r="Z2302">
        <v>4.0123720000000002E-2</v>
      </c>
      <c r="AA2302">
        <v>0.96194120000000005</v>
      </c>
      <c r="AB2302">
        <v>30</v>
      </c>
      <c r="AC2302">
        <v>14.577599999999901</v>
      </c>
      <c r="AD2302">
        <v>-1.116844775491</v>
      </c>
      <c r="AE2302">
        <v>-2.1686899999999998</v>
      </c>
      <c r="AF2302">
        <v>-4.0519697856217798</v>
      </c>
      <c r="AG2302">
        <v>-1.116844775491</v>
      </c>
      <c r="AH2302">
        <v>14.082535990649101</v>
      </c>
      <c r="AI2302">
        <v>94.358368518298803</v>
      </c>
      <c r="AJ2302">
        <v>106.05212091132699</v>
      </c>
      <c r="AK2302">
        <v>14.696381232264701</v>
      </c>
    </row>
    <row r="2303" spans="1:37" x14ac:dyDescent="0.2">
      <c r="A2303" t="str">
        <f>"20200111150640241"</f>
        <v>20200111150640241</v>
      </c>
      <c r="B2303" t="str">
        <f>"1578726400228670"</f>
        <v>1578726400228670</v>
      </c>
      <c r="C2303" t="s">
        <v>37</v>
      </c>
      <c r="D2303">
        <v>4.8430499999999999</v>
      </c>
      <c r="E2303">
        <v>0.43165809999999999</v>
      </c>
      <c r="F2303" t="s">
        <v>39</v>
      </c>
      <c r="G2303">
        <v>-275.66590000000002</v>
      </c>
      <c r="H2303" s="1">
        <v>-1.6332559999999999E-6</v>
      </c>
      <c r="I2303">
        <v>-60.600929999999998</v>
      </c>
      <c r="J2303">
        <v>-290.23809999999997</v>
      </c>
      <c r="K2303">
        <v>1.11683</v>
      </c>
      <c r="L2303">
        <v>-58.65466</v>
      </c>
      <c r="M2303">
        <v>0.91653790000000002</v>
      </c>
      <c r="N2303">
        <v>0</v>
      </c>
      <c r="O2303">
        <v>-0.3996788</v>
      </c>
      <c r="P2303">
        <v>0.93744169999999905</v>
      </c>
      <c r="Q2303">
        <v>0.16071769999999999</v>
      </c>
      <c r="R2303">
        <v>-0.30882520000000002</v>
      </c>
      <c r="S2303">
        <v>3.1084290000000001</v>
      </c>
      <c r="T2303">
        <v>-0.23376920000000001</v>
      </c>
      <c r="U2303">
        <v>-0.4303284</v>
      </c>
      <c r="V2303">
        <v>-9.7343620000000006E-2</v>
      </c>
      <c r="W2303">
        <v>0.17200370000000001</v>
      </c>
      <c r="X2303">
        <v>0.98027489999999995</v>
      </c>
      <c r="Y2303">
        <v>-0.26846769999999998</v>
      </c>
      <c r="Z2303">
        <v>3.9057290000000001E-2</v>
      </c>
      <c r="AA2303">
        <v>0.96249660000000004</v>
      </c>
      <c r="AB2303">
        <v>30</v>
      </c>
      <c r="AC2303">
        <v>14.572199999999899</v>
      </c>
      <c r="AD2303">
        <v>-1.116831633256</v>
      </c>
      <c r="AE2303">
        <v>-1.9462699999999999</v>
      </c>
      <c r="AF2303">
        <v>-4.0176184496314198</v>
      </c>
      <c r="AG2303">
        <v>-1.116831633256</v>
      </c>
      <c r="AH2303">
        <v>14.0542707201148</v>
      </c>
      <c r="AI2303">
        <v>94.369199878628606</v>
      </c>
      <c r="AJ2303">
        <v>105.95335786262601</v>
      </c>
      <c r="AK2303">
        <v>14.659846396812499</v>
      </c>
    </row>
    <row r="2304" spans="1:37" x14ac:dyDescent="0.2">
      <c r="A2304" t="str">
        <f>"20200111150640263"</f>
        <v>20200111150640263</v>
      </c>
      <c r="B2304" t="str">
        <f>"1578726400258926"</f>
        <v>1578726400258926</v>
      </c>
      <c r="C2304" t="s">
        <v>37</v>
      </c>
      <c r="D2304">
        <v>4.8893810000000002</v>
      </c>
      <c r="E2304">
        <v>0.43382529999999903</v>
      </c>
      <c r="F2304" t="s">
        <v>39</v>
      </c>
      <c r="G2304">
        <v>-276.95179999999999</v>
      </c>
      <c r="H2304" s="1">
        <v>-2.1673150000000002E-6</v>
      </c>
      <c r="I2304">
        <v>-60.521889999999999</v>
      </c>
      <c r="J2304">
        <v>-289.96159999999998</v>
      </c>
      <c r="K2304">
        <v>1.116825</v>
      </c>
      <c r="L2304">
        <v>-58.758359999999897</v>
      </c>
      <c r="M2304">
        <v>0.92297430000000003</v>
      </c>
      <c r="N2304">
        <v>0</v>
      </c>
      <c r="O2304">
        <v>-0.3845828</v>
      </c>
      <c r="P2304">
        <v>0.94166620000000001</v>
      </c>
      <c r="Q2304">
        <v>0.15990399999999999</v>
      </c>
      <c r="R2304">
        <v>-0.29613459999999903</v>
      </c>
      <c r="S2304">
        <v>3.101318</v>
      </c>
      <c r="T2304">
        <v>-0.2606928</v>
      </c>
      <c r="U2304">
        <v>-0.43585209999999902</v>
      </c>
      <c r="V2304">
        <v>-9.451039E-2</v>
      </c>
      <c r="W2304">
        <v>0.17128779999999999</v>
      </c>
      <c r="X2304">
        <v>0.98067749999999998</v>
      </c>
      <c r="Y2304">
        <v>-0.2503031</v>
      </c>
      <c r="Z2304">
        <v>4.1711930000000001E-2</v>
      </c>
      <c r="AA2304">
        <v>0.96726849999999998</v>
      </c>
      <c r="AB2304">
        <v>30</v>
      </c>
      <c r="AC2304">
        <v>13.009799999999901</v>
      </c>
      <c r="AD2304">
        <v>-1.1168271673150001</v>
      </c>
      <c r="AE2304">
        <v>-1.76353</v>
      </c>
      <c r="AF2304">
        <v>-3.3517598599541301</v>
      </c>
      <c r="AG2304">
        <v>-1.1168271673150001</v>
      </c>
      <c r="AH2304">
        <v>12.5961443765837</v>
      </c>
      <c r="AI2304">
        <v>94.897293485134597</v>
      </c>
      <c r="AJ2304">
        <v>104.900785803437</v>
      </c>
      <c r="AK2304">
        <v>13.082218857525399</v>
      </c>
    </row>
    <row r="2305" spans="1:37" x14ac:dyDescent="0.2">
      <c r="A2305" t="str">
        <f>"20200111150640286"</f>
        <v>20200111150640286</v>
      </c>
      <c r="B2305" t="str">
        <f>"1578726400279422"</f>
        <v>1578726400279422</v>
      </c>
      <c r="C2305" t="s">
        <v>37</v>
      </c>
      <c r="D2305">
        <v>4.8732639999999998</v>
      </c>
      <c r="E2305">
        <v>0.43538130000000003</v>
      </c>
      <c r="F2305" t="s">
        <v>39</v>
      </c>
      <c r="G2305">
        <v>-276.81740000000002</v>
      </c>
      <c r="H2305" s="1">
        <v>-2.1024209999999999E-6</v>
      </c>
      <c r="I2305">
        <v>-60.489269999999998</v>
      </c>
      <c r="J2305">
        <v>-289.67110000000002</v>
      </c>
      <c r="K2305">
        <v>1.116811</v>
      </c>
      <c r="L2305">
        <v>-58.861879999999999</v>
      </c>
      <c r="M2305">
        <v>0.92942800000000003</v>
      </c>
      <c r="N2305">
        <v>0</v>
      </c>
      <c r="O2305">
        <v>-0.36871279999999901</v>
      </c>
      <c r="P2305">
        <v>0.94586440000000005</v>
      </c>
      <c r="Q2305">
        <v>0.16006280000000001</v>
      </c>
      <c r="R2305">
        <v>-0.28234879999999901</v>
      </c>
      <c r="S2305">
        <v>3.10214199999999</v>
      </c>
      <c r="T2305">
        <v>-0.26358039999999999</v>
      </c>
      <c r="U2305">
        <v>-0.40850829999999999</v>
      </c>
      <c r="V2305">
        <v>-9.201463E-2</v>
      </c>
      <c r="W2305">
        <v>0.17153060000000001</v>
      </c>
      <c r="X2305">
        <v>0.98087230000000003</v>
      </c>
      <c r="Y2305">
        <v>-0.24214769999999999</v>
      </c>
      <c r="Z2305">
        <v>4.0611759999999997E-2</v>
      </c>
      <c r="AA2305">
        <v>0.9693891</v>
      </c>
      <c r="AB2305">
        <v>30</v>
      </c>
      <c r="AC2305">
        <v>12.8537</v>
      </c>
      <c r="AD2305">
        <v>-1.116813102421</v>
      </c>
      <c r="AE2305">
        <v>-1.6273899999999899</v>
      </c>
      <c r="AF2305">
        <v>-3.2033267193851001</v>
      </c>
      <c r="AG2305">
        <v>-1.116813102421</v>
      </c>
      <c r="AH2305">
        <v>12.4554279816976</v>
      </c>
      <c r="AI2305">
        <v>94.963049306682294</v>
      </c>
      <c r="AJ2305">
        <v>104.42294076210101</v>
      </c>
      <c r="AK2305">
        <v>12.909154108000999</v>
      </c>
    </row>
    <row r="2306" spans="1:37" x14ac:dyDescent="0.2">
      <c r="A2306" t="str">
        <f>"20200111150640307"</f>
        <v>20200111150640307</v>
      </c>
      <c r="B2306" t="str">
        <f>"1578726400298945"</f>
        <v>1578726400298945</v>
      </c>
      <c r="C2306" t="s">
        <v>37</v>
      </c>
      <c r="D2306">
        <v>4.8044969999999996</v>
      </c>
      <c r="E2306">
        <v>0.43626369999999998</v>
      </c>
      <c r="F2306" t="s">
        <v>39</v>
      </c>
      <c r="G2306">
        <v>-276.51260000000002</v>
      </c>
      <c r="H2306" s="1">
        <v>-1.9649320000000001E-6</v>
      </c>
      <c r="I2306">
        <v>-60.459029999999998</v>
      </c>
      <c r="J2306">
        <v>-289.39879999999999</v>
      </c>
      <c r="K2306">
        <v>1.116787</v>
      </c>
      <c r="L2306">
        <v>-58.953890000000001</v>
      </c>
      <c r="M2306">
        <v>0.93519339999999995</v>
      </c>
      <c r="N2306">
        <v>0</v>
      </c>
      <c r="O2306">
        <v>-0.35383409999999998</v>
      </c>
      <c r="P2306">
        <v>0.94996190000000003</v>
      </c>
      <c r="Q2306">
        <v>0.16079070000000001</v>
      </c>
      <c r="R2306">
        <v>-0.26780379999999998</v>
      </c>
      <c r="S2306">
        <v>3.1038509999999899</v>
      </c>
      <c r="T2306">
        <v>-0.26343670000000002</v>
      </c>
      <c r="U2306">
        <v>-0.3767395</v>
      </c>
      <c r="V2306">
        <v>-9.1380470000000005E-2</v>
      </c>
      <c r="W2306">
        <v>0.17227799999999999</v>
      </c>
      <c r="X2306">
        <v>0.98080059999999902</v>
      </c>
      <c r="Y2306">
        <v>-0.23656859999999999</v>
      </c>
      <c r="Z2306">
        <v>3.9198669999999998E-2</v>
      </c>
      <c r="AA2306">
        <v>0.97082380000000001</v>
      </c>
      <c r="AB2306">
        <v>30</v>
      </c>
      <c r="AC2306">
        <v>12.886199999999899</v>
      </c>
      <c r="AD2306">
        <v>-1.116788964932</v>
      </c>
      <c r="AE2306">
        <v>-1.5051399999999999</v>
      </c>
      <c r="AF2306">
        <v>-3.1291321588740799</v>
      </c>
      <c r="AG2306">
        <v>-1.116788964932</v>
      </c>
      <c r="AH2306">
        <v>12.492443602941799</v>
      </c>
      <c r="AI2306">
        <v>94.956184657716307</v>
      </c>
      <c r="AJ2306">
        <v>104.062232150355</v>
      </c>
      <c r="AK2306">
        <v>12.926710054479299</v>
      </c>
    </row>
    <row r="2307" spans="1:37" x14ac:dyDescent="0.2">
      <c r="A2307" t="str">
        <f>"20200111150640330"</f>
        <v>20200111150640330</v>
      </c>
      <c r="B2307" t="str">
        <f>"1578726400319439"</f>
        <v>1578726400319439</v>
      </c>
      <c r="C2307" t="s">
        <v>37</v>
      </c>
      <c r="D2307">
        <v>4.9320259999999996</v>
      </c>
      <c r="E2307">
        <v>0.44608509999999901</v>
      </c>
      <c r="F2307" t="s">
        <v>39</v>
      </c>
      <c r="G2307">
        <v>-276.23649999999998</v>
      </c>
      <c r="H2307" s="1">
        <v>-1.829707E-6</v>
      </c>
      <c r="I2307">
        <v>-60.383659999999999</v>
      </c>
      <c r="J2307">
        <v>-289.12329999999997</v>
      </c>
      <c r="K2307">
        <v>1.1167530000000001</v>
      </c>
      <c r="L2307">
        <v>-59.042079999999999</v>
      </c>
      <c r="M2307">
        <v>0.94074539999999995</v>
      </c>
      <c r="N2307">
        <v>0</v>
      </c>
      <c r="O2307">
        <v>-0.33879799999999999</v>
      </c>
      <c r="P2307">
        <v>0.95433489999999999</v>
      </c>
      <c r="Q2307">
        <v>0.16053519999999999</v>
      </c>
      <c r="R2307">
        <v>-0.25194040000000001</v>
      </c>
      <c r="S2307">
        <v>3.1074830000000002</v>
      </c>
      <c r="T2307">
        <v>-0.26366220000000001</v>
      </c>
      <c r="U2307">
        <v>-0.33755489999999999</v>
      </c>
      <c r="V2307">
        <v>-9.1994350000000003E-2</v>
      </c>
      <c r="W2307">
        <v>0.17200090000000001</v>
      </c>
      <c r="X2307">
        <v>0.98079189999999905</v>
      </c>
      <c r="Y2307">
        <v>-0.23327310000000001</v>
      </c>
      <c r="Z2307">
        <v>3.7897269999999997E-2</v>
      </c>
      <c r="AA2307">
        <v>0.97167250000000005</v>
      </c>
      <c r="AB2307">
        <v>30</v>
      </c>
      <c r="AC2307">
        <v>12.8867999999999</v>
      </c>
      <c r="AD2307">
        <v>-1.116754829707</v>
      </c>
      <c r="AE2307">
        <v>-1.34157999999999</v>
      </c>
      <c r="AF2307">
        <v>-3.0813767714554299</v>
      </c>
      <c r="AG2307">
        <v>-1.116754829707</v>
      </c>
      <c r="AH2307">
        <v>12.486304847317699</v>
      </c>
      <c r="AI2307">
        <v>94.962736359770602</v>
      </c>
      <c r="AJ2307">
        <v>103.86250037452</v>
      </c>
      <c r="AK2307">
        <v>12.909292501817699</v>
      </c>
    </row>
    <row r="2308" spans="1:37" x14ac:dyDescent="0.2">
      <c r="A2308" t="str">
        <f>"20200111150640353"</f>
        <v>20200111150640353</v>
      </c>
      <c r="B2308" t="str">
        <f>"1578726400348718"</f>
        <v>1578726400348718</v>
      </c>
      <c r="C2308" t="s">
        <v>37</v>
      </c>
      <c r="D2308">
        <v>4.7939749999999997</v>
      </c>
      <c r="E2308">
        <v>0.44764039999999999</v>
      </c>
      <c r="F2308" t="s">
        <v>39</v>
      </c>
      <c r="G2308">
        <v>-277.71480000000003</v>
      </c>
      <c r="H2308" s="1">
        <v>-2.4650299999999899E-6</v>
      </c>
      <c r="I2308">
        <v>-60.3786699999999</v>
      </c>
      <c r="J2308">
        <v>-288.8381</v>
      </c>
      <c r="K2308">
        <v>1.116711</v>
      </c>
      <c r="L2308">
        <v>-59.128390000000003</v>
      </c>
      <c r="M2308">
        <v>0.946196699999999</v>
      </c>
      <c r="N2308">
        <v>0</v>
      </c>
      <c r="O2308">
        <v>-0.32326129999999997</v>
      </c>
      <c r="P2308">
        <v>0.95847479999999996</v>
      </c>
      <c r="Q2308">
        <v>0.1601872</v>
      </c>
      <c r="R2308">
        <v>-0.23593710000000001</v>
      </c>
      <c r="S2308">
        <v>3.0986940000000001</v>
      </c>
      <c r="T2308">
        <v>-0.303326599999999</v>
      </c>
      <c r="U2308">
        <v>-0.363037099999999</v>
      </c>
      <c r="V2308">
        <v>-9.22457E-2</v>
      </c>
      <c r="W2308">
        <v>0.1716443</v>
      </c>
      <c r="X2308">
        <v>0.98083069999999895</v>
      </c>
      <c r="Y2308">
        <v>-0.20854410000000001</v>
      </c>
      <c r="Z2308">
        <v>4.1031270000000002E-2</v>
      </c>
      <c r="AA2308">
        <v>0.97715189999999996</v>
      </c>
      <c r="AB2308">
        <v>30</v>
      </c>
      <c r="AC2308">
        <v>11.123299999999899</v>
      </c>
      <c r="AD2308">
        <v>-1.1167134650299999</v>
      </c>
      <c r="AE2308">
        <v>-1.2502799999999801</v>
      </c>
      <c r="AF2308">
        <v>-2.3891995054530302</v>
      </c>
      <c r="AG2308">
        <v>-1.1167134650299999</v>
      </c>
      <c r="AH2308">
        <v>10.822447927201299</v>
      </c>
      <c r="AI2308">
        <v>95.753636551474301</v>
      </c>
      <c r="AJ2308">
        <v>102.449127652161</v>
      </c>
      <c r="AK2308">
        <v>11.1391517799526</v>
      </c>
    </row>
    <row r="2309" spans="1:37" x14ac:dyDescent="0.2">
      <c r="A2309" t="str">
        <f>"20200111150640376"</f>
        <v>20200111150640376</v>
      </c>
      <c r="B2309" t="str">
        <f>"1578726400369214"</f>
        <v>1578726400369214</v>
      </c>
      <c r="C2309" t="s">
        <v>37</v>
      </c>
      <c r="D2309">
        <v>4.7427859999999997</v>
      </c>
      <c r="E2309">
        <v>0.44901269999999999</v>
      </c>
      <c r="F2309" t="s">
        <v>39</v>
      </c>
      <c r="G2309">
        <v>-277.60019999999997</v>
      </c>
      <c r="H2309" s="1">
        <v>-2.4338439999999998E-6</v>
      </c>
      <c r="I2309">
        <v>-60.297199999999997</v>
      </c>
      <c r="J2309">
        <v>-288.53960000000001</v>
      </c>
      <c r="K2309">
        <v>1.1166510000000001</v>
      </c>
      <c r="L2309">
        <v>-59.212859999999999</v>
      </c>
      <c r="M2309">
        <v>0.95157599999999998</v>
      </c>
      <c r="N2309">
        <v>0</v>
      </c>
      <c r="O2309">
        <v>-0.3070657</v>
      </c>
      <c r="P2309">
        <v>0.96214319999999898</v>
      </c>
      <c r="Q2309">
        <v>0.16048609999999999</v>
      </c>
      <c r="R2309">
        <v>-0.220282899999999</v>
      </c>
      <c r="S2309">
        <v>3.1020509999999999</v>
      </c>
      <c r="T2309">
        <v>-0.30825000000000002</v>
      </c>
      <c r="U2309">
        <v>-0.32263179999999902</v>
      </c>
      <c r="V2309">
        <v>-9.1460799999999995E-2</v>
      </c>
      <c r="W2309">
        <v>0.17196710000000001</v>
      </c>
      <c r="X2309">
        <v>0.98084769999999899</v>
      </c>
      <c r="Y2309">
        <v>-0.20456540000000001</v>
      </c>
      <c r="Z2309">
        <v>3.997556E-2</v>
      </c>
      <c r="AA2309">
        <v>0.97803629999999997</v>
      </c>
      <c r="AB2309">
        <v>30</v>
      </c>
      <c r="AC2309">
        <v>10.939399999999999</v>
      </c>
      <c r="AD2309">
        <v>-1.116653433844</v>
      </c>
      <c r="AE2309">
        <v>-1.0843399999999901</v>
      </c>
      <c r="AF2309">
        <v>-2.3037607484748799</v>
      </c>
      <c r="AG2309">
        <v>-1.116653433844</v>
      </c>
      <c r="AH2309">
        <v>10.634058289269401</v>
      </c>
      <c r="AI2309">
        <v>95.859557398483503</v>
      </c>
      <c r="AJ2309">
        <v>102.223654853325</v>
      </c>
      <c r="AK2309">
        <v>10.9378893840223</v>
      </c>
    </row>
    <row r="2310" spans="1:37" x14ac:dyDescent="0.2">
      <c r="A2310" t="str">
        <f>"20200111150640398"</f>
        <v>20200111150640398</v>
      </c>
      <c r="B2310" t="str">
        <f>"1578726400388734"</f>
        <v>1578726400388734</v>
      </c>
      <c r="C2310" t="s">
        <v>37</v>
      </c>
      <c r="D2310">
        <v>4.8501989999999999</v>
      </c>
      <c r="E2310">
        <v>0.45602349999999903</v>
      </c>
      <c r="F2310" t="s">
        <v>39</v>
      </c>
      <c r="G2310">
        <v>-277.32170000000002</v>
      </c>
      <c r="H2310" s="1">
        <v>-2.3286879999999999E-6</v>
      </c>
      <c r="I2310">
        <v>-60.232409999999902</v>
      </c>
      <c r="J2310">
        <v>-288.25700000000001</v>
      </c>
      <c r="K2310">
        <v>1.116592</v>
      </c>
      <c r="L2310">
        <v>-59.287959999999998</v>
      </c>
      <c r="M2310">
        <v>0.9563699</v>
      </c>
      <c r="N2310">
        <v>0</v>
      </c>
      <c r="O2310">
        <v>-0.29179369999999999</v>
      </c>
      <c r="P2310">
        <v>0.96507410000000005</v>
      </c>
      <c r="Q2310">
        <v>0.1609246</v>
      </c>
      <c r="R2310">
        <v>-0.2067254</v>
      </c>
      <c r="S2310">
        <v>3.1049500000000001</v>
      </c>
      <c r="T2310">
        <v>-0.3090733</v>
      </c>
      <c r="U2310">
        <v>-0.282196</v>
      </c>
      <c r="V2310">
        <v>-8.9519199999999993E-2</v>
      </c>
      <c r="W2310">
        <v>0.17246639999999999</v>
      </c>
      <c r="X2310">
        <v>0.98093909999999995</v>
      </c>
      <c r="Y2310">
        <v>-0.20168269999999999</v>
      </c>
      <c r="Z2310">
        <v>3.8493680000000002E-2</v>
      </c>
      <c r="AA2310">
        <v>0.97869419999999996</v>
      </c>
      <c r="AB2310">
        <v>30</v>
      </c>
      <c r="AC2310">
        <v>10.9352999999999</v>
      </c>
      <c r="AD2310">
        <v>-1.116594328688</v>
      </c>
      <c r="AE2310">
        <v>-0.94444999999999601</v>
      </c>
      <c r="AF2310">
        <v>-2.2644171784167799</v>
      </c>
      <c r="AG2310">
        <v>-1.116594328688</v>
      </c>
      <c r="AH2310">
        <v>10.624961308868899</v>
      </c>
      <c r="AI2310">
        <v>95.868439796997606</v>
      </c>
      <c r="AJ2310">
        <v>102.03101475144901</v>
      </c>
      <c r="AK2310">
        <v>10.920813654106899</v>
      </c>
    </row>
    <row r="2311" spans="1:37" x14ac:dyDescent="0.2">
      <c r="A2311" t="str">
        <f>"20200111150640419"</f>
        <v>20200111150640419</v>
      </c>
      <c r="B2311" t="str">
        <f>"1578726400409230"</f>
        <v>1578726400409230</v>
      </c>
      <c r="C2311" t="s">
        <v>37</v>
      </c>
      <c r="D2311">
        <v>4.7478439999999997</v>
      </c>
      <c r="E2311">
        <v>0.43543959999999998</v>
      </c>
      <c r="F2311" t="s">
        <v>39</v>
      </c>
      <c r="G2311">
        <v>-278.0016</v>
      </c>
      <c r="H2311" s="1">
        <v>-2.6145979999999999E-6</v>
      </c>
      <c r="I2311">
        <v>-60.258459999999999</v>
      </c>
      <c r="J2311">
        <v>-287.97890000000001</v>
      </c>
      <c r="K2311">
        <v>1.1165160000000001</v>
      </c>
      <c r="L2311">
        <v>-59.357300000000002</v>
      </c>
      <c r="M2311">
        <v>0.96080309999999902</v>
      </c>
      <c r="N2311">
        <v>0</v>
      </c>
      <c r="O2311">
        <v>-0.27684819999999999</v>
      </c>
      <c r="P2311">
        <v>0.96767440000000005</v>
      </c>
      <c r="Q2311">
        <v>0.16118850000000001</v>
      </c>
      <c r="R2311">
        <v>-0.19397110000000001</v>
      </c>
      <c r="S2311">
        <v>3.10202</v>
      </c>
      <c r="T2311">
        <v>-0.3377405</v>
      </c>
      <c r="U2311">
        <v>-0.29354859999999999</v>
      </c>
      <c r="V2311">
        <v>-8.7129570000000003E-2</v>
      </c>
      <c r="W2311">
        <v>0.1728064</v>
      </c>
      <c r="X2311">
        <v>0.98109449999999998</v>
      </c>
      <c r="Y2311">
        <v>-0.182478</v>
      </c>
      <c r="Z2311">
        <v>3.9476450000000003E-2</v>
      </c>
      <c r="AA2311">
        <v>0.98241710000000004</v>
      </c>
      <c r="AB2311">
        <v>30</v>
      </c>
      <c r="AC2311">
        <v>9.9773000000000103</v>
      </c>
      <c r="AD2311">
        <v>-1.1165186145979999</v>
      </c>
      <c r="AE2311">
        <v>-0.90115999999999696</v>
      </c>
      <c r="AF2311">
        <v>-1.8732924452759501</v>
      </c>
      <c r="AG2311">
        <v>-1.1165186145979999</v>
      </c>
      <c r="AH2311">
        <v>9.7160614236696095</v>
      </c>
      <c r="AI2311">
        <v>96.437831755273194</v>
      </c>
      <c r="AJ2311">
        <v>100.912929323911</v>
      </c>
      <c r="AK2311">
        <v>9.9577953378643294</v>
      </c>
    </row>
    <row r="2312" spans="1:37" x14ac:dyDescent="0.2">
      <c r="A2312" t="str">
        <f>"20200111150640442"</f>
        <v>20200111150640442</v>
      </c>
      <c r="B2312" t="str">
        <f>"1578726400438510"</f>
        <v>1578726400438510</v>
      </c>
      <c r="C2312" t="s">
        <v>37</v>
      </c>
      <c r="D2312">
        <v>4.692183</v>
      </c>
      <c r="E2312">
        <v>0.43240000000000001</v>
      </c>
      <c r="F2312" t="s">
        <v>39</v>
      </c>
      <c r="G2312">
        <v>-275.59109999999998</v>
      </c>
      <c r="H2312" s="1">
        <v>-1.6997870000000001E-6</v>
      </c>
      <c r="I2312">
        <v>-59.719050000000003</v>
      </c>
      <c r="J2312">
        <v>-287.68799999999999</v>
      </c>
      <c r="K2312">
        <v>1.1164049999999901</v>
      </c>
      <c r="L2312">
        <v>-59.425109999999997</v>
      </c>
      <c r="M2312">
        <v>0.96513340000000003</v>
      </c>
      <c r="N2312">
        <v>0</v>
      </c>
      <c r="O2312">
        <v>-0.26135349999999902</v>
      </c>
      <c r="P2312">
        <v>0.97014059999999902</v>
      </c>
      <c r="Q2312">
        <v>0.16175390000000001</v>
      </c>
      <c r="R2312">
        <v>-0.18072939999999901</v>
      </c>
      <c r="S2312">
        <v>3.1289060000000002</v>
      </c>
      <c r="T2312">
        <v>-0.2820086</v>
      </c>
      <c r="U2312">
        <v>-9.1369629999999993E-2</v>
      </c>
      <c r="V2312">
        <v>-8.4692539999999997E-2</v>
      </c>
      <c r="W2312">
        <v>0.17344699999999999</v>
      </c>
      <c r="X2312">
        <v>0.98119489999999998</v>
      </c>
      <c r="Y2312">
        <v>-0.2311231</v>
      </c>
      <c r="Z2312">
        <v>3.3667349999999999E-2</v>
      </c>
      <c r="AA2312">
        <v>0.97234179999999903</v>
      </c>
      <c r="AB2312">
        <v>30</v>
      </c>
      <c r="AC2312">
        <v>12.0969</v>
      </c>
      <c r="AD2312">
        <v>-1.1164066997869999</v>
      </c>
      <c r="AE2312">
        <v>-0.29394000000000597</v>
      </c>
      <c r="AF2312">
        <v>-2.85388797367562</v>
      </c>
      <c r="AG2312">
        <v>-1.1164066997869999</v>
      </c>
      <c r="AH2312">
        <v>11.653988857490599</v>
      </c>
      <c r="AI2312">
        <v>95.315881530297602</v>
      </c>
      <c r="AJ2312">
        <v>103.760088846846</v>
      </c>
      <c r="AK2312">
        <v>12.0501658401922</v>
      </c>
    </row>
    <row r="2313" spans="1:37" x14ac:dyDescent="0.2">
      <c r="A2313" t="str">
        <f>"20200111150640464"</f>
        <v>20200111150640464</v>
      </c>
      <c r="B2313" t="str">
        <f>"1578726400459009"</f>
        <v>1578726400459009</v>
      </c>
      <c r="C2313" t="s">
        <v>37</v>
      </c>
      <c r="D2313">
        <v>4.7287119999999998</v>
      </c>
      <c r="E2313">
        <v>0.4330792</v>
      </c>
      <c r="F2313" t="s">
        <v>39</v>
      </c>
      <c r="G2313">
        <v>-273.81670000000003</v>
      </c>
      <c r="H2313" s="1">
        <v>-9.7875680000000005E-7</v>
      </c>
      <c r="I2313">
        <v>-59.537239999999997</v>
      </c>
      <c r="J2313">
        <v>-287.40159999999997</v>
      </c>
      <c r="K2313">
        <v>1.1162540000000001</v>
      </c>
      <c r="L2313">
        <v>-59.487269999999903</v>
      </c>
      <c r="M2313">
        <v>0.9690858</v>
      </c>
      <c r="N2313">
        <v>0</v>
      </c>
      <c r="O2313">
        <v>-0.2462964</v>
      </c>
      <c r="P2313">
        <v>0.97256299999999996</v>
      </c>
      <c r="Q2313">
        <v>0.1616619</v>
      </c>
      <c r="R2313">
        <v>-0.16729160000000001</v>
      </c>
      <c r="S2313">
        <v>3.1296080000000002</v>
      </c>
      <c r="T2313">
        <v>-0.25187959999999998</v>
      </c>
      <c r="U2313">
        <v>-2.529907E-2</v>
      </c>
      <c r="V2313">
        <v>-8.2923990000000003E-2</v>
      </c>
      <c r="W2313">
        <v>0.17340659999999999</v>
      </c>
      <c r="X2313">
        <v>0.98135300000000003</v>
      </c>
      <c r="Y2313">
        <v>-0.23693059999999999</v>
      </c>
      <c r="Z2313">
        <v>2.9151259999999998E-2</v>
      </c>
      <c r="AA2313">
        <v>0.97108909999999904</v>
      </c>
      <c r="AB2313">
        <v>30</v>
      </c>
      <c r="AC2313">
        <v>13.5848999999999</v>
      </c>
      <c r="AD2313">
        <v>-1.1162549787567999</v>
      </c>
      <c r="AE2313">
        <v>-4.9970000000008903E-2</v>
      </c>
      <c r="AF2313">
        <v>-3.2757179439208</v>
      </c>
      <c r="AG2313">
        <v>-1.1162549787567999</v>
      </c>
      <c r="AH2313">
        <v>13.090249783002401</v>
      </c>
      <c r="AI2313">
        <v>94.728912524147205</v>
      </c>
      <c r="AJ2313">
        <v>104.04924184265499</v>
      </c>
      <c r="AK2313">
        <v>13.5399775704067</v>
      </c>
    </row>
    <row r="2314" spans="1:37" x14ac:dyDescent="0.2">
      <c r="A2314" t="str">
        <f>"20200111150640487"</f>
        <v>20200111150640487</v>
      </c>
      <c r="B2314" t="str">
        <f>"1578726400478526"</f>
        <v>1578726400478526</v>
      </c>
      <c r="C2314" t="s">
        <v>37</v>
      </c>
      <c r="D2314">
        <v>4.7640789999999997</v>
      </c>
      <c r="E2314">
        <v>0.43400529999999998</v>
      </c>
      <c r="F2314" t="s">
        <v>39</v>
      </c>
      <c r="G2314">
        <v>-273.64640000000003</v>
      </c>
      <c r="H2314" s="1">
        <v>-9.2787390000000002E-7</v>
      </c>
      <c r="I2314">
        <v>-59.436969999999903</v>
      </c>
      <c r="J2314">
        <v>-287.1096</v>
      </c>
      <c r="K2314">
        <v>1.1160540000000001</v>
      </c>
      <c r="L2314">
        <v>-59.546140000000001</v>
      </c>
      <c r="M2314">
        <v>0.97279269999999995</v>
      </c>
      <c r="N2314">
        <v>0</v>
      </c>
      <c r="O2314">
        <v>-0.2312255</v>
      </c>
      <c r="P2314">
        <v>0.97512849999999995</v>
      </c>
      <c r="Q2314">
        <v>0.16097829999999999</v>
      </c>
      <c r="R2314">
        <v>-0.15235079999999901</v>
      </c>
      <c r="S2314">
        <v>3.1288149999999999</v>
      </c>
      <c r="T2314">
        <v>-0.25390819999999997</v>
      </c>
      <c r="U2314">
        <v>1.1444090000000001E-2</v>
      </c>
      <c r="V2314">
        <v>-8.2666400000000001E-2</v>
      </c>
      <c r="W2314">
        <v>0.1727233</v>
      </c>
      <c r="X2314">
        <v>0.98149529999999996</v>
      </c>
      <c r="Y2314">
        <v>-0.23328960000000001</v>
      </c>
      <c r="Z2314">
        <v>2.805883E-2</v>
      </c>
      <c r="AA2314">
        <v>0.97200239999999904</v>
      </c>
      <c r="AB2314">
        <v>30</v>
      </c>
      <c r="AC2314">
        <v>13.463199999999899</v>
      </c>
      <c r="AD2314">
        <v>-1.1160549278739</v>
      </c>
      <c r="AE2314">
        <v>0.109170000000005</v>
      </c>
      <c r="AF2314">
        <v>-3.19759958020596</v>
      </c>
      <c r="AG2314">
        <v>-1.1160549278739</v>
      </c>
      <c r="AH2314">
        <v>12.983809743614</v>
      </c>
      <c r="AI2314">
        <v>94.771052682644793</v>
      </c>
      <c r="AJ2314">
        <v>103.835245059961</v>
      </c>
      <c r="AK2314">
        <v>13.418253878047301</v>
      </c>
    </row>
    <row r="2315" spans="1:37" x14ac:dyDescent="0.2">
      <c r="A2315" t="str">
        <f>"20200111150640508"</f>
        <v>20200111150640508</v>
      </c>
      <c r="B2315" t="str">
        <f>"1578726400499022"</f>
        <v>1578726400499022</v>
      </c>
      <c r="C2315" t="s">
        <v>37</v>
      </c>
      <c r="D2315">
        <v>4.6533110000000004</v>
      </c>
      <c r="E2315">
        <v>0.43516480000000002</v>
      </c>
      <c r="F2315" t="s">
        <v>39</v>
      </c>
      <c r="G2315">
        <v>-273.67219999999998</v>
      </c>
      <c r="H2315" s="1">
        <v>-9.6272889999999992E-7</v>
      </c>
      <c r="I2315">
        <v>-59.32938</v>
      </c>
      <c r="J2315">
        <v>-286.82769999999999</v>
      </c>
      <c r="K2315">
        <v>1.115791</v>
      </c>
      <c r="L2315">
        <v>-59.598880000000001</v>
      </c>
      <c r="M2315">
        <v>0.97606099999999996</v>
      </c>
      <c r="N2315">
        <v>0</v>
      </c>
      <c r="O2315">
        <v>-0.21701889999999999</v>
      </c>
      <c r="P2315">
        <v>0.9774562</v>
      </c>
      <c r="Q2315">
        <v>0.15916910000000001</v>
      </c>
      <c r="R2315">
        <v>-0.1387254</v>
      </c>
      <c r="S2315">
        <v>3.127319</v>
      </c>
      <c r="T2315">
        <v>-0.25974069999999999</v>
      </c>
      <c r="U2315">
        <v>5.044556E-2</v>
      </c>
      <c r="V2315">
        <v>-8.1956219999999996E-2</v>
      </c>
      <c r="W2315">
        <v>0.17092979999999899</v>
      </c>
      <c r="X2315">
        <v>0.98186870000000004</v>
      </c>
      <c r="Y2315">
        <v>-0.23122190000000001</v>
      </c>
      <c r="Z2315">
        <v>2.747846E-2</v>
      </c>
      <c r="AA2315">
        <v>0.97251290000000001</v>
      </c>
      <c r="AB2315">
        <v>30</v>
      </c>
      <c r="AC2315">
        <v>13.1555</v>
      </c>
      <c r="AD2315">
        <v>-1.1157919627288999</v>
      </c>
      <c r="AE2315">
        <v>0.26949999999999302</v>
      </c>
      <c r="AF2315">
        <v>-3.0961014187984</v>
      </c>
      <c r="AG2315">
        <v>-1.1157919627288999</v>
      </c>
      <c r="AH2315">
        <v>12.6921465828836</v>
      </c>
      <c r="AI2315">
        <v>94.881647654187603</v>
      </c>
      <c r="AJ2315">
        <v>103.708903533544</v>
      </c>
      <c r="AK2315">
        <v>13.111880894096799</v>
      </c>
    </row>
    <row r="2316" spans="1:37" x14ac:dyDescent="0.2">
      <c r="A2316" t="str">
        <f>"20200111150640531"</f>
        <v>20200111150640531</v>
      </c>
      <c r="B2316" t="str">
        <f>"1578726400529279"</f>
        <v>1578726400529279</v>
      </c>
      <c r="C2316" t="s">
        <v>37</v>
      </c>
      <c r="D2316">
        <v>4.5959050000000001</v>
      </c>
      <c r="E2316">
        <v>0.43710199999999999</v>
      </c>
      <c r="F2316" t="s">
        <v>39</v>
      </c>
      <c r="G2316">
        <v>-273.63150000000002</v>
      </c>
      <c r="H2316" s="1">
        <v>-9.6414940000000006E-7</v>
      </c>
      <c r="I2316">
        <v>-59.244129999999998</v>
      </c>
      <c r="J2316">
        <v>-286.53399999999999</v>
      </c>
      <c r="K2316">
        <v>1.1154489999999999</v>
      </c>
      <c r="L2316">
        <v>-59.64978</v>
      </c>
      <c r="M2316">
        <v>0.97914269999999903</v>
      </c>
      <c r="N2316">
        <v>0</v>
      </c>
      <c r="O2316">
        <v>-0.2026676</v>
      </c>
      <c r="P2316">
        <v>0.97911599999999999</v>
      </c>
      <c r="Q2316">
        <v>0.158694899999999</v>
      </c>
      <c r="R2316">
        <v>-0.12707489999999999</v>
      </c>
      <c r="S2316">
        <v>3.1240839999999999</v>
      </c>
      <c r="T2316">
        <v>-0.26415420000000001</v>
      </c>
      <c r="U2316">
        <v>8.3984379999999997E-2</v>
      </c>
      <c r="V2316">
        <v>-7.9089489999999998E-2</v>
      </c>
      <c r="W2316">
        <v>0.1705342</v>
      </c>
      <c r="X2316">
        <v>0.9821725</v>
      </c>
      <c r="Y2316">
        <v>-0.22740250000000001</v>
      </c>
      <c r="Z2316">
        <v>2.6621410000000002E-2</v>
      </c>
      <c r="AA2316">
        <v>0.97343690000000005</v>
      </c>
      <c r="AB2316">
        <v>30</v>
      </c>
      <c r="AC2316">
        <v>12.9024999999999</v>
      </c>
      <c r="AD2316">
        <v>-1.11544996414939</v>
      </c>
      <c r="AE2316">
        <v>0.40565000000000101</v>
      </c>
      <c r="AF2316">
        <v>-2.9900915189261101</v>
      </c>
      <c r="AG2316">
        <v>-1.11544996414939</v>
      </c>
      <c r="AH2316">
        <v>12.459436152679499</v>
      </c>
      <c r="AI2316">
        <v>94.975325150379206</v>
      </c>
      <c r="AJ2316">
        <v>103.49498036566899</v>
      </c>
      <c r="AK2316">
        <v>12.861664944974001</v>
      </c>
    </row>
    <row r="2317" spans="1:37" x14ac:dyDescent="0.2">
      <c r="A2317" t="str">
        <f>"20200111150640555"</f>
        <v>20200111150640555</v>
      </c>
      <c r="B2317" t="str">
        <f>"1578726400548798"</f>
        <v>1578726400548798</v>
      </c>
      <c r="C2317" t="s">
        <v>37</v>
      </c>
      <c r="D2317">
        <v>4.7439119999999999</v>
      </c>
      <c r="E2317">
        <v>0.42213400000000001</v>
      </c>
      <c r="F2317" t="s">
        <v>39</v>
      </c>
      <c r="G2317">
        <v>-273.71499999999997</v>
      </c>
      <c r="H2317" s="1">
        <v>-1.005963E-6</v>
      </c>
      <c r="I2317">
        <v>-59.216929999999998</v>
      </c>
      <c r="J2317">
        <v>-286.233</v>
      </c>
      <c r="K2317">
        <v>1.1150100000000001</v>
      </c>
      <c r="L2317">
        <v>-59.697719999999997</v>
      </c>
      <c r="M2317">
        <v>0.98195080000000001</v>
      </c>
      <c r="N2317">
        <v>0</v>
      </c>
      <c r="O2317">
        <v>-0.1885993</v>
      </c>
      <c r="P2317">
        <v>0.98024789999999995</v>
      </c>
      <c r="Q2317">
        <v>0.16065499999999999</v>
      </c>
      <c r="R2317">
        <v>-0.115342899999999</v>
      </c>
      <c r="S2317">
        <v>3.1217039999999998</v>
      </c>
      <c r="T2317">
        <v>-0.27163549999999997</v>
      </c>
      <c r="U2317">
        <v>0.10540769999999999</v>
      </c>
      <c r="V2317">
        <v>-7.6566149999999999E-2</v>
      </c>
      <c r="W2317">
        <v>0.17255229999999999</v>
      </c>
      <c r="X2317">
        <v>0.98202</v>
      </c>
      <c r="Y2317">
        <v>-0.22011339999999999</v>
      </c>
      <c r="Z2317">
        <v>2.5871640000000001E-2</v>
      </c>
      <c r="AA2317">
        <v>0.97513119999999998</v>
      </c>
      <c r="AB2317">
        <v>30</v>
      </c>
      <c r="AC2317">
        <v>12.518000000000001</v>
      </c>
      <c r="AD2317">
        <v>-1.1150110059630001</v>
      </c>
      <c r="AE2317">
        <v>0.480789999999991</v>
      </c>
      <c r="AF2317">
        <v>-2.81101610082069</v>
      </c>
      <c r="AG2317">
        <v>-1.1150110059630001</v>
      </c>
      <c r="AH2317">
        <v>12.106709352443801</v>
      </c>
      <c r="AI2317">
        <v>95.126402652985604</v>
      </c>
      <c r="AJ2317">
        <v>103.07169787858</v>
      </c>
      <c r="AK2317">
        <v>12.478680715806499</v>
      </c>
    </row>
    <row r="2318" spans="1:37" x14ac:dyDescent="0.2">
      <c r="A2318" t="str">
        <f>"20200111150640577"</f>
        <v>20200111150640577</v>
      </c>
      <c r="B2318" t="str">
        <f>"1578726400569297"</f>
        <v>1578726400569297</v>
      </c>
      <c r="C2318" t="s">
        <v>37</v>
      </c>
      <c r="D2318">
        <v>4.6176760000000003</v>
      </c>
      <c r="E2318">
        <v>0.44773390000000002</v>
      </c>
      <c r="F2318" t="s">
        <v>76</v>
      </c>
      <c r="G2318">
        <v>-167.99870000000001</v>
      </c>
      <c r="H2318">
        <v>12.09437</v>
      </c>
      <c r="I2318">
        <v>-49.287640000000003</v>
      </c>
      <c r="J2318">
        <v>-285.93490000000003</v>
      </c>
      <c r="K2318">
        <v>1.114509</v>
      </c>
      <c r="L2318">
        <v>-59.741459999999996</v>
      </c>
      <c r="M2318">
        <v>0.98439829999999995</v>
      </c>
      <c r="N2318">
        <v>0</v>
      </c>
      <c r="O2318">
        <v>-0.17538599999999999</v>
      </c>
      <c r="P2318">
        <v>0.98118300000000003</v>
      </c>
      <c r="Q2318">
        <v>0.1631369</v>
      </c>
      <c r="R2318">
        <v>-0.1032793</v>
      </c>
      <c r="S2318">
        <v>3.0456539999999999</v>
      </c>
      <c r="T2318">
        <v>0.28282180000000001</v>
      </c>
      <c r="U2318">
        <v>0.26815800000000001</v>
      </c>
      <c r="V2318">
        <v>-7.5222629999999999E-2</v>
      </c>
      <c r="W2318">
        <v>0.17505229999999999</v>
      </c>
      <c r="X2318">
        <v>0.98168129999999998</v>
      </c>
      <c r="Y2318">
        <v>-0.2592177</v>
      </c>
      <c r="Z2318">
        <v>-2.8176469999999999E-2</v>
      </c>
      <c r="AA2318">
        <v>0.96540780000000004</v>
      </c>
      <c r="AB2318">
        <v>30</v>
      </c>
      <c r="AC2318">
        <v>117.9362</v>
      </c>
      <c r="AD2318">
        <v>10.979861</v>
      </c>
      <c r="AE2318">
        <v>10.453819999999901</v>
      </c>
      <c r="AF2318">
        <v>-30.714032984236098</v>
      </c>
      <c r="AG2318">
        <v>10.979861</v>
      </c>
      <c r="AH2318">
        <v>113.29977146284401</v>
      </c>
      <c r="AI2318">
        <v>84.656446552874897</v>
      </c>
      <c r="AJ2318">
        <v>105.16757870203899</v>
      </c>
      <c r="AK2318">
        <v>117.901430793985</v>
      </c>
    </row>
    <row r="2319" spans="1:37" x14ac:dyDescent="0.2">
      <c r="A2319" t="str">
        <f>"20200111150640598"</f>
        <v>20200111150640598</v>
      </c>
      <c r="B2319" t="str">
        <f>"1578726400588814"</f>
        <v>1578726400588814</v>
      </c>
      <c r="C2319" t="s">
        <v>37</v>
      </c>
      <c r="D2319">
        <v>4.6932339999999897</v>
      </c>
      <c r="E2319">
        <v>0.44658540000000002</v>
      </c>
      <c r="F2319" t="s">
        <v>39</v>
      </c>
      <c r="G2319">
        <v>-266.39659999999998</v>
      </c>
      <c r="H2319" s="1">
        <v>-1.9696909999999999E-6</v>
      </c>
      <c r="I2319">
        <v>-59.141640000000002</v>
      </c>
      <c r="J2319">
        <v>-285.6542</v>
      </c>
      <c r="K2319">
        <v>1.1140330000000001</v>
      </c>
      <c r="L2319">
        <v>-59.779629999999997</v>
      </c>
      <c r="M2319">
        <v>0.98643979999999998</v>
      </c>
      <c r="N2319">
        <v>0</v>
      </c>
      <c r="O2319">
        <v>-0.1635221</v>
      </c>
      <c r="P2319">
        <v>0.9821936</v>
      </c>
      <c r="Q2319">
        <v>0.16388949999999999</v>
      </c>
      <c r="R2319">
        <v>-9.1847799999999993E-2</v>
      </c>
      <c r="S2319">
        <v>3.0968930000000001</v>
      </c>
      <c r="T2319">
        <v>-0.1766537</v>
      </c>
      <c r="U2319">
        <v>9.5062259999999996E-2</v>
      </c>
      <c r="V2319">
        <v>-7.4623129999999996E-2</v>
      </c>
      <c r="W2319">
        <v>0.1758035</v>
      </c>
      <c r="X2319">
        <v>0.98159280000000004</v>
      </c>
      <c r="Y2319">
        <v>-0.1931515</v>
      </c>
      <c r="Z2319">
        <v>1.4796200000000001E-2</v>
      </c>
      <c r="AA2319">
        <v>0.98105730000000002</v>
      </c>
      <c r="AB2319">
        <v>30</v>
      </c>
      <c r="AC2319">
        <v>19.2576</v>
      </c>
      <c r="AD2319">
        <v>-1.1140349696909999</v>
      </c>
      <c r="AE2319">
        <v>0.63799000000000206</v>
      </c>
      <c r="AF2319">
        <v>-3.7661645052424801</v>
      </c>
      <c r="AG2319">
        <v>-1.1140349696909999</v>
      </c>
      <c r="AH2319">
        <v>18.831049811989601</v>
      </c>
      <c r="AI2319">
        <v>93.320045203619301</v>
      </c>
      <c r="AJ2319">
        <v>101.309799484561</v>
      </c>
      <c r="AK2319">
        <v>19.2362549893652</v>
      </c>
    </row>
    <row r="2320" spans="1:37" x14ac:dyDescent="0.2">
      <c r="A2320" t="str">
        <f>"20200111150640621"</f>
        <v>20200111150640621</v>
      </c>
      <c r="B2320" t="str">
        <f>"1578726400609310"</f>
        <v>1578726400609310</v>
      </c>
      <c r="C2320" t="s">
        <v>37</v>
      </c>
      <c r="D2320">
        <v>5.1758419999999896</v>
      </c>
      <c r="E2320">
        <v>0.44706319999999999</v>
      </c>
      <c r="F2320" t="s">
        <v>39</v>
      </c>
      <c r="G2320">
        <v>-261.52359999999999</v>
      </c>
      <c r="H2320" s="1">
        <v>3.0708969999999998E-8</v>
      </c>
      <c r="I2320">
        <v>-58.695149999999998</v>
      </c>
      <c r="J2320">
        <v>-285.36329999999998</v>
      </c>
      <c r="K2320">
        <v>1.113507</v>
      </c>
      <c r="L2320">
        <v>-59.816189999999999</v>
      </c>
      <c r="M2320">
        <v>0.9882898</v>
      </c>
      <c r="N2320">
        <v>0</v>
      </c>
      <c r="O2320">
        <v>-0.151951</v>
      </c>
      <c r="P2320">
        <v>0.98315379999999997</v>
      </c>
      <c r="Q2320">
        <v>0.16284470000000001</v>
      </c>
      <c r="R2320">
        <v>-8.3008460000000006E-2</v>
      </c>
      <c r="S2320">
        <v>3.0911869999999899</v>
      </c>
      <c r="T2320">
        <v>-0.14271039999999999</v>
      </c>
      <c r="U2320">
        <v>0.13891600000000001</v>
      </c>
      <c r="V2320">
        <v>-7.1716699999999994E-2</v>
      </c>
      <c r="W2320">
        <v>0.1748237</v>
      </c>
      <c r="X2320">
        <v>0.98198439999999998</v>
      </c>
      <c r="Y2320">
        <v>-0.19581589999999999</v>
      </c>
      <c r="Z2320">
        <v>1.1509449999999999E-2</v>
      </c>
      <c r="AA2320">
        <v>0.98057309999999998</v>
      </c>
      <c r="AB2320">
        <v>30</v>
      </c>
      <c r="AC2320">
        <v>23.839700000000001</v>
      </c>
      <c r="AD2320">
        <v>-1.11350696929103</v>
      </c>
      <c r="AE2320">
        <v>1.12104</v>
      </c>
      <c r="AF2320">
        <v>-4.7205620822163299</v>
      </c>
      <c r="AG2320">
        <v>-1.11350696929103</v>
      </c>
      <c r="AH2320">
        <v>23.34164943979</v>
      </c>
      <c r="AI2320">
        <v>92.677092037475404</v>
      </c>
      <c r="AJ2320">
        <v>101.43316021910999</v>
      </c>
      <c r="AK2320">
        <v>23.840222371294502</v>
      </c>
    </row>
    <row r="2321" spans="1:37" x14ac:dyDescent="0.2">
      <c r="A2321" t="str">
        <f>"20200111150640631"</f>
        <v>20200111150640631</v>
      </c>
      <c r="B2321" t="str">
        <f>"1578726400628830"</f>
        <v>1578726400628830</v>
      </c>
      <c r="C2321" t="s">
        <v>37</v>
      </c>
      <c r="D2321">
        <v>4.5751489999999997</v>
      </c>
      <c r="E2321">
        <v>0.44992019999999999</v>
      </c>
      <c r="F2321" t="s">
        <v>100</v>
      </c>
      <c r="G2321">
        <v>-261.03129999999999</v>
      </c>
      <c r="H2321" s="1">
        <v>1.5766190000000001E-7</v>
      </c>
      <c r="I2321">
        <v>-58.542580000000001</v>
      </c>
      <c r="J2321">
        <v>-285.21469999999999</v>
      </c>
      <c r="K2321">
        <v>1.113227</v>
      </c>
      <c r="L2321">
        <v>-59.83408</v>
      </c>
      <c r="M2321">
        <v>0.98914740000000001</v>
      </c>
      <c r="N2321">
        <v>0</v>
      </c>
      <c r="O2321">
        <v>-0.14627009999999999</v>
      </c>
      <c r="P2321">
        <v>0.98356779999999999</v>
      </c>
      <c r="Q2321">
        <v>0.16213329999999901</v>
      </c>
      <c r="R2321">
        <v>-7.9417360000000006E-2</v>
      </c>
      <c r="S2321">
        <v>3.08847</v>
      </c>
      <c r="T2321">
        <v>-0.14133760000000001</v>
      </c>
      <c r="U2321">
        <v>0.16165160000000001</v>
      </c>
      <c r="V2321">
        <v>-6.9533860000000003E-2</v>
      </c>
      <c r="W2321">
        <v>0.17416309999999999</v>
      </c>
      <c r="X2321">
        <v>0.98225869999999904</v>
      </c>
      <c r="Y2321">
        <v>-0.1974322</v>
      </c>
      <c r="Z2321">
        <v>1.1186750000000001E-2</v>
      </c>
      <c r="AA2321">
        <v>0.98025269999999998</v>
      </c>
      <c r="AB2321">
        <v>30</v>
      </c>
      <c r="AC2321">
        <v>24.183399999999999</v>
      </c>
      <c r="AD2321">
        <v>-1.1132268423381</v>
      </c>
      <c r="AE2321">
        <v>1.2914999999999901</v>
      </c>
      <c r="AF2321">
        <v>-4.8051025489622399</v>
      </c>
      <c r="AG2321">
        <v>-1.1132268423381</v>
      </c>
      <c r="AH2321">
        <v>23.684279235723</v>
      </c>
      <c r="AI2321">
        <v>92.637426129656504</v>
      </c>
      <c r="AJ2321">
        <v>101.46859307159301</v>
      </c>
      <c r="AK2321">
        <v>24.192423760844001</v>
      </c>
    </row>
    <row r="2322" spans="1:37" x14ac:dyDescent="0.2">
      <c r="A2322" t="str">
        <f>"20200111150640643"</f>
        <v>20200111150640643</v>
      </c>
      <c r="B2322" t="str">
        <f>"1578726400639567"</f>
        <v>1578726400639567</v>
      </c>
      <c r="C2322" t="s">
        <v>37</v>
      </c>
      <c r="D2322">
        <v>4.7228779999999997</v>
      </c>
      <c r="E2322">
        <v>0.44983699999999999</v>
      </c>
      <c r="F2322" t="s">
        <v>100</v>
      </c>
      <c r="G2322">
        <v>-260.46910000000003</v>
      </c>
      <c r="H2322" s="1">
        <v>3.7190469999999999E-7</v>
      </c>
      <c r="I2322">
        <v>-58.628719999999902</v>
      </c>
      <c r="J2322">
        <v>-285.06360000000001</v>
      </c>
      <c r="K2322">
        <v>1.1129100000000001</v>
      </c>
      <c r="L2322">
        <v>-59.851039999999998</v>
      </c>
      <c r="M2322">
        <v>0.9899249</v>
      </c>
      <c r="N2322">
        <v>0</v>
      </c>
      <c r="O2322">
        <v>-0.14091770000000001</v>
      </c>
      <c r="P2322">
        <v>0.98394380000000004</v>
      </c>
      <c r="Q2322">
        <v>0.1618134</v>
      </c>
      <c r="R2322">
        <v>-7.5308810000000004E-2</v>
      </c>
      <c r="S2322">
        <v>3.0851439999999899</v>
      </c>
      <c r="T2322">
        <v>-0.138791</v>
      </c>
      <c r="U2322">
        <v>0.1502686</v>
      </c>
      <c r="V2322">
        <v>-6.8182850000000003E-2</v>
      </c>
      <c r="W2322">
        <v>0.1738682</v>
      </c>
      <c r="X2322">
        <v>0.98240569999999905</v>
      </c>
      <c r="Y2322">
        <v>-0.18859589999999901</v>
      </c>
      <c r="Z2322">
        <v>1.0560160000000001E-2</v>
      </c>
      <c r="AA2322">
        <v>0.98199799999999904</v>
      </c>
      <c r="AB2322">
        <v>30</v>
      </c>
      <c r="AC2322">
        <v>24.594499999999901</v>
      </c>
      <c r="AD2322">
        <v>-1.1129096280952999</v>
      </c>
      <c r="AE2322">
        <v>1.2223200000000101</v>
      </c>
      <c r="AF2322">
        <v>-4.6667197299004801</v>
      </c>
      <c r="AG2322">
        <v>-1.1129096280952999</v>
      </c>
      <c r="AH2322">
        <v>24.127487573372498</v>
      </c>
      <c r="AI2322">
        <v>92.592975263555005</v>
      </c>
      <c r="AJ2322">
        <v>100.94692874770899</v>
      </c>
      <c r="AK2322">
        <v>24.5998475093037</v>
      </c>
    </row>
    <row r="2323" spans="1:37" x14ac:dyDescent="0.2">
      <c r="A2323" t="str">
        <f>"20200111150640655"</f>
        <v>20200111150640655</v>
      </c>
      <c r="B2323" t="str">
        <f>"1578726400649329"</f>
        <v>1578726400649329</v>
      </c>
      <c r="C2323" t="s">
        <v>37</v>
      </c>
      <c r="D2323">
        <v>4.6121220000000003</v>
      </c>
      <c r="E2323">
        <v>0.4511212</v>
      </c>
      <c r="F2323" t="s">
        <v>101</v>
      </c>
      <c r="G2323">
        <v>-257.80599999999998</v>
      </c>
      <c r="H2323" s="1">
        <v>-2.923553E-6</v>
      </c>
      <c r="I2323">
        <v>-58.399619999999999</v>
      </c>
      <c r="J2323">
        <v>-284.90679999999998</v>
      </c>
      <c r="K2323">
        <v>1.1125620000000001</v>
      </c>
      <c r="L2323">
        <v>-59.868409999999997</v>
      </c>
      <c r="M2323">
        <v>0.99068049999999996</v>
      </c>
      <c r="N2323">
        <v>0</v>
      </c>
      <c r="O2323">
        <v>-0.13550979999999899</v>
      </c>
      <c r="P2323">
        <v>0.98430689999999998</v>
      </c>
      <c r="Q2323">
        <v>0.16174910000000001</v>
      </c>
      <c r="R2323">
        <v>-7.0550650000000006E-2</v>
      </c>
      <c r="S2323">
        <v>3.082214</v>
      </c>
      <c r="T2323">
        <v>-0.12584500000000001</v>
      </c>
      <c r="U2323">
        <v>0.16412349999999901</v>
      </c>
      <c r="V2323">
        <v>-6.7415219999999998E-2</v>
      </c>
      <c r="W2323">
        <v>0.17381559999999999</v>
      </c>
      <c r="X2323">
        <v>0.98246789999999995</v>
      </c>
      <c r="Y2323">
        <v>-0.1877451</v>
      </c>
      <c r="Z2323">
        <v>9.3477259999999902E-3</v>
      </c>
      <c r="AA2323">
        <v>0.98217330000000003</v>
      </c>
      <c r="AB2323">
        <v>30</v>
      </c>
      <c r="AC2323">
        <v>27.1007999999999</v>
      </c>
      <c r="AD2323">
        <v>-1.112564923553</v>
      </c>
      <c r="AE2323">
        <v>1.46878999999999</v>
      </c>
      <c r="AF2323">
        <v>-5.1194081833292797</v>
      </c>
      <c r="AG2323">
        <v>-1.112564923553</v>
      </c>
      <c r="AH2323">
        <v>26.607010151237098</v>
      </c>
      <c r="AI2323">
        <v>92.351333633885503</v>
      </c>
      <c r="AJ2323">
        <v>100.891082845813</v>
      </c>
      <c r="AK2323">
        <v>27.117874733184699</v>
      </c>
    </row>
    <row r="2324" spans="1:37" x14ac:dyDescent="0.2">
      <c r="A2324" t="str">
        <f>"20200111150640666"</f>
        <v>20200111150640666</v>
      </c>
      <c r="B2324" t="str">
        <f>"1578726400659086"</f>
        <v>1578726400659086</v>
      </c>
      <c r="C2324" t="s">
        <v>37</v>
      </c>
      <c r="D2324">
        <v>4.3029999999999999</v>
      </c>
      <c r="E2324">
        <v>0.4511212</v>
      </c>
      <c r="F2324" t="s">
        <v>101</v>
      </c>
      <c r="G2324">
        <v>-258.3175</v>
      </c>
      <c r="H2324" s="1">
        <v>-3.1392559999999998E-6</v>
      </c>
      <c r="I2324">
        <v>-58.416490000000003</v>
      </c>
      <c r="J2324">
        <v>-284.75060000000002</v>
      </c>
      <c r="K2324">
        <v>1.1121570000000001</v>
      </c>
      <c r="L2324">
        <v>-59.884859999999897</v>
      </c>
      <c r="M2324">
        <v>0.99134599999999995</v>
      </c>
      <c r="N2324">
        <v>0</v>
      </c>
      <c r="O2324">
        <v>-0.13056019999999999</v>
      </c>
      <c r="P2324">
        <v>0.98470119999999906</v>
      </c>
      <c r="Q2324">
        <v>0.161608</v>
      </c>
      <c r="R2324">
        <v>-6.5169459999999999E-2</v>
      </c>
      <c r="S2324">
        <v>3.0810849999999999</v>
      </c>
      <c r="T2324">
        <v>-0.1289206</v>
      </c>
      <c r="U2324">
        <v>0.16824339999999999</v>
      </c>
      <c r="V2324">
        <v>-6.7702819999999997E-2</v>
      </c>
      <c r="W2324">
        <v>0.1736644</v>
      </c>
      <c r="X2324">
        <v>0.98247489999999904</v>
      </c>
      <c r="Y2324">
        <v>-0.18416079999999899</v>
      </c>
      <c r="Z2324">
        <v>9.2985029999999996E-3</v>
      </c>
      <c r="AA2324">
        <v>0.98285219999999995</v>
      </c>
      <c r="AB2324">
        <v>30</v>
      </c>
      <c r="AC2324">
        <v>26.4331</v>
      </c>
      <c r="AD2324">
        <v>-1.1121601392560001</v>
      </c>
      <c r="AE2324">
        <v>1.46836999999999</v>
      </c>
      <c r="AF2324">
        <v>-4.8985876218699298</v>
      </c>
      <c r="AG2324">
        <v>-1.1121601392560001</v>
      </c>
      <c r="AH2324">
        <v>25.9692406197933</v>
      </c>
      <c r="AI2324">
        <v>92.409807729535402</v>
      </c>
      <c r="AJ2324">
        <v>100.682208623959</v>
      </c>
      <c r="AK2324">
        <v>26.4506052715852</v>
      </c>
    </row>
    <row r="2325" spans="1:37" x14ac:dyDescent="0.2">
      <c r="A2325" t="str">
        <f>"20200111150640678"</f>
        <v>20200111150640678</v>
      </c>
      <c r="B2325" t="str">
        <f>"1578726400668846"</f>
        <v>1578726400668846</v>
      </c>
      <c r="C2325" t="s">
        <v>37</v>
      </c>
      <c r="D2325">
        <v>4.6442129999999997</v>
      </c>
      <c r="E2325">
        <v>0.45242399999999999</v>
      </c>
      <c r="F2325" t="s">
        <v>101</v>
      </c>
      <c r="G2325">
        <v>-258.39359999999999</v>
      </c>
      <c r="H2325" s="1">
        <v>-3.195503E-6</v>
      </c>
      <c r="I2325">
        <v>-58.309899999999999</v>
      </c>
      <c r="J2325">
        <v>-284.60320000000002</v>
      </c>
      <c r="K2325">
        <v>1.1117520000000001</v>
      </c>
      <c r="L2325">
        <v>-59.90005</v>
      </c>
      <c r="M2325">
        <v>0.99191890000000005</v>
      </c>
      <c r="N2325">
        <v>0</v>
      </c>
      <c r="O2325">
        <v>-0.12614059999999999</v>
      </c>
      <c r="P2325">
        <v>0.98501319999999903</v>
      </c>
      <c r="Q2325">
        <v>0.16169620000000001</v>
      </c>
      <c r="R2325">
        <v>-6.0030409999999999E-2</v>
      </c>
      <c r="S2325">
        <v>3.0801090000000002</v>
      </c>
      <c r="T2325">
        <v>-0.12996849999999999</v>
      </c>
      <c r="U2325">
        <v>0.18405150000000001</v>
      </c>
      <c r="V2325">
        <v>-6.8277630000000006E-2</v>
      </c>
      <c r="W2325">
        <v>0.17374000000000001</v>
      </c>
      <c r="X2325">
        <v>0.98242180000000001</v>
      </c>
      <c r="Y2325">
        <v>-0.18482390000000001</v>
      </c>
      <c r="Z2325">
        <v>9.204594E-3</v>
      </c>
      <c r="AA2325">
        <v>0.9827285</v>
      </c>
      <c r="AB2325">
        <v>30</v>
      </c>
      <c r="AC2325">
        <v>26.209599999999998</v>
      </c>
      <c r="AD2325">
        <v>-1.1117551955030001</v>
      </c>
      <c r="AE2325">
        <v>1.59015</v>
      </c>
      <c r="AF2325">
        <v>-4.8751078812583799</v>
      </c>
      <c r="AG2325">
        <v>-1.1117551955030001</v>
      </c>
      <c r="AH2325">
        <v>25.753439857385199</v>
      </c>
      <c r="AI2325">
        <v>92.428796801318498</v>
      </c>
      <c r="AJ2325">
        <v>100.719213226439</v>
      </c>
      <c r="AK2325">
        <v>26.234373271656299</v>
      </c>
    </row>
    <row r="2326" spans="1:37" x14ac:dyDescent="0.2">
      <c r="A2326" t="str">
        <f>"20200111150640688"</f>
        <v>20200111150640688</v>
      </c>
      <c r="B2326" t="str">
        <f>"1578726400679582"</f>
        <v>1578726400679582</v>
      </c>
      <c r="C2326" t="s">
        <v>37</v>
      </c>
      <c r="D2326">
        <v>4.5970629999999897</v>
      </c>
      <c r="E2326">
        <v>0.4536365</v>
      </c>
      <c r="F2326" t="s">
        <v>101</v>
      </c>
      <c r="G2326">
        <v>-259.59059999999999</v>
      </c>
      <c r="H2326" s="1">
        <v>-3.6961390000000001E-6</v>
      </c>
      <c r="I2326">
        <v>-58.368009999999998</v>
      </c>
      <c r="J2326">
        <v>-284.46030000000002</v>
      </c>
      <c r="K2326">
        <v>1.1113459999999999</v>
      </c>
      <c r="L2326">
        <v>-59.914340000000003</v>
      </c>
      <c r="M2326">
        <v>0.99242659999999905</v>
      </c>
      <c r="N2326">
        <v>0</v>
      </c>
      <c r="O2326">
        <v>-0.1220884</v>
      </c>
      <c r="P2326">
        <v>0.98536559999999995</v>
      </c>
      <c r="Q2326">
        <v>0.16142419999999999</v>
      </c>
      <c r="R2326">
        <v>-5.4743449999999999E-2</v>
      </c>
      <c r="S2326">
        <v>3.0796199999999998</v>
      </c>
      <c r="T2326">
        <v>-0.13688220000000001</v>
      </c>
      <c r="U2326">
        <v>0.1886292</v>
      </c>
      <c r="V2326">
        <v>-6.9362389999999996E-2</v>
      </c>
      <c r="W2326">
        <v>0.1734503</v>
      </c>
      <c r="X2326">
        <v>0.98239699999999996</v>
      </c>
      <c r="Y2326">
        <v>-0.18225060000000001</v>
      </c>
      <c r="Z2326">
        <v>9.4587260000000006E-3</v>
      </c>
      <c r="AA2326">
        <v>0.98320659999999904</v>
      </c>
      <c r="AB2326">
        <v>30</v>
      </c>
      <c r="AC2326">
        <v>24.869700000000002</v>
      </c>
      <c r="AD2326">
        <v>-1.1113496961389999</v>
      </c>
      <c r="AE2326">
        <v>1.54633</v>
      </c>
      <c r="AF2326">
        <v>-4.5622657945643299</v>
      </c>
      <c r="AG2326">
        <v>-1.1113496961389999</v>
      </c>
      <c r="AH2326">
        <v>24.446185801882599</v>
      </c>
      <c r="AI2326">
        <v>92.558816433262606</v>
      </c>
      <c r="AJ2326">
        <v>100.571208238037</v>
      </c>
      <c r="AK2326">
        <v>24.893078708499001</v>
      </c>
    </row>
    <row r="2327" spans="1:37" x14ac:dyDescent="0.2">
      <c r="A2327" t="str">
        <f>"20200111150640699"</f>
        <v>20200111150640699</v>
      </c>
      <c r="B2327" t="str">
        <f>"1578726400689343"</f>
        <v>1578726400689343</v>
      </c>
      <c r="C2327" t="s">
        <v>37</v>
      </c>
      <c r="D2327">
        <v>4.6248079999999998</v>
      </c>
      <c r="E2327">
        <v>0.45463710000000002</v>
      </c>
      <c r="F2327" t="s">
        <v>100</v>
      </c>
      <c r="G2327">
        <v>-260.69349999999997</v>
      </c>
      <c r="H2327" s="1">
        <v>2.3860489999999901E-7</v>
      </c>
      <c r="I2327">
        <v>-58.414859999999997</v>
      </c>
      <c r="J2327">
        <v>-284.31709999999998</v>
      </c>
      <c r="K2327">
        <v>1.110916</v>
      </c>
      <c r="L2327">
        <v>-59.928280000000001</v>
      </c>
      <c r="M2327">
        <v>0.99287809999999899</v>
      </c>
      <c r="N2327">
        <v>0</v>
      </c>
      <c r="O2327">
        <v>-0.1183676</v>
      </c>
      <c r="P2327">
        <v>0.98579380000000005</v>
      </c>
      <c r="Q2327">
        <v>0.1603966</v>
      </c>
      <c r="R2327">
        <v>-4.9834509999999999E-2</v>
      </c>
      <c r="S2327">
        <v>3.0789179999999998</v>
      </c>
      <c r="T2327">
        <v>-0.14397209999999999</v>
      </c>
      <c r="U2327">
        <v>0.19424439999999901</v>
      </c>
      <c r="V2327">
        <v>-7.0391880000000004E-2</v>
      </c>
      <c r="W2327">
        <v>0.17241419999999999</v>
      </c>
      <c r="X2327">
        <v>0.9825062</v>
      </c>
      <c r="Y2327">
        <v>-0.1803389</v>
      </c>
      <c r="Z2327">
        <v>9.7322429999999998E-3</v>
      </c>
      <c r="AA2327">
        <v>0.9835564</v>
      </c>
      <c r="AB2327">
        <v>30</v>
      </c>
      <c r="AC2327">
        <v>23.6236</v>
      </c>
      <c r="AD2327">
        <v>-1.1109157613951</v>
      </c>
      <c r="AE2327">
        <v>1.51342000000001</v>
      </c>
      <c r="AF2327">
        <v>-4.28985420305888</v>
      </c>
      <c r="AG2327">
        <v>-1.1109157613951</v>
      </c>
      <c r="AH2327">
        <v>23.227180855923699</v>
      </c>
      <c r="AI2327">
        <v>92.692798111396499</v>
      </c>
      <c r="AJ2327">
        <v>100.46410570531</v>
      </c>
      <c r="AK2327">
        <v>23.646118358542601</v>
      </c>
    </row>
    <row r="2328" spans="1:37" x14ac:dyDescent="0.2">
      <c r="A2328" t="str">
        <f>"20200111150640711"</f>
        <v>20200111150640711</v>
      </c>
      <c r="B2328" t="str">
        <f>"1578726400699102"</f>
        <v>1578726400699102</v>
      </c>
      <c r="C2328" t="s">
        <v>37</v>
      </c>
      <c r="D2328">
        <v>4.6092919999999999</v>
      </c>
      <c r="E2328">
        <v>0.45571999999999901</v>
      </c>
      <c r="F2328" t="s">
        <v>39</v>
      </c>
      <c r="G2328">
        <v>-262.06900000000002</v>
      </c>
      <c r="H2328" s="1">
        <v>-2.308565E-7</v>
      </c>
      <c r="I2328">
        <v>-58.478299999999997</v>
      </c>
      <c r="J2328">
        <v>-284.1619</v>
      </c>
      <c r="K2328">
        <v>1.1104419999999999</v>
      </c>
      <c r="L2328">
        <v>-59.943210000000001</v>
      </c>
      <c r="M2328">
        <v>0.99333099999999996</v>
      </c>
      <c r="N2328">
        <v>0</v>
      </c>
      <c r="O2328">
        <v>-0.1145125</v>
      </c>
      <c r="P2328">
        <v>0.98617449999999995</v>
      </c>
      <c r="Q2328">
        <v>0.15945419999999999</v>
      </c>
      <c r="R2328">
        <v>-4.5104980000000003E-2</v>
      </c>
      <c r="S2328">
        <v>3.07843</v>
      </c>
      <c r="T2328">
        <v>-0.1537154</v>
      </c>
      <c r="U2328">
        <v>0.20062260000000001</v>
      </c>
      <c r="V2328">
        <v>-7.109095E-2</v>
      </c>
      <c r="W2328">
        <v>0.17147709999999999</v>
      </c>
      <c r="X2328">
        <v>0.98261980000000004</v>
      </c>
      <c r="Y2328">
        <v>-0.17852119999999999</v>
      </c>
      <c r="Z2328">
        <v>1.015434E-2</v>
      </c>
      <c r="AA2328">
        <v>0.98388369999999903</v>
      </c>
      <c r="AB2328">
        <v>30</v>
      </c>
      <c r="AC2328">
        <v>22.092899999999901</v>
      </c>
      <c r="AD2328">
        <v>-1.1104422308564901</v>
      </c>
      <c r="AE2328">
        <v>1.4649099999999999</v>
      </c>
      <c r="AF2328">
        <v>-3.97541408791361</v>
      </c>
      <c r="AG2328">
        <v>-1.1104422308564901</v>
      </c>
      <c r="AH2328">
        <v>21.725132544481198</v>
      </c>
      <c r="AI2328">
        <v>92.878317473157395</v>
      </c>
      <c r="AJ2328">
        <v>100.369651475534</v>
      </c>
      <c r="AK2328">
        <v>22.113760041967701</v>
      </c>
    </row>
    <row r="2329" spans="1:37" x14ac:dyDescent="0.2">
      <c r="A2329" t="str">
        <f>"20200111150640723"</f>
        <v>20200111150640723</v>
      </c>
      <c r="B2329" t="str">
        <f>"1578726400719252"</f>
        <v>1578726400719252</v>
      </c>
      <c r="C2329" t="s">
        <v>37</v>
      </c>
      <c r="D2329">
        <v>4.5891640000000002</v>
      </c>
      <c r="E2329">
        <v>0.45766419999999902</v>
      </c>
      <c r="F2329" t="s">
        <v>39</v>
      </c>
      <c r="G2329">
        <v>-262.99869999999999</v>
      </c>
      <c r="H2329" s="1">
        <v>-6.2093359999999997E-7</v>
      </c>
      <c r="I2329">
        <v>-58.527669999999901</v>
      </c>
      <c r="J2329">
        <v>-284.0052</v>
      </c>
      <c r="K2329">
        <v>1.1099459999999901</v>
      </c>
      <c r="L2329">
        <v>-59.95776</v>
      </c>
      <c r="M2329">
        <v>0.9937146</v>
      </c>
      <c r="N2329">
        <v>0</v>
      </c>
      <c r="O2329">
        <v>-0.1111418</v>
      </c>
      <c r="P2329">
        <v>0.98648069999999899</v>
      </c>
      <c r="Q2329">
        <v>0.15872549999999999</v>
      </c>
      <c r="R2329">
        <v>-4.0771439999999999E-2</v>
      </c>
      <c r="S2329">
        <v>3.0776059999999998</v>
      </c>
      <c r="T2329">
        <v>-0.16148319999999999</v>
      </c>
      <c r="U2329">
        <v>0.2058411</v>
      </c>
      <c r="V2329">
        <v>-7.186845E-2</v>
      </c>
      <c r="W2329">
        <v>0.170758299999999</v>
      </c>
      <c r="X2329">
        <v>0.98268840000000002</v>
      </c>
      <c r="Y2329">
        <v>-0.17683019999999999</v>
      </c>
      <c r="Z2329">
        <v>1.0448860000000001E-2</v>
      </c>
      <c r="AA2329">
        <v>0.98418589999999995</v>
      </c>
      <c r="AB2329">
        <v>30</v>
      </c>
      <c r="AC2329">
        <v>21.006499999999999</v>
      </c>
      <c r="AD2329">
        <v>-1.1099466209336</v>
      </c>
      <c r="AE2329">
        <v>1.4300900000000001</v>
      </c>
      <c r="AF2329">
        <v>-3.7457279566203101</v>
      </c>
      <c r="AG2329">
        <v>-1.1099466209336</v>
      </c>
      <c r="AH2329">
        <v>20.659961080221201</v>
      </c>
      <c r="AI2329">
        <v>93.0259944313066</v>
      </c>
      <c r="AJ2329">
        <v>100.27631106763</v>
      </c>
      <c r="AK2329">
        <v>21.026089775861401</v>
      </c>
    </row>
    <row r="2330" spans="1:37" x14ac:dyDescent="0.2">
      <c r="A2330" t="str">
        <f>"20200111150640735"</f>
        <v>20200111150640735</v>
      </c>
      <c r="B2330" t="str">
        <f>"1578726400729012"</f>
        <v>1578726400729012</v>
      </c>
      <c r="C2330" t="s">
        <v>37</v>
      </c>
      <c r="D2330">
        <v>4.6041629999999998</v>
      </c>
      <c r="E2330">
        <v>0.458570799999999</v>
      </c>
      <c r="F2330" t="s">
        <v>39</v>
      </c>
      <c r="G2330">
        <v>-264.28769999999997</v>
      </c>
      <c r="H2330" s="1">
        <v>-1.1505649999999999E-6</v>
      </c>
      <c r="I2330">
        <v>-58.659149999999997</v>
      </c>
      <c r="J2330">
        <v>-283.84350000000001</v>
      </c>
      <c r="K2330">
        <v>1.1094409999999999</v>
      </c>
      <c r="L2330">
        <v>-59.972719999999903</v>
      </c>
      <c r="M2330">
        <v>0.99407699999999999</v>
      </c>
      <c r="N2330">
        <v>0</v>
      </c>
      <c r="O2330">
        <v>-0.10785979999999901</v>
      </c>
      <c r="P2330">
        <v>0.98671969999999998</v>
      </c>
      <c r="Q2330">
        <v>0.15826709999999999</v>
      </c>
      <c r="R2330">
        <v>-3.6550390000000002E-2</v>
      </c>
      <c r="S2330">
        <v>3.0773619999999999</v>
      </c>
      <c r="T2330">
        <v>-0.17323169999999999</v>
      </c>
      <c r="U2330">
        <v>0.20266719999999999</v>
      </c>
      <c r="V2330">
        <v>-7.2615360000000004E-2</v>
      </c>
      <c r="W2330">
        <v>0.17031669999999999</v>
      </c>
      <c r="X2330">
        <v>0.98271019999999898</v>
      </c>
      <c r="Y2330">
        <v>-0.1725256</v>
      </c>
      <c r="Z2330">
        <v>1.0904219999999999E-2</v>
      </c>
      <c r="AA2330">
        <v>0.98494470000000001</v>
      </c>
      <c r="AB2330">
        <v>30</v>
      </c>
      <c r="AC2330">
        <v>19.555800000000001</v>
      </c>
      <c r="AD2330">
        <v>-1.1094421505649901</v>
      </c>
      <c r="AE2330">
        <v>1.3135699999999899</v>
      </c>
      <c r="AF2330">
        <v>-3.4044688024854501</v>
      </c>
      <c r="AG2330">
        <v>-1.1094421505649901</v>
      </c>
      <c r="AH2330">
        <v>19.238358276537301</v>
      </c>
      <c r="AI2330">
        <v>93.250104302747502</v>
      </c>
      <c r="AJ2330">
        <v>100.03531314294599</v>
      </c>
      <c r="AK2330">
        <v>19.568742905178102</v>
      </c>
    </row>
    <row r="2331" spans="1:37" x14ac:dyDescent="0.2">
      <c r="A2331" t="str">
        <f>"20200111150640747"</f>
        <v>20200111150640747</v>
      </c>
      <c r="B2331" t="str">
        <f>"1578726400738772"</f>
        <v>1578726400738772</v>
      </c>
      <c r="C2331" t="s">
        <v>37</v>
      </c>
      <c r="D2331">
        <v>4.5686330000000002</v>
      </c>
      <c r="E2331">
        <v>0.45969709999999903</v>
      </c>
      <c r="F2331" t="s">
        <v>39</v>
      </c>
      <c r="G2331">
        <v>-264.8057</v>
      </c>
      <c r="H2331" s="1">
        <v>-1.36749E-6</v>
      </c>
      <c r="I2331">
        <v>-58.688999999999901</v>
      </c>
      <c r="J2331">
        <v>-283.67110000000002</v>
      </c>
      <c r="K2331">
        <v>1.1089020000000001</v>
      </c>
      <c r="L2331">
        <v>-59.988340000000001</v>
      </c>
      <c r="M2331">
        <v>0.994398</v>
      </c>
      <c r="N2331">
        <v>0</v>
      </c>
      <c r="O2331">
        <v>-0.10486760000000001</v>
      </c>
      <c r="P2331">
        <v>0.98684509999999903</v>
      </c>
      <c r="Q2331">
        <v>0.158475</v>
      </c>
      <c r="R2331">
        <v>-3.1977789999999999E-2</v>
      </c>
      <c r="S2331">
        <v>3.076813</v>
      </c>
      <c r="T2331">
        <v>-0.1793035</v>
      </c>
      <c r="U2331">
        <v>0.20745849999999999</v>
      </c>
      <c r="V2331">
        <v>-7.3984010000000003E-2</v>
      </c>
      <c r="W2331">
        <v>0.17053650000000001</v>
      </c>
      <c r="X2331">
        <v>0.9825699</v>
      </c>
      <c r="Y2331">
        <v>-0.17107539999999999</v>
      </c>
      <c r="Z2331">
        <v>1.1071549999999999E-2</v>
      </c>
      <c r="AA2331">
        <v>0.98519570000000001</v>
      </c>
      <c r="AB2331">
        <v>30</v>
      </c>
      <c r="AC2331">
        <v>18.865400000000001</v>
      </c>
      <c r="AD2331">
        <v>-1.10890336749</v>
      </c>
      <c r="AE2331">
        <v>1.2993399999999999</v>
      </c>
      <c r="AF2331">
        <v>-3.2595085575737901</v>
      </c>
      <c r="AG2331">
        <v>-1.10890336749</v>
      </c>
      <c r="AH2331">
        <v>18.561263422022702</v>
      </c>
      <c r="AI2331">
        <v>93.367542283251694</v>
      </c>
      <c r="AJ2331">
        <v>99.960049320967101</v>
      </c>
      <c r="AK2331">
        <v>18.877885542005099</v>
      </c>
    </row>
    <row r="2332" spans="1:37" x14ac:dyDescent="0.2">
      <c r="A2332" t="str">
        <f>"20200111150640759"</f>
        <v>20200111150640759</v>
      </c>
      <c r="B2332" t="str">
        <f>"1578726400749509"</f>
        <v>1578726400749509</v>
      </c>
      <c r="C2332" t="s">
        <v>37</v>
      </c>
      <c r="D2332">
        <v>4.644984</v>
      </c>
      <c r="E2332">
        <v>0.4605688</v>
      </c>
      <c r="F2332" t="s">
        <v>39</v>
      </c>
      <c r="G2332">
        <v>-264.79379999999998</v>
      </c>
      <c r="H2332" s="1">
        <v>-1.3621339999999999E-6</v>
      </c>
      <c r="I2332">
        <v>-58.6905</v>
      </c>
      <c r="J2332">
        <v>-283.5181</v>
      </c>
      <c r="K2332">
        <v>1.1084430000000001</v>
      </c>
      <c r="L2332">
        <v>-60.002079999999999</v>
      </c>
      <c r="M2332">
        <v>0.99464079999999999</v>
      </c>
      <c r="N2332">
        <v>0</v>
      </c>
      <c r="O2332">
        <v>-0.10254529999999901</v>
      </c>
      <c r="P2332">
        <v>0.986869199999999</v>
      </c>
      <c r="Q2332">
        <v>0.15902720000000001</v>
      </c>
      <c r="R2332">
        <v>-2.8279200000000001E-2</v>
      </c>
      <c r="S2332">
        <v>3.0758359999999998</v>
      </c>
      <c r="T2332">
        <v>-0.1806825</v>
      </c>
      <c r="U2332">
        <v>0.21145630000000001</v>
      </c>
      <c r="V2332">
        <v>-7.5173530000000002E-2</v>
      </c>
      <c r="W2332">
        <v>0.1711027</v>
      </c>
      <c r="X2332">
        <v>0.98238119999999995</v>
      </c>
      <c r="Y2332">
        <v>-0.17006869999999999</v>
      </c>
      <c r="Z2332">
        <v>1.099434E-2</v>
      </c>
      <c r="AA2332">
        <v>0.98537090000000005</v>
      </c>
      <c r="AB2332">
        <v>30</v>
      </c>
      <c r="AC2332">
        <v>18.724299999999999</v>
      </c>
      <c r="AD2332">
        <v>-1.1084443621340001</v>
      </c>
      <c r="AE2332">
        <v>1.31158</v>
      </c>
      <c r="AF2332">
        <v>-3.2137135230703899</v>
      </c>
      <c r="AG2332">
        <v>-1.1084443621340001</v>
      </c>
      <c r="AH2332">
        <v>18.4268064165048</v>
      </c>
      <c r="AI2332">
        <v>93.391348237804607</v>
      </c>
      <c r="AJ2332">
        <v>99.893123002250405</v>
      </c>
      <c r="AK2332">
        <v>18.737763960079601</v>
      </c>
    </row>
    <row r="2333" spans="1:37" x14ac:dyDescent="0.2">
      <c r="A2333" t="str">
        <f>"20200111150640771"</f>
        <v>20200111150640771</v>
      </c>
      <c r="B2333" t="str">
        <f>"1578726400759268"</f>
        <v>1578726400759268</v>
      </c>
      <c r="C2333" t="s">
        <v>37</v>
      </c>
      <c r="D2333">
        <v>4.686687</v>
      </c>
      <c r="E2333">
        <v>0.46142759999999999</v>
      </c>
      <c r="F2333" t="s">
        <v>39</v>
      </c>
      <c r="G2333">
        <v>-264.91730000000001</v>
      </c>
      <c r="H2333" s="1">
        <v>-1.412398E-6</v>
      </c>
      <c r="I2333">
        <v>-58.705800000000004</v>
      </c>
      <c r="J2333">
        <v>-283.35640000000001</v>
      </c>
      <c r="K2333">
        <v>1.1079600000000001</v>
      </c>
      <c r="L2333">
        <v>-60.016509999999997</v>
      </c>
      <c r="M2333">
        <v>0.99487009999999898</v>
      </c>
      <c r="N2333">
        <v>0</v>
      </c>
      <c r="O2333">
        <v>-0.10030409999999999</v>
      </c>
      <c r="P2333">
        <v>0.98688869999999895</v>
      </c>
      <c r="Q2333">
        <v>0.15955369999999999</v>
      </c>
      <c r="R2333">
        <v>-2.4358270000000001E-2</v>
      </c>
      <c r="S2333">
        <v>3.0755919999999999</v>
      </c>
      <c r="T2333">
        <v>-0.18327839999999901</v>
      </c>
      <c r="U2333">
        <v>0.21432499999999999</v>
      </c>
      <c r="V2333">
        <v>-7.6657130000000004E-2</v>
      </c>
      <c r="W2333">
        <v>0.1716453</v>
      </c>
      <c r="X2333">
        <v>0.98217189999999999</v>
      </c>
      <c r="Y2333">
        <v>-0.1687612</v>
      </c>
      <c r="Z2333">
        <v>1.0980729999999999E-2</v>
      </c>
      <c r="AA2333">
        <v>0.98559580000000002</v>
      </c>
      <c r="AB2333">
        <v>30</v>
      </c>
      <c r="AC2333">
        <v>18.4391</v>
      </c>
      <c r="AD2333">
        <v>-1.1079614123979999</v>
      </c>
      <c r="AE2333">
        <v>1.31070999999999</v>
      </c>
      <c r="AF2333">
        <v>-3.1424866850764102</v>
      </c>
      <c r="AG2333">
        <v>-1.1079614123979999</v>
      </c>
      <c r="AH2333">
        <v>18.149412018728199</v>
      </c>
      <c r="AI2333">
        <v>93.442290219945605</v>
      </c>
      <c r="AJ2333">
        <v>99.823108333090005</v>
      </c>
      <c r="AK2333">
        <v>18.452749325853901</v>
      </c>
    </row>
    <row r="2334" spans="1:37" x14ac:dyDescent="0.2">
      <c r="A2334" t="str">
        <f>"20200111150640784"</f>
        <v>20200111150640784</v>
      </c>
      <c r="B2334" t="str">
        <f>"1578726400778788"</f>
        <v>1578726400778788</v>
      </c>
      <c r="C2334" t="s">
        <v>37</v>
      </c>
      <c r="D2334">
        <v>4.654744</v>
      </c>
      <c r="E2334">
        <v>0.4628294</v>
      </c>
      <c r="F2334" t="s">
        <v>39</v>
      </c>
      <c r="G2334">
        <v>-264.70370000000003</v>
      </c>
      <c r="H2334" s="1">
        <v>-1.3229409999999999E-6</v>
      </c>
      <c r="I2334">
        <v>-58.693489999999997</v>
      </c>
      <c r="J2334">
        <v>-283.18009999999998</v>
      </c>
      <c r="K2334">
        <v>1.1074409999999999</v>
      </c>
      <c r="L2334">
        <v>-60.032139999999998</v>
      </c>
      <c r="M2334">
        <v>0.99505560000000004</v>
      </c>
      <c r="N2334">
        <v>0</v>
      </c>
      <c r="O2334">
        <v>-9.8454180000000002E-2</v>
      </c>
      <c r="P2334">
        <v>0.98691620000000002</v>
      </c>
      <c r="Q2334">
        <v>0.15986300000000001</v>
      </c>
      <c r="R2334">
        <v>-2.0987479999999999E-2</v>
      </c>
      <c r="S2334">
        <v>3.0747680000000002</v>
      </c>
      <c r="T2334">
        <v>-0.18263979999999999</v>
      </c>
      <c r="U2334">
        <v>0.21807860000000001</v>
      </c>
      <c r="V2334">
        <v>-7.7964720000000001E-2</v>
      </c>
      <c r="W2334">
        <v>0.1719812</v>
      </c>
      <c r="X2334">
        <v>0.98201019999999895</v>
      </c>
      <c r="Y2334">
        <v>-0.16815169999999999</v>
      </c>
      <c r="Z2334">
        <v>1.081758E-2</v>
      </c>
      <c r="AA2334">
        <v>0.98570179999999996</v>
      </c>
      <c r="AB2334">
        <v>30</v>
      </c>
      <c r="AC2334">
        <v>18.476399999999899</v>
      </c>
      <c r="AD2334">
        <v>-1.107442322941</v>
      </c>
      <c r="AE2334">
        <v>1.3386499999999999</v>
      </c>
      <c r="AF2334">
        <v>-3.1401572607649699</v>
      </c>
      <c r="AG2334">
        <v>-1.107442322941</v>
      </c>
      <c r="AH2334">
        <v>18.189804367318299</v>
      </c>
      <c r="AI2334">
        <v>93.433353951193496</v>
      </c>
      <c r="AJ2334">
        <v>99.7945937382447</v>
      </c>
      <c r="AK2334">
        <v>18.492052320991501</v>
      </c>
    </row>
    <row r="2335" spans="1:37" x14ac:dyDescent="0.2">
      <c r="A2335" t="str">
        <f>"20200111150640799"</f>
        <v>20200111150640799</v>
      </c>
      <c r="B2335" t="str">
        <f>"1578726400789524"</f>
        <v>1578726400789524</v>
      </c>
      <c r="C2335" t="s">
        <v>37</v>
      </c>
      <c r="D2335">
        <v>4.2636099999999999</v>
      </c>
      <c r="E2335">
        <v>0.46347919999999998</v>
      </c>
      <c r="F2335" t="s">
        <v>39</v>
      </c>
      <c r="G2335">
        <v>-264.9119</v>
      </c>
      <c r="H2335" s="1">
        <v>-1.4024680000000001E-6</v>
      </c>
      <c r="I2335">
        <v>-58.748809999999999</v>
      </c>
      <c r="J2335">
        <v>-282.9819</v>
      </c>
      <c r="K2335">
        <v>1.1068610000000001</v>
      </c>
      <c r="L2335">
        <v>-60.04974</v>
      </c>
      <c r="M2335">
        <v>0.99522289999999902</v>
      </c>
      <c r="N2335">
        <v>0</v>
      </c>
      <c r="O2335">
        <v>-9.6756460000000002E-2</v>
      </c>
      <c r="P2335">
        <v>0.98702730000000005</v>
      </c>
      <c r="Q2335">
        <v>0.1595183</v>
      </c>
      <c r="R2335">
        <v>-1.8196110000000001E-2</v>
      </c>
      <c r="S2335">
        <v>3.074554</v>
      </c>
      <c r="T2335">
        <v>-0.18638339999999901</v>
      </c>
      <c r="U2335">
        <v>0.215972899999999</v>
      </c>
      <c r="V2335">
        <v>-7.8822050000000005E-2</v>
      </c>
      <c r="W2335">
        <v>0.171681</v>
      </c>
      <c r="X2335">
        <v>0.98199429999999999</v>
      </c>
      <c r="Y2335">
        <v>-0.16579059999999901</v>
      </c>
      <c r="Z2335">
        <v>1.0865959999999999E-2</v>
      </c>
      <c r="AA2335">
        <v>0.98610109999999995</v>
      </c>
      <c r="AB2335">
        <v>30</v>
      </c>
      <c r="AC2335">
        <v>18.07</v>
      </c>
      <c r="AD2335">
        <v>-1.1068624024680001</v>
      </c>
      <c r="AE2335">
        <v>1.3009299999999999</v>
      </c>
      <c r="AF2335">
        <v>-3.0320448132022002</v>
      </c>
      <c r="AG2335">
        <v>-1.1068624024680001</v>
      </c>
      <c r="AH2335">
        <v>17.792902679727302</v>
      </c>
      <c r="AI2335">
        <v>93.509215838980296</v>
      </c>
      <c r="AJ2335">
        <v>99.670738358372006</v>
      </c>
      <c r="AK2335">
        <v>18.0833024057419</v>
      </c>
    </row>
    <row r="2336" spans="1:37" x14ac:dyDescent="0.2">
      <c r="A2336" t="str">
        <f>"20200111150640812"</f>
        <v>20200111150640812</v>
      </c>
      <c r="B2336" t="str">
        <f>"1578726400809617"</f>
        <v>1578726400809617</v>
      </c>
      <c r="C2336" t="s">
        <v>37</v>
      </c>
      <c r="D2336">
        <v>4.743557</v>
      </c>
      <c r="E2336">
        <v>0.46499570000000001</v>
      </c>
      <c r="F2336" t="s">
        <v>39</v>
      </c>
      <c r="G2336">
        <v>-264.45170000000002</v>
      </c>
      <c r="H2336" s="1">
        <v>-1.2077249999999999E-6</v>
      </c>
      <c r="I2336">
        <v>-58.73359</v>
      </c>
      <c r="J2336">
        <v>-282.80919999999998</v>
      </c>
      <c r="K2336">
        <v>1.1063529999999999</v>
      </c>
      <c r="L2336">
        <v>-60.065119999999901</v>
      </c>
      <c r="M2336">
        <v>0.99533579999999999</v>
      </c>
      <c r="N2336">
        <v>0</v>
      </c>
      <c r="O2336">
        <v>-9.5594600000000002E-2</v>
      </c>
      <c r="P2336">
        <v>0.987081599999999</v>
      </c>
      <c r="Q2336">
        <v>0.1592742</v>
      </c>
      <c r="R2336">
        <v>-1.7372060000000002E-2</v>
      </c>
      <c r="S2336">
        <v>3.0730900000000001</v>
      </c>
      <c r="T2336">
        <v>-0.183564</v>
      </c>
      <c r="U2336">
        <v>0.2182617</v>
      </c>
      <c r="V2336">
        <v>-7.8278669999999995E-2</v>
      </c>
      <c r="W2336">
        <v>0.1714917</v>
      </c>
      <c r="X2336">
        <v>0.98207080000000002</v>
      </c>
      <c r="Y2336">
        <v>-0.1654197</v>
      </c>
      <c r="Z2336">
        <v>1.062655E-2</v>
      </c>
      <c r="AA2336">
        <v>0.98616599999999999</v>
      </c>
      <c r="AB2336">
        <v>30</v>
      </c>
      <c r="AC2336">
        <v>18.357499999999899</v>
      </c>
      <c r="AD2336">
        <v>-1.1063542077249999</v>
      </c>
      <c r="AE2336">
        <v>1.3315299999999901</v>
      </c>
      <c r="AF2336">
        <v>-3.0693666145177199</v>
      </c>
      <c r="AG2336">
        <v>-1.1063542077249999</v>
      </c>
      <c r="AH2336">
        <v>18.080789022405199</v>
      </c>
      <c r="AI2336">
        <v>93.452265381891095</v>
      </c>
      <c r="AJ2336">
        <v>99.634593397084203</v>
      </c>
      <c r="AK2336">
        <v>18.3728049769216</v>
      </c>
    </row>
    <row r="2337" spans="1:37" x14ac:dyDescent="0.2">
      <c r="A2337" t="str">
        <f>"20200111150640825"</f>
        <v>20200111150640825</v>
      </c>
      <c r="B2337" t="str">
        <f>"1578726400819376"</f>
        <v>1578726400819376</v>
      </c>
      <c r="C2337" t="s">
        <v>37</v>
      </c>
      <c r="D2337">
        <v>4.811604</v>
      </c>
      <c r="E2337">
        <v>0.46566469999999999</v>
      </c>
      <c r="F2337" t="s">
        <v>39</v>
      </c>
      <c r="G2337">
        <v>-264.87619999999998</v>
      </c>
      <c r="H2337" s="1">
        <v>-1.3686229999999999E-6</v>
      </c>
      <c r="I2337">
        <v>-58.853189999999998</v>
      </c>
      <c r="J2337">
        <v>-282.64370000000002</v>
      </c>
      <c r="K2337">
        <v>1.105877</v>
      </c>
      <c r="L2337">
        <v>-60.08005</v>
      </c>
      <c r="M2337">
        <v>0.99539519999999904</v>
      </c>
      <c r="N2337">
        <v>0</v>
      </c>
      <c r="O2337">
        <v>-9.4978409999999999E-2</v>
      </c>
      <c r="P2337">
        <v>0.98705669999999901</v>
      </c>
      <c r="Q2337">
        <v>0.15937699999999999</v>
      </c>
      <c r="R2337">
        <v>-1.7842190000000001E-2</v>
      </c>
      <c r="S2337">
        <v>3.073547</v>
      </c>
      <c r="T2337">
        <v>-0.189618799999999</v>
      </c>
      <c r="U2337">
        <v>0.20770259999999999</v>
      </c>
      <c r="V2337">
        <v>-7.6998460000000005E-2</v>
      </c>
      <c r="W2337">
        <v>0.1716519</v>
      </c>
      <c r="X2337">
        <v>0.98214400000000002</v>
      </c>
      <c r="Y2337">
        <v>-0.16140350000000001</v>
      </c>
      <c r="Z2337">
        <v>1.081433E-2</v>
      </c>
      <c r="AA2337">
        <v>0.98682930000000002</v>
      </c>
      <c r="AB2337">
        <v>30</v>
      </c>
      <c r="AC2337">
        <v>17.767499999999998</v>
      </c>
      <c r="AD2337">
        <v>-1.105878368623</v>
      </c>
      <c r="AE2337">
        <v>1.2268599999999901</v>
      </c>
      <c r="AF2337">
        <v>-2.8978101808614101</v>
      </c>
      <c r="AG2337">
        <v>-1.105878368623</v>
      </c>
      <c r="AH2337">
        <v>17.503144789268902</v>
      </c>
      <c r="AI2337">
        <v>93.566814351317106</v>
      </c>
      <c r="AJ2337">
        <v>99.400584180508204</v>
      </c>
      <c r="AK2337">
        <v>17.775836079481699</v>
      </c>
    </row>
    <row r="2338" spans="1:37" x14ac:dyDescent="0.2">
      <c r="A2338" t="str">
        <f>"20200111150640836"</f>
        <v>20200111150640836</v>
      </c>
      <c r="B2338" t="str">
        <f>"1578726400829136"</f>
        <v>1578726400829136</v>
      </c>
      <c r="C2338" t="s">
        <v>37</v>
      </c>
      <c r="D2338">
        <v>4.6852859999999996</v>
      </c>
      <c r="E2338">
        <v>0.46634959999999998</v>
      </c>
      <c r="F2338" t="s">
        <v>39</v>
      </c>
      <c r="G2338">
        <v>-265.00409999999999</v>
      </c>
      <c r="H2338" s="1">
        <v>-1.4095560000000001E-6</v>
      </c>
      <c r="I2338">
        <v>-58.931739999999998</v>
      </c>
      <c r="J2338">
        <v>-282.49110000000002</v>
      </c>
      <c r="K2338">
        <v>1.105451</v>
      </c>
      <c r="L2338">
        <v>-60.093899999999998</v>
      </c>
      <c r="M2338">
        <v>0.99543669999999995</v>
      </c>
      <c r="N2338">
        <v>0</v>
      </c>
      <c r="O2338">
        <v>-9.4548720000000003E-2</v>
      </c>
      <c r="P2338">
        <v>0.98699930000000002</v>
      </c>
      <c r="Q2338">
        <v>0.15962219999999999</v>
      </c>
      <c r="R2338">
        <v>-1.8797899999999999E-2</v>
      </c>
      <c r="S2338">
        <v>3.0740660000000002</v>
      </c>
      <c r="T2338">
        <v>-0.1927217</v>
      </c>
      <c r="U2338">
        <v>0.200103799999999</v>
      </c>
      <c r="V2338">
        <v>-7.5435340000000004E-2</v>
      </c>
      <c r="W2338">
        <v>0.1719502</v>
      </c>
      <c r="X2338">
        <v>0.98221309999999995</v>
      </c>
      <c r="Y2338">
        <v>-0.15852739999999901</v>
      </c>
      <c r="Z2338">
        <v>1.0873020000000001E-2</v>
      </c>
      <c r="AA2338">
        <v>0.98729469999999997</v>
      </c>
      <c r="AB2338">
        <v>30</v>
      </c>
      <c r="AC2338">
        <v>17.486999999999998</v>
      </c>
      <c r="AD2338">
        <v>-1.1054524095559899</v>
      </c>
      <c r="AE2338">
        <v>1.1621599999999901</v>
      </c>
      <c r="AF2338">
        <v>-2.7993263690905201</v>
      </c>
      <c r="AG2338">
        <v>-1.1054524095559899</v>
      </c>
      <c r="AH2338">
        <v>17.230206490769898</v>
      </c>
      <c r="AI2338">
        <v>93.623558906194702</v>
      </c>
      <c r="AJ2338">
        <v>99.228000091724894</v>
      </c>
      <c r="AK2338">
        <v>17.491091128487302</v>
      </c>
    </row>
    <row r="2339" spans="1:37" x14ac:dyDescent="0.2">
      <c r="A2339" t="str">
        <f>"20200111150640847"</f>
        <v>20200111150640847</v>
      </c>
      <c r="B2339" t="str">
        <f>"1578726400838897"</f>
        <v>1578726400838897</v>
      </c>
      <c r="C2339" t="s">
        <v>37</v>
      </c>
      <c r="D2339">
        <v>4.7325730000000004</v>
      </c>
      <c r="E2339">
        <v>0.4672616</v>
      </c>
      <c r="F2339" t="s">
        <v>39</v>
      </c>
      <c r="G2339">
        <v>-264.91579999999999</v>
      </c>
      <c r="H2339" s="1">
        <v>-1.359436E-6</v>
      </c>
      <c r="I2339">
        <v>-59.00085</v>
      </c>
      <c r="J2339">
        <v>-282.3288</v>
      </c>
      <c r="K2339">
        <v>1.105013</v>
      </c>
      <c r="L2339">
        <v>-60.108829999999998</v>
      </c>
      <c r="M2339">
        <v>0.99545319999999904</v>
      </c>
      <c r="N2339">
        <v>0</v>
      </c>
      <c r="O2339">
        <v>-9.4378989999999996E-2</v>
      </c>
      <c r="P2339">
        <v>0.98686849999999904</v>
      </c>
      <c r="Q2339">
        <v>0.1602314</v>
      </c>
      <c r="R2339">
        <v>-2.040546E-2</v>
      </c>
      <c r="S2339">
        <v>3.0744020000000001</v>
      </c>
      <c r="T2339">
        <v>-0.19337449999999901</v>
      </c>
      <c r="U2339">
        <v>0.19119259999999999</v>
      </c>
      <c r="V2339">
        <v>-7.3470679999999997E-2</v>
      </c>
      <c r="W2339">
        <v>0.17261289999999899</v>
      </c>
      <c r="X2339">
        <v>0.98224579999999995</v>
      </c>
      <c r="Y2339">
        <v>-0.15550420000000001</v>
      </c>
      <c r="Z2339">
        <v>1.080385E-2</v>
      </c>
      <c r="AA2339">
        <v>0.98777619999999899</v>
      </c>
      <c r="AB2339">
        <v>30</v>
      </c>
      <c r="AC2339">
        <v>17.413</v>
      </c>
      <c r="AD2339">
        <v>-1.105014359436</v>
      </c>
      <c r="AE2339">
        <v>1.10798</v>
      </c>
      <c r="AF2339">
        <v>-2.7356188322047701</v>
      </c>
      <c r="AG2339">
        <v>-1.105014359436</v>
      </c>
      <c r="AH2339">
        <v>17.1618495208585</v>
      </c>
      <c r="AI2339">
        <v>93.638259634587001</v>
      </c>
      <c r="AJ2339">
        <v>99.056819592101405</v>
      </c>
      <c r="AK2339">
        <v>17.413608072604099</v>
      </c>
    </row>
    <row r="2340" spans="1:37" x14ac:dyDescent="0.2">
      <c r="A2340" t="str">
        <f>"20200111150640859"</f>
        <v>20200111150640859</v>
      </c>
      <c r="B2340" t="str">
        <f>"1578726400849633"</f>
        <v>1578726400849633</v>
      </c>
      <c r="C2340" t="s">
        <v>37</v>
      </c>
      <c r="D2340">
        <v>4.6800899999999999</v>
      </c>
      <c r="E2340">
        <v>0.4682848</v>
      </c>
      <c r="F2340" t="s">
        <v>39</v>
      </c>
      <c r="G2340">
        <v>-264.77530000000002</v>
      </c>
      <c r="H2340" s="1">
        <v>-1.2833439999999901E-6</v>
      </c>
      <c r="I2340">
        <v>-59.09</v>
      </c>
      <c r="J2340">
        <v>-282.17829999999998</v>
      </c>
      <c r="K2340">
        <v>1.1046209999999901</v>
      </c>
      <c r="L2340">
        <v>-60.122859999999903</v>
      </c>
      <c r="M2340">
        <v>0.99544469999999996</v>
      </c>
      <c r="N2340">
        <v>0</v>
      </c>
      <c r="O2340">
        <v>-9.4473360000000006E-2</v>
      </c>
      <c r="P2340">
        <v>0.98673250000000001</v>
      </c>
      <c r="Q2340">
        <v>0.16086249999999999</v>
      </c>
      <c r="R2340">
        <v>-2.196621E-2</v>
      </c>
      <c r="S2340">
        <v>3.075043</v>
      </c>
      <c r="T2340">
        <v>-0.193578</v>
      </c>
      <c r="U2340">
        <v>0.17846679999999901</v>
      </c>
      <c r="V2340">
        <v>-7.1831069999999997E-2</v>
      </c>
      <c r="W2340">
        <v>0.17328829999999901</v>
      </c>
      <c r="X2340">
        <v>0.98224820000000002</v>
      </c>
      <c r="Y2340">
        <v>-0.15151729999999899</v>
      </c>
      <c r="Z2340">
        <v>1.069466E-2</v>
      </c>
      <c r="AA2340">
        <v>0.98839679999999996</v>
      </c>
      <c r="AB2340">
        <v>30</v>
      </c>
      <c r="AC2340">
        <v>17.402999999999899</v>
      </c>
      <c r="AD2340">
        <v>-1.10462228334399</v>
      </c>
      <c r="AE2340">
        <v>1.0328599999999899</v>
      </c>
      <c r="AF2340">
        <v>-2.66180855383426</v>
      </c>
      <c r="AG2340">
        <v>-1.10462228334399</v>
      </c>
      <c r="AH2340">
        <v>17.158677717665601</v>
      </c>
      <c r="AI2340">
        <v>93.640022051128796</v>
      </c>
      <c r="AJ2340">
        <v>98.817950718613503</v>
      </c>
      <c r="AK2340">
        <v>17.399012506025699</v>
      </c>
    </row>
    <row r="2341" spans="1:37" x14ac:dyDescent="0.2">
      <c r="A2341" t="str">
        <f>"20200111150640870"</f>
        <v>20200111150640870</v>
      </c>
      <c r="B2341" t="str">
        <f>"1578726400859392"</f>
        <v>1578726400859392</v>
      </c>
      <c r="C2341" t="s">
        <v>37</v>
      </c>
      <c r="D2341">
        <v>4.7564380000000002</v>
      </c>
      <c r="E2341">
        <v>0.46900909999999901</v>
      </c>
      <c r="F2341" t="s">
        <v>39</v>
      </c>
      <c r="G2341">
        <v>-264.60730000000001</v>
      </c>
      <c r="H2341" s="1">
        <v>-1.1951640000000001E-6</v>
      </c>
      <c r="I2341">
        <v>-59.180759999999999</v>
      </c>
      <c r="J2341">
        <v>-282.02969999999999</v>
      </c>
      <c r="K2341">
        <v>1.1042379999999901</v>
      </c>
      <c r="L2341">
        <v>-60.136899999999997</v>
      </c>
      <c r="M2341">
        <v>0.99542299999999995</v>
      </c>
      <c r="N2341">
        <v>0</v>
      </c>
      <c r="O2341">
        <v>-9.4706479999999996E-2</v>
      </c>
      <c r="P2341">
        <v>0.98653919999999995</v>
      </c>
      <c r="Q2341">
        <v>0.16177800000000001</v>
      </c>
      <c r="R2341">
        <v>-2.3840190000000001E-2</v>
      </c>
      <c r="S2341">
        <v>3.0754999999999999</v>
      </c>
      <c r="T2341">
        <v>-0.1933445</v>
      </c>
      <c r="U2341">
        <v>0.16488649999999999</v>
      </c>
      <c r="V2341">
        <v>-7.0016179999999997E-2</v>
      </c>
      <c r="W2341">
        <v>0.17424529999999999</v>
      </c>
      <c r="X2341">
        <v>0.98220989999999997</v>
      </c>
      <c r="Y2341">
        <v>-0.147397</v>
      </c>
      <c r="Z2341">
        <v>1.0566509999999999E-2</v>
      </c>
      <c r="AA2341">
        <v>0.98902089999999998</v>
      </c>
      <c r="AB2341">
        <v>30</v>
      </c>
      <c r="AC2341">
        <v>17.4223999999999</v>
      </c>
      <c r="AD2341">
        <v>-1.1042391951639901</v>
      </c>
      <c r="AE2341">
        <v>0.95613999999999699</v>
      </c>
      <c r="AF2341">
        <v>-2.5916115030545299</v>
      </c>
      <c r="AG2341">
        <v>-1.1042391951639901</v>
      </c>
      <c r="AH2341">
        <v>17.1846925929276</v>
      </c>
      <c r="AI2341">
        <v>93.635609684691104</v>
      </c>
      <c r="AJ2341">
        <v>98.576109474505898</v>
      </c>
      <c r="AK2341">
        <v>17.414059087310001</v>
      </c>
    </row>
    <row r="2342" spans="1:37" x14ac:dyDescent="0.2">
      <c r="A2342" t="str">
        <f>"20200111150640881"</f>
        <v>20200111150640881</v>
      </c>
      <c r="B2342" t="str">
        <f>"1578726400878912"</f>
        <v>1578726400878912</v>
      </c>
      <c r="C2342" t="s">
        <v>37</v>
      </c>
      <c r="D2342">
        <v>4.7695369999999997</v>
      </c>
      <c r="E2342">
        <v>0.47073999999999899</v>
      </c>
      <c r="F2342" t="s">
        <v>39</v>
      </c>
      <c r="G2342">
        <v>-263.93939999999998</v>
      </c>
      <c r="H2342" s="1">
        <v>-8.9854529999999995E-7</v>
      </c>
      <c r="I2342">
        <v>-59.237639999999999</v>
      </c>
      <c r="J2342">
        <v>-281.8802</v>
      </c>
      <c r="K2342">
        <v>1.1038680000000001</v>
      </c>
      <c r="L2342">
        <v>-60.151369999999901</v>
      </c>
      <c r="M2342">
        <v>0.99537089999999995</v>
      </c>
      <c r="N2342">
        <v>0</v>
      </c>
      <c r="O2342">
        <v>-9.5256370000000007E-2</v>
      </c>
      <c r="P2342">
        <v>0.98635879999999998</v>
      </c>
      <c r="Q2342">
        <v>0.1625209</v>
      </c>
      <c r="R2342">
        <v>-2.6141870000000001E-2</v>
      </c>
      <c r="S2342">
        <v>3.075348</v>
      </c>
      <c r="T2342">
        <v>-0.18772069999999999</v>
      </c>
      <c r="U2342">
        <v>0.15286250000000001</v>
      </c>
      <c r="V2342">
        <v>-6.809279E-2</v>
      </c>
      <c r="W2342">
        <v>0.1750256</v>
      </c>
      <c r="X2342">
        <v>0.98220640000000003</v>
      </c>
      <c r="Y2342">
        <v>-0.14412079999999999</v>
      </c>
      <c r="Z2342">
        <v>1.019461E-2</v>
      </c>
      <c r="AA2342">
        <v>0.98950759999999904</v>
      </c>
      <c r="AB2342">
        <v>30</v>
      </c>
      <c r="AC2342">
        <v>17.940799999999999</v>
      </c>
      <c r="AD2342">
        <v>-1.1038688985453</v>
      </c>
      <c r="AE2342">
        <v>0.91372999999999405</v>
      </c>
      <c r="AF2342">
        <v>-2.6088383160114401</v>
      </c>
      <c r="AG2342">
        <v>-1.1038688985453</v>
      </c>
      <c r="AH2342">
        <v>17.705305725258601</v>
      </c>
      <c r="AI2342">
        <v>93.529577553102598</v>
      </c>
      <c r="AJ2342">
        <v>98.382093577634507</v>
      </c>
      <c r="AK2342">
        <v>17.930488413011499</v>
      </c>
    </row>
    <row r="2343" spans="1:37" x14ac:dyDescent="0.2">
      <c r="A2343" t="str">
        <f>"20200111150640893"</f>
        <v>20200111150640893</v>
      </c>
      <c r="B2343" t="str">
        <f>"1578726400888672"</f>
        <v>1578726400888672</v>
      </c>
      <c r="C2343" t="s">
        <v>37</v>
      </c>
      <c r="D2343">
        <v>4.7825259999999998</v>
      </c>
      <c r="E2343">
        <v>0.47135729999999998</v>
      </c>
      <c r="F2343" t="s">
        <v>39</v>
      </c>
      <c r="G2343">
        <v>-263.90210000000002</v>
      </c>
      <c r="H2343" s="1">
        <v>-8.5610449999999996E-7</v>
      </c>
      <c r="I2343">
        <v>-59.386659999999999</v>
      </c>
      <c r="J2343">
        <v>-281.7183</v>
      </c>
      <c r="K2343">
        <v>1.1034740000000001</v>
      </c>
      <c r="L2343">
        <v>-60.167180000000002</v>
      </c>
      <c r="M2343">
        <v>0.99530379999999996</v>
      </c>
      <c r="N2343">
        <v>0</v>
      </c>
      <c r="O2343">
        <v>-9.5959329999999995E-2</v>
      </c>
      <c r="P2343">
        <v>0.9861645</v>
      </c>
      <c r="Q2343">
        <v>0.1632004</v>
      </c>
      <c r="R2343">
        <v>-2.907829E-2</v>
      </c>
      <c r="S2343">
        <v>3.0760190000000001</v>
      </c>
      <c r="T2343">
        <v>-0.1888695</v>
      </c>
      <c r="U2343">
        <v>0.1308289</v>
      </c>
      <c r="V2343">
        <v>-6.5675330000000004E-2</v>
      </c>
      <c r="W2343">
        <v>0.17574200000000001</v>
      </c>
      <c r="X2343">
        <v>0.98224310000000004</v>
      </c>
      <c r="Y2343">
        <v>-0.13773840000000001</v>
      </c>
      <c r="Z2343">
        <v>1.010316E-2</v>
      </c>
      <c r="AA2343">
        <v>0.99041710000000005</v>
      </c>
      <c r="AB2343">
        <v>30</v>
      </c>
      <c r="AC2343">
        <v>17.816199999999899</v>
      </c>
      <c r="AD2343">
        <v>-1.1034748561045</v>
      </c>
      <c r="AE2343">
        <v>0.78052000000000199</v>
      </c>
      <c r="AF2343">
        <v>-2.4772020605795499</v>
      </c>
      <c r="AG2343">
        <v>-1.1034748561045</v>
      </c>
      <c r="AH2343">
        <v>17.591710142966299</v>
      </c>
      <c r="AI2343">
        <v>93.554313094281298</v>
      </c>
      <c r="AJ2343">
        <v>98.015484779895303</v>
      </c>
      <c r="AK2343">
        <v>17.799507087589198</v>
      </c>
    </row>
    <row r="2344" spans="1:37" x14ac:dyDescent="0.2">
      <c r="A2344" t="str">
        <f>"20200111150640905"</f>
        <v>20200111150640905</v>
      </c>
      <c r="B2344" t="str">
        <f>"1578726400899408"</f>
        <v>1578726400899408</v>
      </c>
      <c r="C2344" t="s">
        <v>37</v>
      </c>
      <c r="D2344">
        <v>4.8448929999999999</v>
      </c>
      <c r="E2344">
        <v>0.47194029999999998</v>
      </c>
      <c r="F2344" t="s">
        <v>39</v>
      </c>
      <c r="G2344">
        <v>-263.82670000000002</v>
      </c>
      <c r="H2344" s="1">
        <v>-8.0508129999999996E-7</v>
      </c>
      <c r="I2344">
        <v>-59.491909999999997</v>
      </c>
      <c r="J2344">
        <v>-281.5643</v>
      </c>
      <c r="K2344">
        <v>1.1031139999999999</v>
      </c>
      <c r="L2344">
        <v>-60.182679999999998</v>
      </c>
      <c r="M2344">
        <v>0.99520949999999997</v>
      </c>
      <c r="N2344">
        <v>0</v>
      </c>
      <c r="O2344">
        <v>-9.6934190000000003E-2</v>
      </c>
      <c r="P2344">
        <v>0.98609769999999897</v>
      </c>
      <c r="Q2344">
        <v>0.16324629999999901</v>
      </c>
      <c r="R2344">
        <v>-3.1013039999999999E-2</v>
      </c>
      <c r="S2344">
        <v>3.076965</v>
      </c>
      <c r="T2344">
        <v>-0.18977330000000001</v>
      </c>
      <c r="U2344">
        <v>0.1161194</v>
      </c>
      <c r="V2344">
        <v>-6.4551220000000006E-2</v>
      </c>
      <c r="W2344">
        <v>0.175819899999999</v>
      </c>
      <c r="X2344">
        <v>0.9823037</v>
      </c>
      <c r="Y2344">
        <v>-0.1339688</v>
      </c>
      <c r="Z2344">
        <v>1.0092739999999999E-2</v>
      </c>
      <c r="AA2344">
        <v>0.99093410000000004</v>
      </c>
      <c r="AB2344">
        <v>30</v>
      </c>
      <c r="AC2344">
        <v>17.737599999999901</v>
      </c>
      <c r="AD2344">
        <v>-1.1031148050813</v>
      </c>
      <c r="AE2344">
        <v>0.69077000000000699</v>
      </c>
      <c r="AF2344">
        <v>-2.39777569801951</v>
      </c>
      <c r="AG2344">
        <v>-1.1031148050813</v>
      </c>
      <c r="AH2344">
        <v>17.5194346319742</v>
      </c>
      <c r="AI2344">
        <v>93.569693388250499</v>
      </c>
      <c r="AJ2344">
        <v>97.793295997144995</v>
      </c>
      <c r="AK2344">
        <v>17.717132397632</v>
      </c>
    </row>
    <row r="2345" spans="1:37" x14ac:dyDescent="0.2">
      <c r="A2345" t="str">
        <f>"20200111150640916"</f>
        <v>20200111150640916</v>
      </c>
      <c r="B2345" t="str">
        <f>"1578726400909168"</f>
        <v>1578726400909168</v>
      </c>
      <c r="C2345" t="s">
        <v>37</v>
      </c>
      <c r="D2345">
        <v>4.7265040000000003</v>
      </c>
      <c r="E2345">
        <v>0.47261920000000002</v>
      </c>
      <c r="F2345" t="s">
        <v>39</v>
      </c>
      <c r="G2345">
        <v>-263.88819999999998</v>
      </c>
      <c r="H2345" s="1">
        <v>-8.1654259999999999E-7</v>
      </c>
      <c r="I2345">
        <v>-59.57611</v>
      </c>
      <c r="J2345">
        <v>-281.39830000000001</v>
      </c>
      <c r="K2345">
        <v>1.102743</v>
      </c>
      <c r="L2345">
        <v>-60.199709999999897</v>
      </c>
      <c r="M2345">
        <v>0.99509409999999898</v>
      </c>
      <c r="N2345">
        <v>0</v>
      </c>
      <c r="O2345">
        <v>-9.8116030000000007E-2</v>
      </c>
      <c r="P2345">
        <v>0.98592019999999903</v>
      </c>
      <c r="Q2345">
        <v>0.16358619999999999</v>
      </c>
      <c r="R2345">
        <v>-3.4660879999999998E-2</v>
      </c>
      <c r="S2345">
        <v>3.077423</v>
      </c>
      <c r="T2345">
        <v>-0.192052799999999</v>
      </c>
      <c r="U2345">
        <v>0.1055908</v>
      </c>
      <c r="V2345">
        <v>-6.1911149999999998E-2</v>
      </c>
      <c r="W2345">
        <v>0.17618879999999901</v>
      </c>
      <c r="X2345">
        <v>0.98240749999999999</v>
      </c>
      <c r="Y2345">
        <v>-0.13174539999999901</v>
      </c>
      <c r="Z2345">
        <v>1.021677E-2</v>
      </c>
      <c r="AA2345">
        <v>0.99123090000000003</v>
      </c>
      <c r="AB2345">
        <v>30</v>
      </c>
      <c r="AC2345">
        <v>17.510100000000001</v>
      </c>
      <c r="AD2345">
        <v>-1.1027438165426</v>
      </c>
      <c r="AE2345">
        <v>0.62359999999999605</v>
      </c>
      <c r="AF2345">
        <v>-2.3295228330912798</v>
      </c>
      <c r="AG2345">
        <v>-1.1027438165426</v>
      </c>
      <c r="AH2345">
        <v>17.295898049798701</v>
      </c>
      <c r="AI2345">
        <v>93.615541194624399</v>
      </c>
      <c r="AJ2345">
        <v>97.670802604678201</v>
      </c>
      <c r="AK2345">
        <v>17.486875361363101</v>
      </c>
    </row>
    <row r="2346" spans="1:37" x14ac:dyDescent="0.2">
      <c r="A2346" t="str">
        <f>"20200111150640929"</f>
        <v>20200111150640929</v>
      </c>
      <c r="B2346" t="str">
        <f>"1578726400918928"</f>
        <v>1578726400918928</v>
      </c>
      <c r="C2346" t="s">
        <v>37</v>
      </c>
      <c r="D2346">
        <v>4.8681109999999999</v>
      </c>
      <c r="E2346">
        <v>0.47314449999999902</v>
      </c>
      <c r="F2346" t="s">
        <v>39</v>
      </c>
      <c r="G2346">
        <v>-263.71120000000002</v>
      </c>
      <c r="H2346" s="1">
        <v>-7.2125930000000004E-7</v>
      </c>
      <c r="I2346">
        <v>-59.685269999999903</v>
      </c>
      <c r="J2346">
        <v>-281.22609999999997</v>
      </c>
      <c r="K2346">
        <v>1.102382</v>
      </c>
      <c r="L2346">
        <v>-60.217739999999999</v>
      </c>
      <c r="M2346">
        <v>0.99495429999999996</v>
      </c>
      <c r="N2346">
        <v>0</v>
      </c>
      <c r="O2346">
        <v>-9.952751E-2</v>
      </c>
      <c r="P2346">
        <v>0.98575210000000002</v>
      </c>
      <c r="Q2346">
        <v>0.16371329999999901</v>
      </c>
      <c r="R2346">
        <v>-3.8615459999999997E-2</v>
      </c>
      <c r="S2346">
        <v>3.07782</v>
      </c>
      <c r="T2346">
        <v>-0.1918937</v>
      </c>
      <c r="U2346">
        <v>8.950806E-2</v>
      </c>
      <c r="V2346">
        <v>-5.9196980000000003E-2</v>
      </c>
      <c r="W2346">
        <v>0.17634040000000001</v>
      </c>
      <c r="X2346">
        <v>0.98254759999999997</v>
      </c>
      <c r="Y2346">
        <v>-0.12797719999999899</v>
      </c>
      <c r="Z2346">
        <v>1.0177769999999999E-2</v>
      </c>
      <c r="AA2346">
        <v>0.99172490000000002</v>
      </c>
      <c r="AB2346">
        <v>30</v>
      </c>
      <c r="AC2346">
        <v>17.514899999999901</v>
      </c>
      <c r="AD2346">
        <v>-1.1023827212593</v>
      </c>
      <c r="AE2346">
        <v>0.532470000000003</v>
      </c>
      <c r="AF2346">
        <v>-2.2642185984107801</v>
      </c>
      <c r="AG2346">
        <v>-1.1023827212593</v>
      </c>
      <c r="AH2346">
        <v>17.306427080457201</v>
      </c>
      <c r="AI2346">
        <v>93.613979743085395</v>
      </c>
      <c r="AJ2346">
        <v>97.453733331325793</v>
      </c>
      <c r="AK2346">
        <v>17.488692112811101</v>
      </c>
    </row>
    <row r="2347" spans="1:37" x14ac:dyDescent="0.2">
      <c r="A2347" t="str">
        <f>"20200111150640946"</f>
        <v>20200111150640946</v>
      </c>
      <c r="B2347" t="str">
        <f>"1578726400939439"</f>
        <v>1578726400939439</v>
      </c>
      <c r="C2347" t="s">
        <v>37</v>
      </c>
      <c r="D2347">
        <v>4.7655769999999897</v>
      </c>
      <c r="E2347">
        <v>0.47414289999999998</v>
      </c>
      <c r="F2347" t="s">
        <v>100</v>
      </c>
      <c r="G2347">
        <v>-263.67239999999998</v>
      </c>
      <c r="H2347" s="1">
        <v>-6.8455220000000001E-7</v>
      </c>
      <c r="I2347">
        <v>-59.798279999999998</v>
      </c>
      <c r="J2347">
        <v>-281.01990000000001</v>
      </c>
      <c r="K2347">
        <v>1.1019939999999999</v>
      </c>
      <c r="L2347">
        <v>-60.240109999999902</v>
      </c>
      <c r="M2347">
        <v>0.99475499999999994</v>
      </c>
      <c r="N2347">
        <v>0</v>
      </c>
      <c r="O2347">
        <v>-0.101503199999999</v>
      </c>
      <c r="P2347">
        <v>0.98554869999999895</v>
      </c>
      <c r="Q2347">
        <v>0.1633762</v>
      </c>
      <c r="R2347">
        <v>-4.4744440000000003E-2</v>
      </c>
      <c r="S2347">
        <v>3.0782780000000001</v>
      </c>
      <c r="T2347">
        <v>-0.19331709999999999</v>
      </c>
      <c r="U2347">
        <v>7.3547360000000006E-2</v>
      </c>
      <c r="V2347">
        <v>-5.4867249999999999E-2</v>
      </c>
      <c r="W2347">
        <v>0.17602079999999901</v>
      </c>
      <c r="X2347">
        <v>0.98285619999999996</v>
      </c>
      <c r="Y2347">
        <v>-0.1247992</v>
      </c>
      <c r="Z2347">
        <v>1.027576E-2</v>
      </c>
      <c r="AA2347">
        <v>0.99212880000000003</v>
      </c>
      <c r="AB2347">
        <v>30</v>
      </c>
      <c r="AC2347">
        <v>17.3475</v>
      </c>
      <c r="AD2347">
        <v>-1.1019946845522</v>
      </c>
      <c r="AE2347">
        <v>0.44182999999998801</v>
      </c>
      <c r="AF2347">
        <v>-2.1916764316897401</v>
      </c>
      <c r="AG2347">
        <v>-1.1019946845522</v>
      </c>
      <c r="AH2347">
        <v>17.143901345466102</v>
      </c>
      <c r="AI2347">
        <v>93.648251933992299</v>
      </c>
      <c r="AJ2347">
        <v>97.285176853611901</v>
      </c>
      <c r="AK2347">
        <v>17.3185216230797</v>
      </c>
    </row>
    <row r="2348" spans="1:37" x14ac:dyDescent="0.2">
      <c r="A2348" t="str">
        <f>"20200111150640956"</f>
        <v>20200111150640956</v>
      </c>
      <c r="B2348" t="str">
        <f>"1578726400949185"</f>
        <v>1578726400949185</v>
      </c>
      <c r="C2348" t="s">
        <v>37</v>
      </c>
      <c r="D2348">
        <v>4.8713819999999997</v>
      </c>
      <c r="E2348">
        <v>0.47467169999999997</v>
      </c>
      <c r="F2348" t="s">
        <v>39</v>
      </c>
      <c r="G2348">
        <v>-263.77760000000001</v>
      </c>
      <c r="H2348" s="1">
        <v>-6.9902959999999895E-7</v>
      </c>
      <c r="I2348">
        <v>-59.971200000000003</v>
      </c>
      <c r="J2348">
        <v>-280.87180000000001</v>
      </c>
      <c r="K2348">
        <v>1.1017330000000001</v>
      </c>
      <c r="L2348">
        <v>-60.256469999999901</v>
      </c>
      <c r="M2348">
        <v>0.99459789999999904</v>
      </c>
      <c r="N2348">
        <v>0</v>
      </c>
      <c r="O2348">
        <v>-0.10303329999999999</v>
      </c>
      <c r="P2348">
        <v>0.98543099999999995</v>
      </c>
      <c r="Q2348">
        <v>0.16321379999999999</v>
      </c>
      <c r="R2348">
        <v>-4.7825599999999899E-2</v>
      </c>
      <c r="S2348">
        <v>3.0787960000000001</v>
      </c>
      <c r="T2348">
        <v>-0.19677320000000001</v>
      </c>
      <c r="U2348">
        <v>4.8004150000000002E-2</v>
      </c>
      <c r="V2348">
        <v>-5.3194579999999998E-2</v>
      </c>
      <c r="W2348">
        <v>0.1758682</v>
      </c>
      <c r="X2348">
        <v>0.98297540000000005</v>
      </c>
      <c r="Y2348">
        <v>-0.118085199999999</v>
      </c>
      <c r="Z2348">
        <v>1.0340530000000001E-2</v>
      </c>
      <c r="AA2348">
        <v>0.99294959999999899</v>
      </c>
      <c r="AB2348">
        <v>30</v>
      </c>
      <c r="AC2348">
        <v>17.094200000000001</v>
      </c>
      <c r="AD2348">
        <v>-1.1017336990296001</v>
      </c>
      <c r="AE2348">
        <v>0.28526999999998898</v>
      </c>
      <c r="AF2348">
        <v>-2.0367056271400199</v>
      </c>
      <c r="AG2348">
        <v>-1.1017336990296001</v>
      </c>
      <c r="AH2348">
        <v>16.903617577856998</v>
      </c>
      <c r="AI2348">
        <v>93.702411789782403</v>
      </c>
      <c r="AJ2348">
        <v>96.870410595286401</v>
      </c>
      <c r="AK2348">
        <v>17.061485110436202</v>
      </c>
    </row>
    <row r="2349" spans="1:37" x14ac:dyDescent="0.2">
      <c r="A2349" t="str">
        <f>"20200111150640966"</f>
        <v>20200111150640966</v>
      </c>
      <c r="B2349" t="str">
        <f>"1578726400958945"</f>
        <v>1578726400958945</v>
      </c>
      <c r="C2349" t="s">
        <v>37</v>
      </c>
      <c r="D2349">
        <v>4.7785279999999997</v>
      </c>
      <c r="E2349">
        <v>0.47523149999999997</v>
      </c>
      <c r="F2349" t="s">
        <v>100</v>
      </c>
      <c r="G2349">
        <v>-263.85930000000002</v>
      </c>
      <c r="H2349" s="1">
        <v>-7.178262E-7</v>
      </c>
      <c r="I2349">
        <v>-60.062829999999998</v>
      </c>
      <c r="J2349">
        <v>-280.72669999999999</v>
      </c>
      <c r="K2349">
        <v>1.101499</v>
      </c>
      <c r="L2349">
        <v>-60.2729199999999</v>
      </c>
      <c r="M2349">
        <v>0.99442909999999995</v>
      </c>
      <c r="N2349">
        <v>0</v>
      </c>
      <c r="O2349">
        <v>-0.1046531</v>
      </c>
      <c r="P2349">
        <v>0.98533989999999905</v>
      </c>
      <c r="Q2349">
        <v>0.162957399999999</v>
      </c>
      <c r="R2349">
        <v>-5.0501209999999998E-2</v>
      </c>
      <c r="S2349">
        <v>3.0790709999999999</v>
      </c>
      <c r="T2349">
        <v>-0.19940189999999999</v>
      </c>
      <c r="U2349">
        <v>3.5034179999999998E-2</v>
      </c>
      <c r="V2349">
        <v>-5.2031189999999998E-2</v>
      </c>
      <c r="W2349">
        <v>0.17561940000000001</v>
      </c>
      <c r="X2349">
        <v>0.98308220000000002</v>
      </c>
      <c r="Y2349">
        <v>-0.1155089</v>
      </c>
      <c r="Z2349">
        <v>1.049844E-2</v>
      </c>
      <c r="AA2349">
        <v>0.993251</v>
      </c>
      <c r="AB2349">
        <v>30</v>
      </c>
      <c r="AC2349">
        <v>16.8673999999999</v>
      </c>
      <c r="AD2349">
        <v>-1.1014997178262</v>
      </c>
      <c r="AE2349">
        <v>0.21008999999998601</v>
      </c>
      <c r="AF2349">
        <v>-1.96591932502365</v>
      </c>
      <c r="AG2349">
        <v>-1.1014997178262</v>
      </c>
      <c r="AH2349">
        <v>16.681645928237401</v>
      </c>
      <c r="AI2349">
        <v>93.751903494694503</v>
      </c>
      <c r="AJ2349">
        <v>96.721262625649501</v>
      </c>
      <c r="AK2349">
        <v>16.833165219172301</v>
      </c>
    </row>
    <row r="2350" spans="1:37" x14ac:dyDescent="0.2">
      <c r="A2350" t="str">
        <f>"20200111150640980"</f>
        <v>20200111150640980</v>
      </c>
      <c r="B2350" t="str">
        <f>"1578726400968706"</f>
        <v>1578726400968706</v>
      </c>
      <c r="C2350" t="s">
        <v>37</v>
      </c>
      <c r="D2350">
        <v>4.8589479999999998</v>
      </c>
      <c r="E2350">
        <v>0.47574870000000002</v>
      </c>
      <c r="F2350" t="s">
        <v>39</v>
      </c>
      <c r="G2350">
        <v>-263.339</v>
      </c>
      <c r="H2350" s="1">
        <v>-4.8059610000000004E-7</v>
      </c>
      <c r="I2350">
        <v>-60.141659999999902</v>
      </c>
      <c r="J2350">
        <v>-280.55959999999999</v>
      </c>
      <c r="K2350">
        <v>1.1012599999999999</v>
      </c>
      <c r="L2350">
        <v>-60.292269999999903</v>
      </c>
      <c r="M2350">
        <v>0.99421919999999897</v>
      </c>
      <c r="N2350">
        <v>0</v>
      </c>
      <c r="O2350">
        <v>-0.1066312</v>
      </c>
      <c r="P2350">
        <v>0.98526159999999996</v>
      </c>
      <c r="Q2350">
        <v>0.16242100000000001</v>
      </c>
      <c r="R2350">
        <v>-5.36593E-2</v>
      </c>
      <c r="S2350">
        <v>3.078033</v>
      </c>
      <c r="T2350">
        <v>-0.19499089999999999</v>
      </c>
      <c r="U2350">
        <v>2.3223879999999999E-2</v>
      </c>
      <c r="V2350">
        <v>-5.0743610000000001E-2</v>
      </c>
      <c r="W2350">
        <v>0.17508899999999999</v>
      </c>
      <c r="X2350">
        <v>0.98324409999999896</v>
      </c>
      <c r="Y2350">
        <v>-0.1136973</v>
      </c>
      <c r="Z2350">
        <v>1.033735E-2</v>
      </c>
      <c r="AA2350">
        <v>0.9934617</v>
      </c>
      <c r="AB2350">
        <v>30</v>
      </c>
      <c r="AC2350">
        <v>17.220599999999902</v>
      </c>
      <c r="AD2350">
        <v>-1.1012604805960999</v>
      </c>
      <c r="AE2350">
        <v>0.15060999999999999</v>
      </c>
      <c r="AF2350">
        <v>-1.97806056976505</v>
      </c>
      <c r="AG2350">
        <v>-1.1012604805960999</v>
      </c>
      <c r="AH2350">
        <v>17.036674333834</v>
      </c>
      <c r="AI2350">
        <v>93.673874923433502</v>
      </c>
      <c r="AJ2350">
        <v>96.622732064826295</v>
      </c>
      <c r="AK2350">
        <v>17.1864414763761</v>
      </c>
    </row>
    <row r="2351" spans="1:37" x14ac:dyDescent="0.2">
      <c r="A2351" t="str">
        <f>"20200111150640995"</f>
        <v>20200111150640995</v>
      </c>
      <c r="B2351" t="str">
        <f>"1578726400989201"</f>
        <v>1578726400989201</v>
      </c>
      <c r="C2351" t="s">
        <v>37</v>
      </c>
      <c r="D2351">
        <v>4.8701939999999997</v>
      </c>
      <c r="E2351">
        <v>0.47649719999999901</v>
      </c>
      <c r="F2351" t="s">
        <v>39</v>
      </c>
      <c r="G2351">
        <v>-263.34249999999997</v>
      </c>
      <c r="H2351" s="1">
        <v>-4.6553299999999999E-7</v>
      </c>
      <c r="I2351">
        <v>-60.23518</v>
      </c>
      <c r="J2351">
        <v>-280.36590000000001</v>
      </c>
      <c r="K2351">
        <v>1.101005</v>
      </c>
      <c r="L2351">
        <v>-60.315219999999997</v>
      </c>
      <c r="M2351">
        <v>0.99395940000000005</v>
      </c>
      <c r="N2351">
        <v>0</v>
      </c>
      <c r="O2351">
        <v>-0.1090286</v>
      </c>
      <c r="P2351">
        <v>0.98519020000000002</v>
      </c>
      <c r="Q2351">
        <v>0.16178319999999999</v>
      </c>
      <c r="R2351">
        <v>-5.6805639999999998E-2</v>
      </c>
      <c r="S2351">
        <v>3.0778810000000001</v>
      </c>
      <c r="T2351">
        <v>-0.1968713</v>
      </c>
      <c r="U2351">
        <v>1.019287E-2</v>
      </c>
      <c r="V2351">
        <v>-4.9882839999999998E-2</v>
      </c>
      <c r="W2351">
        <v>0.174457</v>
      </c>
      <c r="X2351">
        <v>0.98340049999999901</v>
      </c>
      <c r="Y2351">
        <v>-0.11187759999999999</v>
      </c>
      <c r="Z2351">
        <v>1.0531489999999999E-2</v>
      </c>
      <c r="AA2351">
        <v>0.99366620000000005</v>
      </c>
      <c r="AB2351">
        <v>30</v>
      </c>
      <c r="AC2351">
        <v>17.023399999999999</v>
      </c>
      <c r="AD2351">
        <v>-1.1010054655329999</v>
      </c>
      <c r="AE2351">
        <v>8.0039999999989606E-2</v>
      </c>
      <c r="AF2351">
        <v>-1.9276831100394201</v>
      </c>
      <c r="AG2351">
        <v>-1.1010054655329999</v>
      </c>
      <c r="AH2351">
        <v>16.842722256017499</v>
      </c>
      <c r="AI2351">
        <v>93.715902606084398</v>
      </c>
      <c r="AJ2351">
        <v>96.529205746686799</v>
      </c>
      <c r="AK2351">
        <v>16.988392160566899</v>
      </c>
    </row>
    <row r="2352" spans="1:37" x14ac:dyDescent="0.2">
      <c r="A2352" t="str">
        <f>"20200111150641006"</f>
        <v>20200111150641006</v>
      </c>
      <c r="B2352" t="str">
        <f>"1578726400998960"</f>
        <v>1578726400998960</v>
      </c>
      <c r="C2352" t="s">
        <v>37</v>
      </c>
      <c r="D2352">
        <v>4.8486799999999999</v>
      </c>
      <c r="E2352">
        <v>0.47681570000000001</v>
      </c>
      <c r="F2352" t="s">
        <v>100</v>
      </c>
      <c r="G2352">
        <v>-263.27319999999997</v>
      </c>
      <c r="H2352" s="1">
        <v>-4.1665239999999999E-7</v>
      </c>
      <c r="I2352">
        <v>-60.3431199999999</v>
      </c>
      <c r="J2352">
        <v>-280.1934</v>
      </c>
      <c r="K2352">
        <v>1.1008209999999901</v>
      </c>
      <c r="L2352">
        <v>-60.336269999999899</v>
      </c>
      <c r="M2352">
        <v>0.9937087</v>
      </c>
      <c r="N2352">
        <v>0</v>
      </c>
      <c r="O2352">
        <v>-0.1112914</v>
      </c>
      <c r="P2352">
        <v>0.98505810000000005</v>
      </c>
      <c r="Q2352">
        <v>0.16142020000000001</v>
      </c>
      <c r="R2352">
        <v>-6.0033139999999999E-2</v>
      </c>
      <c r="S2352">
        <v>3.0773619999999999</v>
      </c>
      <c r="T2352">
        <v>-0.19822419999999999</v>
      </c>
      <c r="U2352">
        <v>-5.0353999999999998E-3</v>
      </c>
      <c r="V2352">
        <v>-4.8829530000000003E-2</v>
      </c>
      <c r="W2352">
        <v>0.17409359999999999</v>
      </c>
      <c r="X2352">
        <v>0.98351769999999905</v>
      </c>
      <c r="Y2352">
        <v>-0.109217699999999</v>
      </c>
      <c r="Z2352">
        <v>1.0664409999999999E-2</v>
      </c>
      <c r="AA2352">
        <v>0.99396070000000003</v>
      </c>
      <c r="AB2352">
        <v>30</v>
      </c>
      <c r="AC2352">
        <v>16.920200000000001</v>
      </c>
      <c r="AD2352">
        <v>-1.10082141665239</v>
      </c>
      <c r="AE2352">
        <v>-6.8500000000000201E-3</v>
      </c>
      <c r="AF2352">
        <v>-1.86850446122765</v>
      </c>
      <c r="AG2352">
        <v>-1.10082141665239</v>
      </c>
      <c r="AH2352">
        <v>16.744957208428499</v>
      </c>
      <c r="AI2352">
        <v>93.738105412194699</v>
      </c>
      <c r="AJ2352">
        <v>96.367073284506901</v>
      </c>
      <c r="AK2352">
        <v>16.884807035470999</v>
      </c>
    </row>
    <row r="2353" spans="1:37" x14ac:dyDescent="0.2">
      <c r="A2353" t="str">
        <f>"20200111150641024"</f>
        <v>20200111150641024</v>
      </c>
      <c r="B2353" t="str">
        <f>"1578726401019457"</f>
        <v>1578726401019457</v>
      </c>
      <c r="C2353" t="s">
        <v>37</v>
      </c>
      <c r="D2353">
        <v>4.8533119999999998</v>
      </c>
      <c r="E2353">
        <v>0.47731889999999999</v>
      </c>
      <c r="F2353" t="s">
        <v>39</v>
      </c>
      <c r="G2353">
        <v>-263.28789999999998</v>
      </c>
      <c r="H2353" s="1">
        <v>-4.2870869999999997E-7</v>
      </c>
      <c r="I2353">
        <v>-60.432269999999903</v>
      </c>
      <c r="J2353">
        <v>-279.96460000000002</v>
      </c>
      <c r="K2353">
        <v>1.1006119999999999</v>
      </c>
      <c r="L2353">
        <v>-60.364899999999999</v>
      </c>
      <c r="M2353">
        <v>0.9933573</v>
      </c>
      <c r="N2353">
        <v>0</v>
      </c>
      <c r="O2353">
        <v>-0.1143875</v>
      </c>
      <c r="P2353">
        <v>0.98488279999999995</v>
      </c>
      <c r="Q2353">
        <v>0.1609006</v>
      </c>
      <c r="R2353">
        <v>-6.4161579999999996E-2</v>
      </c>
      <c r="S2353">
        <v>3.0772710000000001</v>
      </c>
      <c r="T2353">
        <v>-0.20038020000000001</v>
      </c>
      <c r="U2353">
        <v>-1.748657E-2</v>
      </c>
      <c r="V2353">
        <v>-4.769669E-2</v>
      </c>
      <c r="W2353">
        <v>0.173571</v>
      </c>
      <c r="X2353">
        <v>0.98366559999999903</v>
      </c>
      <c r="Y2353">
        <v>-0.10827879999999999</v>
      </c>
      <c r="Z2353">
        <v>1.0949850000000001E-2</v>
      </c>
      <c r="AA2353">
        <v>0.99406030000000001</v>
      </c>
      <c r="AB2353">
        <v>30</v>
      </c>
      <c r="AC2353">
        <v>16.6767</v>
      </c>
      <c r="AD2353">
        <v>-1.1006124287087</v>
      </c>
      <c r="AE2353">
        <v>-6.7369999999996794E-2</v>
      </c>
      <c r="AF2353">
        <v>-1.83284482319373</v>
      </c>
      <c r="AG2353">
        <v>-1.1006124287087</v>
      </c>
      <c r="AH2353">
        <v>16.503047682294</v>
      </c>
      <c r="AI2353">
        <v>93.792241943664195</v>
      </c>
      <c r="AJ2353">
        <v>96.337355056108905</v>
      </c>
      <c r="AK2353">
        <v>16.640951014536501</v>
      </c>
    </row>
    <row r="2354" spans="1:37" x14ac:dyDescent="0.2">
      <c r="A2354" t="str">
        <f>"20200111150641038"</f>
        <v>20200111150641038</v>
      </c>
      <c r="B2354" t="str">
        <f>"1578726401029218"</f>
        <v>1578726401029218</v>
      </c>
      <c r="C2354" t="s">
        <v>37</v>
      </c>
      <c r="D2354">
        <v>4.8860109999999999</v>
      </c>
      <c r="E2354">
        <v>0.47764859999999998</v>
      </c>
      <c r="F2354" t="s">
        <v>39</v>
      </c>
      <c r="G2354">
        <v>-263.30579999999998</v>
      </c>
      <c r="H2354" s="1">
        <v>-4.6956899999999901E-7</v>
      </c>
      <c r="I2354">
        <v>-60.556989999999999</v>
      </c>
      <c r="J2354">
        <v>-279.79020000000003</v>
      </c>
      <c r="K2354">
        <v>1.100481</v>
      </c>
      <c r="L2354">
        <v>-60.387239999999998</v>
      </c>
      <c r="M2354">
        <v>0.99307590000000001</v>
      </c>
      <c r="N2354">
        <v>0</v>
      </c>
      <c r="O2354">
        <v>-0.11680789999999899</v>
      </c>
      <c r="P2354">
        <v>0.98471769999999903</v>
      </c>
      <c r="Q2354">
        <v>0.1608174</v>
      </c>
      <c r="R2354">
        <v>-6.6851969999999997E-2</v>
      </c>
      <c r="S2354">
        <v>3.07693499999999</v>
      </c>
      <c r="T2354">
        <v>-0.20328640000000001</v>
      </c>
      <c r="U2354">
        <v>-3.549194E-2</v>
      </c>
      <c r="V2354">
        <v>-4.7354069999999998E-2</v>
      </c>
      <c r="W2354">
        <v>0.17348549999999999</v>
      </c>
      <c r="X2354">
        <v>0.9836973</v>
      </c>
      <c r="Y2354">
        <v>-0.10487200000000001</v>
      </c>
      <c r="Z2354">
        <v>1.115508E-2</v>
      </c>
      <c r="AA2354">
        <v>0.99442319999999995</v>
      </c>
      <c r="AB2354">
        <v>30</v>
      </c>
      <c r="AC2354">
        <v>16.484400000000001</v>
      </c>
      <c r="AD2354">
        <v>-1.1004814695689999</v>
      </c>
      <c r="AE2354">
        <v>-0.16974999999999299</v>
      </c>
      <c r="AF2354">
        <v>-1.74927544713062</v>
      </c>
      <c r="AG2354">
        <v>-1.1004814695689999</v>
      </c>
      <c r="AH2354">
        <v>16.318647913394798</v>
      </c>
      <c r="AI2354">
        <v>93.836106244505004</v>
      </c>
      <c r="AJ2354">
        <v>96.1184502111158</v>
      </c>
      <c r="AK2354">
        <v>16.448990661318501</v>
      </c>
    </row>
    <row r="2355" spans="1:37" x14ac:dyDescent="0.2">
      <c r="A2355" t="str">
        <f>"20200111150641050"</f>
        <v>20200111150641050</v>
      </c>
      <c r="B2355" t="str">
        <f>"1578726401038976"</f>
        <v>1578726401038976</v>
      </c>
      <c r="C2355" t="s">
        <v>37</v>
      </c>
      <c r="D2355">
        <v>4.8654190000000002</v>
      </c>
      <c r="E2355">
        <v>0.47790889999999903</v>
      </c>
      <c r="F2355" t="s">
        <v>39</v>
      </c>
      <c r="G2355">
        <v>-263.2242</v>
      </c>
      <c r="H2355" s="1">
        <v>-4.5742829999999901E-7</v>
      </c>
      <c r="I2355">
        <v>-60.643009999999997</v>
      </c>
      <c r="J2355">
        <v>-279.60930000000002</v>
      </c>
      <c r="K2355">
        <v>1.1003689999999999</v>
      </c>
      <c r="L2355">
        <v>-60.410919999999997</v>
      </c>
      <c r="M2355">
        <v>0.99277190000000004</v>
      </c>
      <c r="N2355">
        <v>0</v>
      </c>
      <c r="O2355">
        <v>-0.11936569999999901</v>
      </c>
      <c r="P2355">
        <v>0.98461109999999896</v>
      </c>
      <c r="Q2355">
        <v>0.16043289999999999</v>
      </c>
      <c r="R2355">
        <v>-6.9298910000000005E-2</v>
      </c>
      <c r="S2355">
        <v>3.076721</v>
      </c>
      <c r="T2355">
        <v>-0.2043867</v>
      </c>
      <c r="U2355">
        <v>-4.7515870000000002E-2</v>
      </c>
      <c r="V2355">
        <v>-4.7406589999999998E-2</v>
      </c>
      <c r="W2355">
        <v>0.1730999</v>
      </c>
      <c r="X2355">
        <v>0.98376269999999999</v>
      </c>
      <c r="Y2355">
        <v>-0.1035393</v>
      </c>
      <c r="Z2355">
        <v>1.133991E-2</v>
      </c>
      <c r="AA2355">
        <v>0.99456069999999996</v>
      </c>
      <c r="AB2355">
        <v>30</v>
      </c>
      <c r="AC2355">
        <v>16.385100000000001</v>
      </c>
      <c r="AD2355">
        <v>-1.1003694574283001</v>
      </c>
      <c r="AE2355">
        <v>-0.23208999999999899</v>
      </c>
      <c r="AF2355">
        <v>-1.71779516856407</v>
      </c>
      <c r="AG2355">
        <v>-1.1003694574283001</v>
      </c>
      <c r="AH2355">
        <v>16.222490648168801</v>
      </c>
      <c r="AI2355">
        <v>93.858913259373594</v>
      </c>
      <c r="AJ2355">
        <v>96.044510198712999</v>
      </c>
      <c r="AK2355">
        <v>16.3502549219854</v>
      </c>
    </row>
    <row r="2356" spans="1:37" x14ac:dyDescent="0.2">
      <c r="A2356" t="str">
        <f>"20200111150641062"</f>
        <v>20200111150641062</v>
      </c>
      <c r="B2356" t="str">
        <f>"1578726401059472"</f>
        <v>1578726401059472</v>
      </c>
      <c r="C2356" t="s">
        <v>37</v>
      </c>
      <c r="D2356">
        <v>4.9195539999999998</v>
      </c>
      <c r="E2356">
        <v>0.47828589999999999</v>
      </c>
      <c r="F2356" t="s">
        <v>39</v>
      </c>
      <c r="G2356">
        <v>-262.83179999999999</v>
      </c>
      <c r="H2356" s="1">
        <v>-3.1174930000000002E-7</v>
      </c>
      <c r="I2356">
        <v>-60.728149999999999</v>
      </c>
      <c r="J2356">
        <v>-279.45890000000003</v>
      </c>
      <c r="K2356">
        <v>1.1002989999999999</v>
      </c>
      <c r="L2356">
        <v>-60.4311199999999</v>
      </c>
      <c r="M2356">
        <v>0.99250989999999994</v>
      </c>
      <c r="N2356">
        <v>0</v>
      </c>
      <c r="O2356">
        <v>-0.1215256</v>
      </c>
      <c r="P2356">
        <v>0.98445459999999996</v>
      </c>
      <c r="Q2356">
        <v>0.160419799999999</v>
      </c>
      <c r="R2356">
        <v>-7.151797E-2</v>
      </c>
      <c r="S2356">
        <v>3.075653</v>
      </c>
      <c r="T2356">
        <v>-0.2017196</v>
      </c>
      <c r="U2356">
        <v>-5.8166499999999899E-2</v>
      </c>
      <c r="V2356">
        <v>-4.7299760000000003E-2</v>
      </c>
      <c r="W2356">
        <v>0.17308399999999999</v>
      </c>
      <c r="X2356">
        <v>0.98377060000000005</v>
      </c>
      <c r="Y2356">
        <v>-0.1022656</v>
      </c>
      <c r="Z2356">
        <v>1.129432E-2</v>
      </c>
      <c r="AA2356">
        <v>0.99469300000000005</v>
      </c>
      <c r="AB2356">
        <v>30</v>
      </c>
      <c r="AC2356">
        <v>16.627099999999999</v>
      </c>
      <c r="AD2356">
        <v>-1.1002993117492901</v>
      </c>
      <c r="AE2356">
        <v>-0.29703000000000601</v>
      </c>
      <c r="AF2356">
        <v>-1.71842457715666</v>
      </c>
      <c r="AG2356">
        <v>-1.1002993117492901</v>
      </c>
      <c r="AH2356">
        <v>16.467853187366298</v>
      </c>
      <c r="AI2356">
        <v>93.801952384989903</v>
      </c>
      <c r="AJ2356">
        <v>95.957268430238898</v>
      </c>
      <c r="AK2356">
        <v>16.593788904390198</v>
      </c>
    </row>
    <row r="2357" spans="1:37" x14ac:dyDescent="0.2">
      <c r="A2357" t="str">
        <f>"20200111150641074"</f>
        <v>20200111150641074</v>
      </c>
      <c r="B2357" t="str">
        <f>"1578726401069233"</f>
        <v>1578726401069233</v>
      </c>
      <c r="C2357" t="s">
        <v>37</v>
      </c>
      <c r="D2357">
        <v>5.0078230000000001</v>
      </c>
      <c r="E2357">
        <v>0.47828589999999999</v>
      </c>
      <c r="F2357" t="s">
        <v>39</v>
      </c>
      <c r="G2357">
        <v>-262.74400000000003</v>
      </c>
      <c r="H2357" s="1">
        <v>-2.948212E-7</v>
      </c>
      <c r="I2357">
        <v>-60.806080000000001</v>
      </c>
      <c r="J2357">
        <v>-279.30259999999998</v>
      </c>
      <c r="K2357">
        <v>1.10022999999999</v>
      </c>
      <c r="L2357">
        <v>-60.452330000000003</v>
      </c>
      <c r="M2357">
        <v>0.99223150000000004</v>
      </c>
      <c r="N2357">
        <v>0</v>
      </c>
      <c r="O2357">
        <v>-0.1237791</v>
      </c>
      <c r="P2357">
        <v>0.98434969999999999</v>
      </c>
      <c r="Q2357">
        <v>0.16022220000000001</v>
      </c>
      <c r="R2357">
        <v>-7.3379760000000002E-2</v>
      </c>
      <c r="S2357">
        <v>3.0753169999999899</v>
      </c>
      <c r="T2357">
        <v>-0.20243949999999999</v>
      </c>
      <c r="U2357">
        <v>-6.9000240000000004E-2</v>
      </c>
      <c r="V2357">
        <v>-4.7650449999999997E-2</v>
      </c>
      <c r="W2357">
        <v>0.17288619999999999</v>
      </c>
      <c r="X2357">
        <v>0.98378849999999995</v>
      </c>
      <c r="Y2357">
        <v>-0.1010141</v>
      </c>
      <c r="Z2357">
        <v>1.144102E-2</v>
      </c>
      <c r="AA2357">
        <v>0.99481919999999902</v>
      </c>
      <c r="AB2357">
        <v>30</v>
      </c>
      <c r="AC2357">
        <v>16.558599999999899</v>
      </c>
      <c r="AD2357">
        <v>-1.1002302948211899</v>
      </c>
      <c r="AE2357">
        <v>-0.35374999999999801</v>
      </c>
      <c r="AF2357">
        <v>-1.6912753068261499</v>
      </c>
      <c r="AG2357">
        <v>-1.1002302948211899</v>
      </c>
      <c r="AH2357">
        <v>16.402648540182199</v>
      </c>
      <c r="AI2357">
        <v>93.817267235797104</v>
      </c>
      <c r="AJ2357">
        <v>95.886957723508303</v>
      </c>
      <c r="AK2357">
        <v>16.526275986980998</v>
      </c>
    </row>
    <row r="2358" spans="1:37" x14ac:dyDescent="0.2">
      <c r="A2358" t="str">
        <f>"20200111150641089"</f>
        <v>20200111150641089</v>
      </c>
      <c r="B2358" t="str">
        <f>"1578726401078992"</f>
        <v>1578726401078992</v>
      </c>
      <c r="C2358" t="s">
        <v>37</v>
      </c>
      <c r="D2358">
        <v>4.9615470000000004</v>
      </c>
      <c r="E2358">
        <v>0.47841620000000001</v>
      </c>
      <c r="F2358" t="s">
        <v>39</v>
      </c>
      <c r="G2358">
        <v>-262.65309999999999</v>
      </c>
      <c r="H2358" s="1">
        <v>-2.7046629999999998E-7</v>
      </c>
      <c r="I2358">
        <v>-60.861040000000003</v>
      </c>
      <c r="J2358">
        <v>-279.07749999999999</v>
      </c>
      <c r="K2358">
        <v>1.1001559999999999</v>
      </c>
      <c r="L2358">
        <v>-60.483699999999999</v>
      </c>
      <c r="M2358">
        <v>0.99181779999999997</v>
      </c>
      <c r="N2358">
        <v>0</v>
      </c>
      <c r="O2358">
        <v>-0.12705330000000001</v>
      </c>
      <c r="P2358">
        <v>0.98414749999999995</v>
      </c>
      <c r="Q2358">
        <v>0.16023380000000001</v>
      </c>
      <c r="R2358">
        <v>-7.6017470000000004E-2</v>
      </c>
      <c r="S2358">
        <v>3.0751339999999998</v>
      </c>
      <c r="T2358">
        <v>-0.20321059999999999</v>
      </c>
      <c r="U2358">
        <v>-7.5500490000000003E-2</v>
      </c>
      <c r="V2358">
        <v>-4.8231120000000002E-2</v>
      </c>
      <c r="W2358">
        <v>0.1728961</v>
      </c>
      <c r="X2358">
        <v>0.98375840000000003</v>
      </c>
      <c r="Y2358">
        <v>-0.1021811</v>
      </c>
      <c r="Z2358">
        <v>1.173779E-2</v>
      </c>
      <c r="AA2358">
        <v>0.99469660000000004</v>
      </c>
      <c r="AB2358">
        <v>30</v>
      </c>
      <c r="AC2358">
        <v>16.424399999999899</v>
      </c>
      <c r="AD2358">
        <v>-1.1001562704662999</v>
      </c>
      <c r="AE2358">
        <v>-0.37734000000000301</v>
      </c>
      <c r="AF2358">
        <v>-1.7050084777127099</v>
      </c>
      <c r="AG2358">
        <v>-1.1001562704662999</v>
      </c>
      <c r="AH2358">
        <v>16.266276320303898</v>
      </c>
      <c r="AI2358">
        <v>93.8482418654866</v>
      </c>
      <c r="AJ2358">
        <v>95.983813219888802</v>
      </c>
      <c r="AK2358">
        <v>16.3923501383115</v>
      </c>
    </row>
    <row r="2359" spans="1:37" x14ac:dyDescent="0.2">
      <c r="A2359" t="str">
        <f>"20200111150641102"</f>
        <v>20200111150641102</v>
      </c>
      <c r="B2359" t="str">
        <f>"1578726401099489"</f>
        <v>1578726401099489</v>
      </c>
      <c r="C2359" t="s">
        <v>37</v>
      </c>
      <c r="D2359">
        <v>4.9755129999999896</v>
      </c>
      <c r="E2359">
        <v>0.47866740000000002</v>
      </c>
      <c r="F2359" t="s">
        <v>39</v>
      </c>
      <c r="G2359">
        <v>-262.51249999999999</v>
      </c>
      <c r="H2359" s="1">
        <v>-2.318791E-7</v>
      </c>
      <c r="I2359">
        <v>-60.942630000000001</v>
      </c>
      <c r="J2359">
        <v>-278.92469999999997</v>
      </c>
      <c r="K2359">
        <v>1.1001179999999999</v>
      </c>
      <c r="L2359">
        <v>-60.505519999999997</v>
      </c>
      <c r="M2359">
        <v>0.99152989999999996</v>
      </c>
      <c r="N2359">
        <v>0</v>
      </c>
      <c r="O2359">
        <v>-0.12928249999999999</v>
      </c>
      <c r="P2359">
        <v>0.98404380000000002</v>
      </c>
      <c r="Q2359">
        <v>0.160002799999999</v>
      </c>
      <c r="R2359">
        <v>-7.7829170000000003E-2</v>
      </c>
      <c r="S2359">
        <v>3.0749819999999999</v>
      </c>
      <c r="T2359">
        <v>-0.20422460000000001</v>
      </c>
      <c r="U2359">
        <v>-8.5205080000000002E-2</v>
      </c>
      <c r="V2359">
        <v>-4.8624340000000002E-2</v>
      </c>
      <c r="W2359">
        <v>0.17266409999999999</v>
      </c>
      <c r="X2359">
        <v>0.98377979999999998</v>
      </c>
      <c r="Y2359">
        <v>-0.101271</v>
      </c>
      <c r="Z2359">
        <v>1.1912549999999999E-2</v>
      </c>
      <c r="AA2359">
        <v>0.99478759999999999</v>
      </c>
      <c r="AB2359">
        <v>30</v>
      </c>
      <c r="AC2359">
        <v>16.412199999999899</v>
      </c>
      <c r="AD2359">
        <v>-1.1001182318791001</v>
      </c>
      <c r="AE2359">
        <v>-0.437110000000004</v>
      </c>
      <c r="AF2359">
        <v>-1.6809855839129599</v>
      </c>
      <c r="AG2359">
        <v>-1.1001182318791001</v>
      </c>
      <c r="AH2359">
        <v>16.257962542193901</v>
      </c>
      <c r="AI2359">
        <v>93.850634077679999</v>
      </c>
      <c r="AJ2359">
        <v>95.903098434271897</v>
      </c>
      <c r="AK2359">
        <v>16.381615264705001</v>
      </c>
    </row>
    <row r="2360" spans="1:37" x14ac:dyDescent="0.2">
      <c r="A2360" t="str">
        <f>"20200111150641114"</f>
        <v>20200111150641114</v>
      </c>
      <c r="B2360" t="str">
        <f>"1578726401108876"</f>
        <v>1578726401108876</v>
      </c>
      <c r="C2360" t="s">
        <v>37</v>
      </c>
      <c r="D2360">
        <v>5.0484</v>
      </c>
      <c r="E2360">
        <v>0.47874840000000002</v>
      </c>
      <c r="F2360" t="s">
        <v>39</v>
      </c>
      <c r="G2360">
        <v>-262.54050000000001</v>
      </c>
      <c r="H2360" s="1">
        <v>-2.5982239999999998E-7</v>
      </c>
      <c r="I2360">
        <v>-61.002569999999999</v>
      </c>
      <c r="J2360">
        <v>-278.76089999999999</v>
      </c>
      <c r="K2360">
        <v>1.1000809999999901</v>
      </c>
      <c r="L2360">
        <v>-60.529109999999903</v>
      </c>
      <c r="M2360">
        <v>0.99121550000000003</v>
      </c>
      <c r="N2360">
        <v>0</v>
      </c>
      <c r="O2360">
        <v>-0.13167219999999999</v>
      </c>
      <c r="P2360">
        <v>0.98400540000000003</v>
      </c>
      <c r="Q2360">
        <v>0.15937519999999999</v>
      </c>
      <c r="R2360">
        <v>-7.9580250000000005E-2</v>
      </c>
      <c r="S2360">
        <v>3.0747990000000001</v>
      </c>
      <c r="T2360">
        <v>-0.20645830000000001</v>
      </c>
      <c r="U2360">
        <v>-9.3292239999999999E-2</v>
      </c>
      <c r="V2360">
        <v>-4.9250439999999999E-2</v>
      </c>
      <c r="W2360">
        <v>0.172037</v>
      </c>
      <c r="X2360">
        <v>0.98385849999999897</v>
      </c>
      <c r="Y2360">
        <v>-0.10103719999999999</v>
      </c>
      <c r="Z2360">
        <v>1.219365E-2</v>
      </c>
      <c r="AA2360">
        <v>0.99480789999999997</v>
      </c>
      <c r="AB2360">
        <v>30</v>
      </c>
      <c r="AC2360">
        <v>16.220399999999898</v>
      </c>
      <c r="AD2360">
        <v>-1.1000812598223999</v>
      </c>
      <c r="AE2360">
        <v>-0.47346000000000199</v>
      </c>
      <c r="AF2360">
        <v>-1.6589791597654</v>
      </c>
      <c r="AG2360">
        <v>-1.1000812598223999</v>
      </c>
      <c r="AH2360">
        <v>16.067655538676402</v>
      </c>
      <c r="AI2360">
        <v>93.896028787111305</v>
      </c>
      <c r="AJ2360">
        <v>95.894878663351406</v>
      </c>
      <c r="AK2360">
        <v>16.190489342212899</v>
      </c>
    </row>
    <row r="2361" spans="1:37" x14ac:dyDescent="0.2">
      <c r="A2361" t="str">
        <f>"20200111150641127"</f>
        <v>20200111150641127</v>
      </c>
      <c r="B2361" t="str">
        <f>"1578726401119602"</f>
        <v>1578726401119602</v>
      </c>
      <c r="C2361" t="s">
        <v>37</v>
      </c>
      <c r="D2361">
        <v>4.9900159999999998</v>
      </c>
      <c r="E2361">
        <v>0.47886859999999998</v>
      </c>
      <c r="F2361" t="s">
        <v>39</v>
      </c>
      <c r="G2361">
        <v>-262.56060000000002</v>
      </c>
      <c r="H2361" s="1">
        <v>-2.821753E-7</v>
      </c>
      <c r="I2361">
        <v>-61.054229999999997</v>
      </c>
      <c r="J2361">
        <v>-278.57830000000001</v>
      </c>
      <c r="K2361">
        <v>1.1000459999999901</v>
      </c>
      <c r="L2361">
        <v>-60.556059999999903</v>
      </c>
      <c r="M2361">
        <v>0.99085829999999997</v>
      </c>
      <c r="N2361">
        <v>0</v>
      </c>
      <c r="O2361">
        <v>-0.1343345</v>
      </c>
      <c r="P2361">
        <v>0.9839135</v>
      </c>
      <c r="Q2361">
        <v>0.1589033</v>
      </c>
      <c r="R2361">
        <v>-8.1634890000000002E-2</v>
      </c>
      <c r="S2361">
        <v>3.074554</v>
      </c>
      <c r="T2361">
        <v>-0.20877699999999999</v>
      </c>
      <c r="U2361">
        <v>-9.9670410000000001E-2</v>
      </c>
      <c r="V2361">
        <v>-4.9844319999999998E-2</v>
      </c>
      <c r="W2361">
        <v>0.17156489999999999</v>
      </c>
      <c r="X2361">
        <v>0.98391109999999904</v>
      </c>
      <c r="Y2361">
        <v>-0.10162639999999901</v>
      </c>
      <c r="Z2361">
        <v>1.252966E-2</v>
      </c>
      <c r="AA2361">
        <v>0.99474370000000001</v>
      </c>
      <c r="AB2361">
        <v>30</v>
      </c>
      <c r="AC2361">
        <v>16.017699999999898</v>
      </c>
      <c r="AD2361">
        <v>-1.1000462821753001</v>
      </c>
      <c r="AE2361">
        <v>-0.498170000000008</v>
      </c>
      <c r="AF2361">
        <v>-1.6504646643598699</v>
      </c>
      <c r="AG2361">
        <v>-1.1000462821753001</v>
      </c>
      <c r="AH2361">
        <v>15.864666665383901</v>
      </c>
      <c r="AI2361">
        <v>93.945280725419096</v>
      </c>
      <c r="AJ2361">
        <v>95.939343063327698</v>
      </c>
      <c r="AK2361">
        <v>15.988176376152801</v>
      </c>
    </row>
    <row r="2362" spans="1:37" x14ac:dyDescent="0.2">
      <c r="A2362" t="str">
        <f>"20200111150641141"</f>
        <v>20200111150641141</v>
      </c>
      <c r="B2362" t="str">
        <f>"1578726401129362"</f>
        <v>1578726401129362</v>
      </c>
      <c r="C2362" t="s">
        <v>37</v>
      </c>
      <c r="D2362">
        <v>4.95777</v>
      </c>
      <c r="E2362">
        <v>0.47898069999999998</v>
      </c>
      <c r="F2362" t="s">
        <v>39</v>
      </c>
      <c r="G2362">
        <v>-262.5403</v>
      </c>
      <c r="H2362" s="1">
        <v>-2.900085E-7</v>
      </c>
      <c r="I2362">
        <v>-61.116409999999902</v>
      </c>
      <c r="J2362">
        <v>-278.40010000000001</v>
      </c>
      <c r="K2362">
        <v>1.1000239999999999</v>
      </c>
      <c r="L2362">
        <v>-60.582819999999998</v>
      </c>
      <c r="M2362">
        <v>0.99050369999999999</v>
      </c>
      <c r="N2362">
        <v>0</v>
      </c>
      <c r="O2362">
        <v>-0.13692570000000001</v>
      </c>
      <c r="P2362">
        <v>0.98384259999999901</v>
      </c>
      <c r="Q2362">
        <v>0.158388</v>
      </c>
      <c r="R2362">
        <v>-8.3471509999999999E-2</v>
      </c>
      <c r="S2362">
        <v>3.0742189999999998</v>
      </c>
      <c r="T2362">
        <v>-0.2108603</v>
      </c>
      <c r="U2362">
        <v>-0.1074219</v>
      </c>
      <c r="V2362">
        <v>-5.05911E-2</v>
      </c>
      <c r="W2362">
        <v>0.17105049999999999</v>
      </c>
      <c r="X2362">
        <v>0.98396249999999996</v>
      </c>
      <c r="Y2362">
        <v>-0.101702399999999</v>
      </c>
      <c r="Z2362">
        <v>1.283348E-2</v>
      </c>
      <c r="AA2362">
        <v>0.99473210000000001</v>
      </c>
      <c r="AB2362">
        <v>30</v>
      </c>
      <c r="AC2362">
        <v>15.8598</v>
      </c>
      <c r="AD2362">
        <v>-1.1000242900085</v>
      </c>
      <c r="AE2362">
        <v>-0.53358999999999601</v>
      </c>
      <c r="AF2362">
        <v>-1.6353593499133601</v>
      </c>
      <c r="AG2362">
        <v>-1.1000242900085</v>
      </c>
      <c r="AH2362">
        <v>15.707985232138499</v>
      </c>
      <c r="AI2362">
        <v>93.984396824811</v>
      </c>
      <c r="AJ2362">
        <v>95.943654760961294</v>
      </c>
      <c r="AK2362">
        <v>15.831148211517601</v>
      </c>
    </row>
    <row r="2363" spans="1:37" x14ac:dyDescent="0.2">
      <c r="A2363" t="str">
        <f>"20200111150641154"</f>
        <v>20200111150641154</v>
      </c>
      <c r="B2363" t="str">
        <f>"1578726401148882"</f>
        <v>1578726401148882</v>
      </c>
      <c r="C2363" t="s">
        <v>37</v>
      </c>
      <c r="D2363">
        <v>5.0032370000000004</v>
      </c>
      <c r="E2363">
        <v>0.4791125</v>
      </c>
      <c r="F2363" t="s">
        <v>100</v>
      </c>
      <c r="G2363">
        <v>-262.5462</v>
      </c>
      <c r="H2363" s="1">
        <v>-3.077924E-7</v>
      </c>
      <c r="I2363">
        <v>-61.173630000000003</v>
      </c>
      <c r="J2363">
        <v>-278.22370000000001</v>
      </c>
      <c r="K2363">
        <v>1.1000080000000001</v>
      </c>
      <c r="L2363">
        <v>-60.60971</v>
      </c>
      <c r="M2363">
        <v>0.99014650000000004</v>
      </c>
      <c r="N2363">
        <v>0</v>
      </c>
      <c r="O2363">
        <v>-0.13948559999999999</v>
      </c>
      <c r="P2363">
        <v>0.98380219999999896</v>
      </c>
      <c r="Q2363">
        <v>0.15762779999999901</v>
      </c>
      <c r="R2363">
        <v>-8.5362939999999998E-2</v>
      </c>
      <c r="S2363">
        <v>3.0738829999999999</v>
      </c>
      <c r="T2363">
        <v>-0.21328139999999901</v>
      </c>
      <c r="U2363">
        <v>-0.114563</v>
      </c>
      <c r="V2363">
        <v>-5.1261840000000003E-2</v>
      </c>
      <c r="W2363">
        <v>0.17029129999999901</v>
      </c>
      <c r="X2363">
        <v>0.98405949999999998</v>
      </c>
      <c r="Y2363">
        <v>-0.10194249999999901</v>
      </c>
      <c r="Z2363">
        <v>1.3165130000000001E-2</v>
      </c>
      <c r="AA2363">
        <v>0.99470319999999901</v>
      </c>
      <c r="AB2363">
        <v>30</v>
      </c>
      <c r="AC2363">
        <v>15.6775</v>
      </c>
      <c r="AD2363">
        <v>-1.1000083077924001</v>
      </c>
      <c r="AE2363">
        <v>-0.56392000000000297</v>
      </c>
      <c r="AF2363">
        <v>-1.6205792606620899</v>
      </c>
      <c r="AG2363">
        <v>-1.1000083077924001</v>
      </c>
      <c r="AH2363">
        <v>15.5265395387278</v>
      </c>
      <c r="AI2363">
        <v>94.030638502235007</v>
      </c>
      <c r="AJ2363">
        <v>95.958659230861997</v>
      </c>
      <c r="AK2363">
        <v>15.6495918625688</v>
      </c>
    </row>
    <row r="2364" spans="1:37" x14ac:dyDescent="0.2">
      <c r="A2364" t="str">
        <f>"20200111150641168"</f>
        <v>20200111150641168</v>
      </c>
      <c r="B2364" t="str">
        <f>"1578726401158642"</f>
        <v>1578726401158642</v>
      </c>
      <c r="C2364" t="s">
        <v>37</v>
      </c>
      <c r="D2364">
        <v>5.8259699999999999</v>
      </c>
      <c r="E2364">
        <v>0.4791125</v>
      </c>
      <c r="F2364" t="s">
        <v>100</v>
      </c>
      <c r="G2364">
        <v>-262.57990000000001</v>
      </c>
      <c r="H2364" s="1">
        <v>-3.3660739999999999E-7</v>
      </c>
      <c r="I2364">
        <v>-61.227719999999998</v>
      </c>
      <c r="J2364">
        <v>-278.02949999999998</v>
      </c>
      <c r="K2364">
        <v>1.099996</v>
      </c>
      <c r="L2364">
        <v>-60.639919999999996</v>
      </c>
      <c r="M2364">
        <v>0.98974769999999901</v>
      </c>
      <c r="N2364">
        <v>0</v>
      </c>
      <c r="O2364">
        <v>-0.14228769999999999</v>
      </c>
      <c r="P2364">
        <v>0.98379430000000001</v>
      </c>
      <c r="Q2364">
        <v>0.1566205</v>
      </c>
      <c r="R2364">
        <v>-8.7286520000000006E-2</v>
      </c>
      <c r="S2364">
        <v>3.0734560000000002</v>
      </c>
      <c r="T2364">
        <v>-0.2161119</v>
      </c>
      <c r="U2364">
        <v>-0.12142939999999899</v>
      </c>
      <c r="V2364">
        <v>-5.2154560000000003E-2</v>
      </c>
      <c r="W2364">
        <v>0.16928660000000001</v>
      </c>
      <c r="X2364">
        <v>0.98418589999999995</v>
      </c>
      <c r="Y2364">
        <v>-0.1025103</v>
      </c>
      <c r="Z2364">
        <v>1.355522E-2</v>
      </c>
      <c r="AA2364">
        <v>0.99463959999999996</v>
      </c>
      <c r="AB2364">
        <v>30</v>
      </c>
      <c r="AC2364">
        <v>15.449599999999901</v>
      </c>
      <c r="AD2364">
        <v>-1.0999963366073999</v>
      </c>
      <c r="AE2364">
        <v>-0.58780000000000099</v>
      </c>
      <c r="AF2364">
        <v>-1.60849643084066</v>
      </c>
      <c r="AG2364">
        <v>-1.0999963366073999</v>
      </c>
      <c r="AH2364">
        <v>15.2985834622779</v>
      </c>
      <c r="AI2364">
        <v>94.090126847578006</v>
      </c>
      <c r="AJ2364">
        <v>96.002039238161302</v>
      </c>
      <c r="AK2364">
        <v>15.422188841434201</v>
      </c>
    </row>
    <row r="2365" spans="1:37" x14ac:dyDescent="0.2">
      <c r="A2365" t="str">
        <f>"20200111150641179"</f>
        <v>20200111150641179</v>
      </c>
      <c r="B2365" t="str">
        <f>"1578726401169378"</f>
        <v>1578726401169378</v>
      </c>
      <c r="C2365" t="s">
        <v>37</v>
      </c>
      <c r="D2365">
        <v>5.0271679999999996</v>
      </c>
      <c r="E2365">
        <v>0.47912519999999997</v>
      </c>
      <c r="F2365" t="s">
        <v>100</v>
      </c>
      <c r="G2365">
        <v>-262.60669999999999</v>
      </c>
      <c r="H2365" s="1">
        <v>-3.6134159999999901E-7</v>
      </c>
      <c r="I2365">
        <v>-61.277469999999902</v>
      </c>
      <c r="J2365">
        <v>-277.88159999999999</v>
      </c>
      <c r="K2365">
        <v>1.0999939999999999</v>
      </c>
      <c r="L2365">
        <v>-60.663330000000002</v>
      </c>
      <c r="M2365">
        <v>0.98943979999999998</v>
      </c>
      <c r="N2365">
        <v>0</v>
      </c>
      <c r="O2365">
        <v>-0.1444136</v>
      </c>
      <c r="P2365">
        <v>0.98374099999999998</v>
      </c>
      <c r="Q2365">
        <v>0.1561205</v>
      </c>
      <c r="R2365">
        <v>-8.8770109999999999E-2</v>
      </c>
      <c r="S2365">
        <v>3.073029</v>
      </c>
      <c r="T2365">
        <v>-0.2191756</v>
      </c>
      <c r="U2365">
        <v>-0.12704469999999901</v>
      </c>
      <c r="V2365">
        <v>-5.2800649999999998E-2</v>
      </c>
      <c r="W2365">
        <v>0.16878750000000001</v>
      </c>
      <c r="X2365">
        <v>0.98423719999999904</v>
      </c>
      <c r="Y2365">
        <v>-0.1028038</v>
      </c>
      <c r="Z2365">
        <v>1.390838E-2</v>
      </c>
      <c r="AA2365">
        <v>0.99460439999999894</v>
      </c>
      <c r="AB2365">
        <v>30</v>
      </c>
      <c r="AC2365">
        <v>15.274900000000001</v>
      </c>
      <c r="AD2365">
        <v>-1.0999943613415999</v>
      </c>
      <c r="AE2365">
        <v>-0.61413999999999103</v>
      </c>
      <c r="AF2365">
        <v>-1.5901385038602101</v>
      </c>
      <c r="AG2365">
        <v>-1.0999943613415999</v>
      </c>
      <c r="AH2365">
        <v>15.125140912836301</v>
      </c>
      <c r="AI2365">
        <v>94.136863166316303</v>
      </c>
      <c r="AJ2365">
        <v>96.001581619211393</v>
      </c>
      <c r="AK2365">
        <v>15.2482266408129</v>
      </c>
    </row>
    <row r="2366" spans="1:37" x14ac:dyDescent="0.2">
      <c r="A2366" t="str">
        <f>"20200111150641191"</f>
        <v>20200111150641191</v>
      </c>
      <c r="B2366" t="str">
        <f>"1578726401188900"</f>
        <v>1578726401188900</v>
      </c>
      <c r="C2366" t="s">
        <v>37</v>
      </c>
      <c r="D2366">
        <v>5.0477499999999997</v>
      </c>
      <c r="E2366">
        <v>0.47930010000000001</v>
      </c>
      <c r="F2366" t="s">
        <v>39</v>
      </c>
      <c r="G2366">
        <v>-262.54939999999999</v>
      </c>
      <c r="H2366" s="1">
        <v>-3.4808339999999998E-7</v>
      </c>
      <c r="I2366">
        <v>-61.319890000000001</v>
      </c>
      <c r="J2366">
        <v>-277.71260000000001</v>
      </c>
      <c r="K2366">
        <v>1.0999889999999899</v>
      </c>
      <c r="L2366">
        <v>-60.690309999999997</v>
      </c>
      <c r="M2366">
        <v>0.98908369999999901</v>
      </c>
      <c r="N2366">
        <v>0</v>
      </c>
      <c r="O2366">
        <v>-0.14683260000000001</v>
      </c>
      <c r="P2366">
        <v>0.98359449999999904</v>
      </c>
      <c r="Q2366">
        <v>0.15613279999999999</v>
      </c>
      <c r="R2366">
        <v>-9.0355489999999997E-2</v>
      </c>
      <c r="S2366">
        <v>3.0726619999999998</v>
      </c>
      <c r="T2366">
        <v>-0.22044639999999999</v>
      </c>
      <c r="U2366">
        <v>-0.13159179999999901</v>
      </c>
      <c r="V2366">
        <v>-5.3623709999999998E-2</v>
      </c>
      <c r="W2366">
        <v>0.1688007</v>
      </c>
      <c r="X2366">
        <v>0.98419049999999997</v>
      </c>
      <c r="Y2366">
        <v>-0.103746</v>
      </c>
      <c r="Z2366">
        <v>1.41950999999999E-2</v>
      </c>
      <c r="AA2366">
        <v>0.99450249999999996</v>
      </c>
      <c r="AB2366">
        <v>30</v>
      </c>
      <c r="AC2366">
        <v>15.1632</v>
      </c>
      <c r="AD2366">
        <v>-1.09998934808339</v>
      </c>
      <c r="AE2366">
        <v>-0.62958000000000403</v>
      </c>
      <c r="AF2366">
        <v>-1.5954861076001501</v>
      </c>
      <c r="AG2366">
        <v>-1.09998934808339</v>
      </c>
      <c r="AH2366">
        <v>15.0124086417641</v>
      </c>
      <c r="AI2366">
        <v>94.167302638093503</v>
      </c>
      <c r="AJ2366">
        <v>96.066498782712102</v>
      </c>
      <c r="AK2366">
        <v>15.136973466078199</v>
      </c>
    </row>
    <row r="2367" spans="1:37" x14ac:dyDescent="0.2">
      <c r="A2367" t="str">
        <f>"20200111150641205"</f>
        <v>20200111150641205</v>
      </c>
      <c r="B2367" t="str">
        <f>"1578726401199634"</f>
        <v>1578726401199634</v>
      </c>
      <c r="C2367" t="s">
        <v>37</v>
      </c>
      <c r="D2367">
        <v>5.5707719999999998</v>
      </c>
      <c r="E2367">
        <v>0.47930010000000001</v>
      </c>
      <c r="F2367" t="s">
        <v>100</v>
      </c>
      <c r="G2367">
        <v>-262.49680000000001</v>
      </c>
      <c r="H2367" s="1">
        <v>-3.3990080000000001E-7</v>
      </c>
      <c r="I2367">
        <v>-61.374090000000002</v>
      </c>
      <c r="J2367">
        <v>-277.55149999999998</v>
      </c>
      <c r="K2367">
        <v>1.0999909999999999</v>
      </c>
      <c r="L2367">
        <v>-60.716639999999998</v>
      </c>
      <c r="M2367">
        <v>0.98874119999999999</v>
      </c>
      <c r="N2367">
        <v>0</v>
      </c>
      <c r="O2367">
        <v>-0.149122799999999</v>
      </c>
      <c r="P2367">
        <v>0.98352169999999906</v>
      </c>
      <c r="Q2367">
        <v>0.1558726</v>
      </c>
      <c r="R2367">
        <v>-9.1591870000000006E-2</v>
      </c>
      <c r="S2367">
        <v>3.0726009999999899</v>
      </c>
      <c r="T2367">
        <v>-0.22212470000000001</v>
      </c>
      <c r="U2367">
        <v>-0.13809199999999999</v>
      </c>
      <c r="V2367">
        <v>-5.467876E-2</v>
      </c>
      <c r="W2367">
        <v>0.1685431</v>
      </c>
      <c r="X2367">
        <v>0.98417649999999901</v>
      </c>
      <c r="Y2367">
        <v>-0.1039325</v>
      </c>
      <c r="Z2367">
        <v>1.447245E-2</v>
      </c>
      <c r="AA2367">
        <v>0.99447909999999995</v>
      </c>
      <c r="AB2367">
        <v>30</v>
      </c>
      <c r="AC2367">
        <v>15.054699999999899</v>
      </c>
      <c r="AD2367">
        <v>-1.0999913399007999</v>
      </c>
      <c r="AE2367">
        <v>-0.65744999999999698</v>
      </c>
      <c r="AF2367">
        <v>-1.5866189904781101</v>
      </c>
      <c r="AG2367">
        <v>-1.0999913399007999</v>
      </c>
      <c r="AH2367">
        <v>14.904969526934901</v>
      </c>
      <c r="AI2367">
        <v>94.197167013029002</v>
      </c>
      <c r="AJ2367">
        <v>96.076196369508395</v>
      </c>
      <c r="AK2367">
        <v>15.029486264262699</v>
      </c>
    </row>
    <row r="2368" spans="1:37" x14ac:dyDescent="0.2">
      <c r="A2368" t="str">
        <f>"20200111150641217"</f>
        <v>20200111150641217</v>
      </c>
      <c r="B2368" t="str">
        <f>"1578726401209574"</f>
        <v>1578726401209574</v>
      </c>
      <c r="C2368" t="s">
        <v>37</v>
      </c>
      <c r="D2368">
        <v>5.6527089999999998</v>
      </c>
      <c r="E2368">
        <v>0.46608850000000002</v>
      </c>
      <c r="F2368" t="s">
        <v>39</v>
      </c>
      <c r="G2368">
        <v>-262.39109999999999</v>
      </c>
      <c r="H2368" s="1">
        <v>-3.0591259999999902E-7</v>
      </c>
      <c r="I2368">
        <v>-61.416649999999997</v>
      </c>
      <c r="J2368">
        <v>-277.3793</v>
      </c>
      <c r="K2368">
        <v>1.0999939999999999</v>
      </c>
      <c r="L2368">
        <v>-60.745059999999903</v>
      </c>
      <c r="M2368">
        <v>0.98837009999999903</v>
      </c>
      <c r="N2368">
        <v>0</v>
      </c>
      <c r="O2368">
        <v>-0.1515629</v>
      </c>
      <c r="P2368">
        <v>0.98334539999999904</v>
      </c>
      <c r="Q2368">
        <v>0.15599959999999999</v>
      </c>
      <c r="R2368">
        <v>-9.3252100000000004E-2</v>
      </c>
      <c r="S2368">
        <v>3.0723880000000001</v>
      </c>
      <c r="T2368">
        <v>-0.2229227</v>
      </c>
      <c r="U2368">
        <v>-0.14187620000000001</v>
      </c>
      <c r="V2368">
        <v>-5.5447150000000001E-2</v>
      </c>
      <c r="W2368">
        <v>0.1686705</v>
      </c>
      <c r="X2368">
        <v>0.98411170000000003</v>
      </c>
      <c r="Y2368">
        <v>-0.10514749999999901</v>
      </c>
      <c r="Z2368">
        <v>1.4743549999999999E-2</v>
      </c>
      <c r="AA2368">
        <v>0.99434730000000005</v>
      </c>
      <c r="AB2368">
        <v>30</v>
      </c>
      <c r="AC2368">
        <v>14.988200000000001</v>
      </c>
      <c r="AD2368">
        <v>-1.0999943059126001</v>
      </c>
      <c r="AE2368">
        <v>-0.67159000000000102</v>
      </c>
      <c r="AF2368">
        <v>-1.5994013630647801</v>
      </c>
      <c r="AG2368">
        <v>-1.0999943059126001</v>
      </c>
      <c r="AH2368">
        <v>14.837064611560301</v>
      </c>
      <c r="AI2368">
        <v>94.215718395498797</v>
      </c>
      <c r="AJ2368">
        <v>96.152594604051998</v>
      </c>
      <c r="AK2368">
        <v>14.9635075594203</v>
      </c>
    </row>
    <row r="2369" spans="1:37" x14ac:dyDescent="0.2">
      <c r="A2369" t="str">
        <f>"20200111150641229"</f>
        <v>20200111150641229</v>
      </c>
      <c r="B2369" t="str">
        <f>"1578726401219287"</f>
        <v>1578726401219287</v>
      </c>
      <c r="C2369" t="s">
        <v>37</v>
      </c>
      <c r="D2369">
        <v>5.5202359999999997</v>
      </c>
      <c r="E2369">
        <v>0.46776440000000002</v>
      </c>
      <c r="F2369" t="s">
        <v>39</v>
      </c>
      <c r="G2369">
        <v>-271.26330000000002</v>
      </c>
      <c r="H2369" s="1">
        <v>1.986297E-7</v>
      </c>
      <c r="I2369">
        <v>-60.85651</v>
      </c>
      <c r="J2369">
        <v>-277.21570000000003</v>
      </c>
      <c r="K2369">
        <v>1.1000030000000001</v>
      </c>
      <c r="L2369">
        <v>-60.772459999999903</v>
      </c>
      <c r="M2369">
        <v>0.98801419999999995</v>
      </c>
      <c r="N2369">
        <v>0</v>
      </c>
      <c r="O2369">
        <v>-0.15386620000000001</v>
      </c>
      <c r="P2369">
        <v>0.98328499999999996</v>
      </c>
      <c r="Q2369">
        <v>0.1555609</v>
      </c>
      <c r="R2369">
        <v>-9.4612349999999998E-2</v>
      </c>
      <c r="S2369">
        <v>3.134827</v>
      </c>
      <c r="T2369">
        <v>-0.56381459999999906</v>
      </c>
      <c r="U2369">
        <v>-5.7128909999999998E-2</v>
      </c>
      <c r="V2369">
        <v>-5.6400239999999997E-2</v>
      </c>
      <c r="W2369">
        <v>0.16823379999999999</v>
      </c>
      <c r="X2369">
        <v>0.98413229999999996</v>
      </c>
      <c r="Y2369">
        <v>-0.13129260000000001</v>
      </c>
      <c r="Z2369">
        <v>3.9072740000000002E-2</v>
      </c>
      <c r="AA2369">
        <v>0.99057329999999999</v>
      </c>
      <c r="AB2369">
        <v>30</v>
      </c>
      <c r="AC2369">
        <v>5.9524000000000097</v>
      </c>
      <c r="AD2369">
        <v>-1.1000028013703</v>
      </c>
      <c r="AE2369">
        <v>-8.4050000000004801E-2</v>
      </c>
      <c r="AF2369">
        <v>-0.80539479859419005</v>
      </c>
      <c r="AG2369">
        <v>-1.1000028013703</v>
      </c>
      <c r="AH2369">
        <v>5.6998236641119497</v>
      </c>
      <c r="AI2369">
        <v>100.81826857132199</v>
      </c>
      <c r="AJ2369">
        <v>98.042745741971103</v>
      </c>
      <c r="AK2369">
        <v>5.8606020805541501</v>
      </c>
    </row>
    <row r="2370" spans="1:37" x14ac:dyDescent="0.2">
      <c r="A2370" t="str">
        <f>"20200111150641240"</f>
        <v>20200111150641240</v>
      </c>
      <c r="B2370" t="str">
        <f>"1578726401229048"</f>
        <v>1578726401229048</v>
      </c>
      <c r="C2370" t="s">
        <v>37</v>
      </c>
      <c r="D2370">
        <v>5.043615</v>
      </c>
      <c r="E2370">
        <v>0.46776440000000002</v>
      </c>
      <c r="F2370" t="s">
        <v>39</v>
      </c>
      <c r="G2370">
        <v>-271.14879999999999</v>
      </c>
      <c r="H2370" s="1">
        <v>2.345273E-7</v>
      </c>
      <c r="I2370">
        <v>-60.915849999999999</v>
      </c>
      <c r="J2370">
        <v>-277.06130000000002</v>
      </c>
      <c r="K2370">
        <v>1.100007</v>
      </c>
      <c r="L2370">
        <v>-60.798740000000002</v>
      </c>
      <c r="M2370">
        <v>0.98767519999999998</v>
      </c>
      <c r="N2370">
        <v>0</v>
      </c>
      <c r="O2370">
        <v>-0.15602829999999901</v>
      </c>
      <c r="P2370">
        <v>0.98320750000000001</v>
      </c>
      <c r="Q2370">
        <v>0.1550684</v>
      </c>
      <c r="R2370">
        <v>-9.6212220000000001E-2</v>
      </c>
      <c r="S2370">
        <v>3.1337280000000001</v>
      </c>
      <c r="T2370">
        <v>-0.56818679999999999</v>
      </c>
      <c r="U2370">
        <v>-7.4066160000000006E-2</v>
      </c>
      <c r="V2370">
        <v>-5.6974770000000001E-2</v>
      </c>
      <c r="W2370">
        <v>0.16774169999999999</v>
      </c>
      <c r="X2370">
        <v>0.98418320000000004</v>
      </c>
      <c r="Y2370">
        <v>-0.1280483</v>
      </c>
      <c r="Z2370">
        <v>3.9472590000000002E-2</v>
      </c>
      <c r="AA2370">
        <v>0.99098209999999998</v>
      </c>
      <c r="AB2370">
        <v>30</v>
      </c>
      <c r="AC2370">
        <v>5.9125000000000201</v>
      </c>
      <c r="AD2370">
        <v>-1.1000067654726999</v>
      </c>
      <c r="AE2370">
        <v>-0.117109999999996</v>
      </c>
      <c r="AF2370">
        <v>-0.77992677155599099</v>
      </c>
      <c r="AG2370">
        <v>-1.1000067654726999</v>
      </c>
      <c r="AH2370">
        <v>5.66242896681515</v>
      </c>
      <c r="AI2370">
        <v>100.893234251313</v>
      </c>
      <c r="AJ2370">
        <v>97.8424110914045</v>
      </c>
      <c r="AK2370">
        <v>5.8207733556034302</v>
      </c>
    </row>
    <row r="2371" spans="1:37" x14ac:dyDescent="0.2">
      <c r="A2371" t="str">
        <f>"20200111150641252"</f>
        <v>20200111150641252</v>
      </c>
      <c r="B2371" t="str">
        <f>"1578726401249544"</f>
        <v>1578726401249544</v>
      </c>
      <c r="C2371" t="s">
        <v>37</v>
      </c>
      <c r="D2371">
        <v>5.0511140000000001</v>
      </c>
      <c r="E2371">
        <v>0.48503930000000001</v>
      </c>
      <c r="F2371" t="s">
        <v>39</v>
      </c>
      <c r="G2371">
        <v>-271.00799999999998</v>
      </c>
      <c r="H2371" s="1">
        <v>2.8767009999999902E-7</v>
      </c>
      <c r="I2371">
        <v>-60.948540000000001</v>
      </c>
      <c r="J2371">
        <v>-276.90559999999999</v>
      </c>
      <c r="K2371">
        <v>1.1000129999999999</v>
      </c>
      <c r="L2371">
        <v>-60.825380000000003</v>
      </c>
      <c r="M2371">
        <v>0.98732960000000003</v>
      </c>
      <c r="N2371">
        <v>0</v>
      </c>
      <c r="O2371">
        <v>-0.15820100000000001</v>
      </c>
      <c r="P2371">
        <v>0.98320540000000001</v>
      </c>
      <c r="Q2371">
        <v>0.15438379999999999</v>
      </c>
      <c r="R2371">
        <v>-9.7330029999999998E-2</v>
      </c>
      <c r="S2371">
        <v>3.1334840000000002</v>
      </c>
      <c r="T2371">
        <v>-0.56942090000000001</v>
      </c>
      <c r="U2371">
        <v>-7.7545169999999997E-2</v>
      </c>
      <c r="V2371">
        <v>-5.805105E-2</v>
      </c>
      <c r="W2371">
        <v>0.1670614</v>
      </c>
      <c r="X2371">
        <v>0.98423609999999995</v>
      </c>
      <c r="Y2371">
        <v>-0.129056</v>
      </c>
      <c r="Z2371">
        <v>4.0037160000000002E-2</v>
      </c>
      <c r="AA2371">
        <v>0.99082879999999995</v>
      </c>
      <c r="AB2371">
        <v>30</v>
      </c>
      <c r="AC2371">
        <v>5.8976000000000104</v>
      </c>
      <c r="AD2371">
        <v>-1.1000127123298999</v>
      </c>
      <c r="AE2371">
        <v>-0.12315999999999799</v>
      </c>
      <c r="AF2371">
        <v>-0.78419888324095499</v>
      </c>
      <c r="AG2371">
        <v>-1.1000127123298999</v>
      </c>
      <c r="AH2371">
        <v>5.64645503458667</v>
      </c>
      <c r="AI2371">
        <v>100.921710457242</v>
      </c>
      <c r="AJ2371">
        <v>97.906854264756603</v>
      </c>
      <c r="AK2371">
        <v>5.8058117704049703</v>
      </c>
    </row>
    <row r="2372" spans="1:37" x14ac:dyDescent="0.2">
      <c r="A2372" t="str">
        <f>"20200111150641265"</f>
        <v>20200111150641265</v>
      </c>
      <c r="B2372" t="str">
        <f>"1578726401259306"</f>
        <v>1578726401259306</v>
      </c>
      <c r="C2372" t="s">
        <v>37</v>
      </c>
      <c r="D2372">
        <v>5.0269250000000003</v>
      </c>
      <c r="E2372">
        <v>0.48385699999999998</v>
      </c>
      <c r="F2372" t="s">
        <v>39</v>
      </c>
      <c r="G2372">
        <v>-264.8673</v>
      </c>
      <c r="H2372" s="1">
        <v>-1.42425099999999E-6</v>
      </c>
      <c r="I2372">
        <v>-61.627299999999998</v>
      </c>
      <c r="J2372">
        <v>-276.73419999999999</v>
      </c>
      <c r="K2372">
        <v>1.100025</v>
      </c>
      <c r="L2372">
        <v>-60.855379999999997</v>
      </c>
      <c r="M2372">
        <v>0.98694680000000001</v>
      </c>
      <c r="N2372">
        <v>0</v>
      </c>
      <c r="O2372">
        <v>-0.16057170000000001</v>
      </c>
      <c r="P2372">
        <v>0.98314599999999996</v>
      </c>
      <c r="Q2372">
        <v>0.15407290000000001</v>
      </c>
      <c r="R2372">
        <v>-9.8415429999999998E-2</v>
      </c>
      <c r="S2372">
        <v>3.0751040000000001</v>
      </c>
      <c r="T2372">
        <v>-0.28099159999999901</v>
      </c>
      <c r="U2372">
        <v>-0.2048645</v>
      </c>
      <c r="V2372">
        <v>-5.9347579999999997E-2</v>
      </c>
      <c r="W2372">
        <v>0.1667553</v>
      </c>
      <c r="X2372">
        <v>0.98421059999999905</v>
      </c>
      <c r="Y2372">
        <v>-9.357145E-2</v>
      </c>
      <c r="Z2372">
        <v>1.8821170000000002E-2</v>
      </c>
      <c r="AA2372">
        <v>0.99543459999999995</v>
      </c>
      <c r="AB2372">
        <v>30</v>
      </c>
      <c r="AC2372">
        <v>11.8668999999999</v>
      </c>
      <c r="AD2372">
        <v>-1.1000264242510001</v>
      </c>
      <c r="AE2372">
        <v>-0.77191999999999406</v>
      </c>
      <c r="AF2372">
        <v>-1.13402833164412</v>
      </c>
      <c r="AG2372">
        <v>-1.1000264242510001</v>
      </c>
      <c r="AH2372">
        <v>11.736428360591599</v>
      </c>
      <c r="AI2372">
        <v>95.329869795033801</v>
      </c>
      <c r="AJ2372">
        <v>95.519051551976602</v>
      </c>
      <c r="AK2372">
        <v>11.8422898568782</v>
      </c>
    </row>
    <row r="2373" spans="1:37" x14ac:dyDescent="0.2">
      <c r="A2373" t="str">
        <f>"20200111150641279"</f>
        <v>20200111150641279</v>
      </c>
      <c r="B2373" t="str">
        <f>"1578726401269063"</f>
        <v>1578726401269063</v>
      </c>
      <c r="C2373" t="s">
        <v>37</v>
      </c>
      <c r="D2373">
        <v>5.0437799999999999</v>
      </c>
      <c r="E2373">
        <v>0.4831609</v>
      </c>
      <c r="F2373" t="s">
        <v>39</v>
      </c>
      <c r="G2373">
        <v>-264.51119999999997</v>
      </c>
      <c r="H2373" s="1">
        <v>-1.275626E-6</v>
      </c>
      <c r="I2373">
        <v>-61.642959999999903</v>
      </c>
      <c r="J2373">
        <v>-276.54340000000002</v>
      </c>
      <c r="K2373">
        <v>1.100039</v>
      </c>
      <c r="L2373">
        <v>-60.889159999999997</v>
      </c>
      <c r="M2373">
        <v>0.98651650000000002</v>
      </c>
      <c r="N2373">
        <v>0</v>
      </c>
      <c r="O2373">
        <v>-0.1631946</v>
      </c>
      <c r="P2373">
        <v>0.98325849999999904</v>
      </c>
      <c r="Q2373">
        <v>0.15381349999999999</v>
      </c>
      <c r="R2373">
        <v>-9.7694840000000005E-2</v>
      </c>
      <c r="S2373">
        <v>3.074951</v>
      </c>
      <c r="T2373">
        <v>-0.27673520000000001</v>
      </c>
      <c r="U2373">
        <v>-0.19815060000000001</v>
      </c>
      <c r="V2373">
        <v>-6.2708180000000002E-2</v>
      </c>
      <c r="W2373">
        <v>0.16651459999999901</v>
      </c>
      <c r="X2373">
        <v>0.984043</v>
      </c>
      <c r="Y2373">
        <v>-9.8378989999999999E-2</v>
      </c>
      <c r="Z2373">
        <v>1.8988120000000001E-2</v>
      </c>
      <c r="AA2373">
        <v>0.99496790000000002</v>
      </c>
      <c r="AB2373">
        <v>30</v>
      </c>
      <c r="AC2373">
        <v>12.0322</v>
      </c>
      <c r="AD2373">
        <v>-1.1000402756259999</v>
      </c>
      <c r="AE2373">
        <v>-0.75379999999999803</v>
      </c>
      <c r="AF2373">
        <v>-1.20997310137763</v>
      </c>
      <c r="AG2373">
        <v>-1.1000402756259999</v>
      </c>
      <c r="AH2373">
        <v>11.8948615775184</v>
      </c>
      <c r="AI2373">
        <v>95.256727815961696</v>
      </c>
      <c r="AJ2373">
        <v>95.808281890207994</v>
      </c>
      <c r="AK2373">
        <v>12.006742083612099</v>
      </c>
    </row>
    <row r="2374" spans="1:37" x14ac:dyDescent="0.2">
      <c r="A2374" t="str">
        <f>"20200111150641291"</f>
        <v>20200111150641291</v>
      </c>
      <c r="B2374" t="str">
        <f>"1578726401289559"</f>
        <v>1578726401289559</v>
      </c>
      <c r="C2374" t="s">
        <v>37</v>
      </c>
      <c r="D2374">
        <v>5.1102059999999998</v>
      </c>
      <c r="E2374">
        <v>0.48275489999999999</v>
      </c>
      <c r="F2374" t="s">
        <v>100</v>
      </c>
      <c r="G2374">
        <v>-264.12599999999998</v>
      </c>
      <c r="H2374" s="1">
        <v>-1.113178E-6</v>
      </c>
      <c r="I2374">
        <v>-61.653410000000001</v>
      </c>
      <c r="J2374">
        <v>-276.37869999999998</v>
      </c>
      <c r="K2374">
        <v>1.100058</v>
      </c>
      <c r="L2374">
        <v>-60.918579999999999</v>
      </c>
      <c r="M2374">
        <v>0.9861413</v>
      </c>
      <c r="N2374">
        <v>0</v>
      </c>
      <c r="O2374">
        <v>-0.16544639999999999</v>
      </c>
      <c r="P2374">
        <v>0.9832535</v>
      </c>
      <c r="Q2374">
        <v>0.1533486</v>
      </c>
      <c r="R2374">
        <v>-9.8472080000000003E-2</v>
      </c>
      <c r="S2374">
        <v>3.0749209999999998</v>
      </c>
      <c r="T2374">
        <v>-0.27240370000000003</v>
      </c>
      <c r="U2374">
        <v>-0.18926999999999999</v>
      </c>
      <c r="V2374">
        <v>-6.4202469999999998E-2</v>
      </c>
      <c r="W2374">
        <v>0.16605619999999999</v>
      </c>
      <c r="X2374">
        <v>0.98402409999999996</v>
      </c>
      <c r="Y2374">
        <v>-0.1035145</v>
      </c>
      <c r="Z2374">
        <v>1.9117970000000001E-2</v>
      </c>
      <c r="AA2374">
        <v>0.994444199999999</v>
      </c>
      <c r="AB2374">
        <v>30</v>
      </c>
      <c r="AC2374">
        <v>12.252700000000001</v>
      </c>
      <c r="AD2374">
        <v>-1.100059113178</v>
      </c>
      <c r="AE2374">
        <v>-0.73482999999999499</v>
      </c>
      <c r="AF2374">
        <v>-1.29223951279884</v>
      </c>
      <c r="AG2374">
        <v>-1.100059113178</v>
      </c>
      <c r="AH2374">
        <v>12.108151738600601</v>
      </c>
      <c r="AI2374">
        <v>95.162072846925795</v>
      </c>
      <c r="AJ2374">
        <v>96.091818838458195</v>
      </c>
      <c r="AK2374">
        <v>12.2265020155358</v>
      </c>
    </row>
    <row r="2375" spans="1:37" x14ac:dyDescent="0.2">
      <c r="A2375" t="str">
        <f>"20200111150641304"</f>
        <v>20200111150641304</v>
      </c>
      <c r="B2375" t="str">
        <f>"1578726401299319"</f>
        <v>1578726401299319</v>
      </c>
      <c r="C2375" t="s">
        <v>37</v>
      </c>
      <c r="D2375">
        <v>5.054951</v>
      </c>
      <c r="E2375">
        <v>0.48284929999999898</v>
      </c>
      <c r="F2375" t="s">
        <v>39</v>
      </c>
      <c r="G2375">
        <v>-264.65269999999998</v>
      </c>
      <c r="H2375" s="1">
        <v>-1.334488E-6</v>
      </c>
      <c r="I2375">
        <v>-61.636009999999999</v>
      </c>
      <c r="J2375">
        <v>-276.22289999999998</v>
      </c>
      <c r="K2375">
        <v>1.1000809999999901</v>
      </c>
      <c r="L2375">
        <v>-60.946959999999997</v>
      </c>
      <c r="M2375">
        <v>0.98578719999999997</v>
      </c>
      <c r="N2375">
        <v>0</v>
      </c>
      <c r="O2375">
        <v>-0.1675442</v>
      </c>
      <c r="P2375">
        <v>0.98330949999999995</v>
      </c>
      <c r="Q2375">
        <v>0.15253139999999901</v>
      </c>
      <c r="R2375">
        <v>-9.917956E-2</v>
      </c>
      <c r="S2375">
        <v>3.0772710000000001</v>
      </c>
      <c r="T2375">
        <v>-0.28869060000000002</v>
      </c>
      <c r="U2375">
        <v>-0.1882935</v>
      </c>
      <c r="V2375">
        <v>-6.5628980000000003E-2</v>
      </c>
      <c r="W2375">
        <v>0.16524449999999999</v>
      </c>
      <c r="X2375">
        <v>0.98406659999999901</v>
      </c>
      <c r="Y2375">
        <v>-0.105845699999999</v>
      </c>
      <c r="Z2375">
        <v>2.054373E-2</v>
      </c>
      <c r="AA2375">
        <v>0.99417029999999995</v>
      </c>
      <c r="AB2375">
        <v>30</v>
      </c>
      <c r="AC2375">
        <v>11.5702</v>
      </c>
      <c r="AD2375">
        <v>-1.100082334488</v>
      </c>
      <c r="AE2375">
        <v>-0.68905000000000105</v>
      </c>
      <c r="AF2375">
        <v>-1.24811618549056</v>
      </c>
      <c r="AG2375">
        <v>-1.100082334488</v>
      </c>
      <c r="AH2375">
        <v>11.4192152689234</v>
      </c>
      <c r="AI2375">
        <v>95.470290658938296</v>
      </c>
      <c r="AJ2375">
        <v>96.237647880348604</v>
      </c>
      <c r="AK2375">
        <v>11.5397769698183</v>
      </c>
    </row>
    <row r="2376" spans="1:37" x14ac:dyDescent="0.2">
      <c r="A2376" t="str">
        <f>"20200111150641316"</f>
        <v>20200111150641316</v>
      </c>
      <c r="B2376" t="str">
        <f>"1578726401309079"</f>
        <v>1578726401309079</v>
      </c>
      <c r="C2376" t="s">
        <v>37</v>
      </c>
      <c r="D2376">
        <v>5.1239429999999997</v>
      </c>
      <c r="E2376">
        <v>0.483491</v>
      </c>
      <c r="F2376" t="s">
        <v>39</v>
      </c>
      <c r="G2376">
        <v>-264.78399999999999</v>
      </c>
      <c r="H2376" s="1">
        <v>-1.3956549999999899E-6</v>
      </c>
      <c r="I2376">
        <v>-61.654219999999903</v>
      </c>
      <c r="J2376">
        <v>-276.0523</v>
      </c>
      <c r="K2376">
        <v>1.100109</v>
      </c>
      <c r="L2376">
        <v>-60.978269999999902</v>
      </c>
      <c r="M2376">
        <v>0.98539789999999905</v>
      </c>
      <c r="N2376">
        <v>0</v>
      </c>
      <c r="O2376">
        <v>-0.16981959999999999</v>
      </c>
      <c r="P2376">
        <v>0.98344830000000005</v>
      </c>
      <c r="Q2376">
        <v>0.15101010000000001</v>
      </c>
      <c r="R2376">
        <v>-0.1001288</v>
      </c>
      <c r="S2376">
        <v>3.07763699999999</v>
      </c>
      <c r="T2376">
        <v>-0.29597709999999999</v>
      </c>
      <c r="U2376">
        <v>-0.19030759999999999</v>
      </c>
      <c r="V2376">
        <v>-6.7018149999999999E-2</v>
      </c>
      <c r="W2376">
        <v>0.16372809999999999</v>
      </c>
      <c r="X2376">
        <v>0.98422639999999995</v>
      </c>
      <c r="Y2376">
        <v>-0.1074223</v>
      </c>
      <c r="Z2376">
        <v>2.1347519999999998E-2</v>
      </c>
      <c r="AA2376">
        <v>0.99398430000000004</v>
      </c>
      <c r="AB2376">
        <v>30</v>
      </c>
      <c r="AC2376">
        <v>11.2683</v>
      </c>
      <c r="AD2376">
        <v>-1.100110395655</v>
      </c>
      <c r="AE2376">
        <v>-0.67595000000000005</v>
      </c>
      <c r="AF2376">
        <v>-1.23585630549167</v>
      </c>
      <c r="AG2376">
        <v>-1.100110395655</v>
      </c>
      <c r="AH2376">
        <v>11.1138524812289</v>
      </c>
      <c r="AI2376">
        <v>95.618629267015294</v>
      </c>
      <c r="AJ2376">
        <v>96.345201715775303</v>
      </c>
      <c r="AK2376">
        <v>11.2363384011416</v>
      </c>
    </row>
    <row r="2377" spans="1:37" x14ac:dyDescent="0.2">
      <c r="A2377" t="str">
        <f>"20200111150641327"</f>
        <v>20200111150641327</v>
      </c>
      <c r="B2377" t="str">
        <f>"1578726401318923"</f>
        <v>1578726401318923</v>
      </c>
      <c r="C2377" t="s">
        <v>37</v>
      </c>
      <c r="D2377">
        <v>5.0496910000000002</v>
      </c>
      <c r="E2377">
        <v>0.48386359999999901</v>
      </c>
      <c r="F2377" t="s">
        <v>39</v>
      </c>
      <c r="G2377">
        <v>-265.173</v>
      </c>
      <c r="H2377" s="1">
        <v>-1.5681939999999999E-6</v>
      </c>
      <c r="I2377">
        <v>-61.675509999999903</v>
      </c>
      <c r="J2377">
        <v>-275.90129999999999</v>
      </c>
      <c r="K2377">
        <v>1.100139</v>
      </c>
      <c r="L2377">
        <v>-61.006319999999903</v>
      </c>
      <c r="M2377">
        <v>0.98505509999999996</v>
      </c>
      <c r="N2377">
        <v>0</v>
      </c>
      <c r="O2377">
        <v>-0.17179620000000001</v>
      </c>
      <c r="P2377">
        <v>0.98365539999999996</v>
      </c>
      <c r="Q2377">
        <v>0.14951329999999999</v>
      </c>
      <c r="R2377">
        <v>-0.1003391</v>
      </c>
      <c r="S2377">
        <v>3.078217</v>
      </c>
      <c r="T2377">
        <v>-0.31126759999999998</v>
      </c>
      <c r="U2377">
        <v>-0.1972961</v>
      </c>
      <c r="V2377">
        <v>-6.885194E-2</v>
      </c>
      <c r="W2377">
        <v>0.16223770000000001</v>
      </c>
      <c r="X2377">
        <v>0.98434659999999996</v>
      </c>
      <c r="Y2377">
        <v>-0.107039699999999</v>
      </c>
      <c r="Z2377">
        <v>2.2615420000000001E-2</v>
      </c>
      <c r="AA2377">
        <v>0.99399749999999998</v>
      </c>
      <c r="AB2377">
        <v>30</v>
      </c>
      <c r="AC2377">
        <v>10.7282999999999</v>
      </c>
      <c r="AD2377">
        <v>-1.100140568194</v>
      </c>
      <c r="AE2377">
        <v>-0.66918999999999995</v>
      </c>
      <c r="AF2377">
        <v>-1.1717089584834099</v>
      </c>
      <c r="AG2377">
        <v>-1.100140568194</v>
      </c>
      <c r="AH2377">
        <v>10.572995074520099</v>
      </c>
      <c r="AI2377">
        <v>95.904470877951496</v>
      </c>
      <c r="AJ2377">
        <v>96.323766818849606</v>
      </c>
      <c r="AK2377">
        <v>10.694458190997899</v>
      </c>
    </row>
    <row r="2378" spans="1:37" x14ac:dyDescent="0.2">
      <c r="A2378" t="str">
        <f>"20200111150641340"</f>
        <v>20200111150641340</v>
      </c>
      <c r="B2378" t="str">
        <f>"1578726401328683"</f>
        <v>1578726401328683</v>
      </c>
      <c r="C2378" t="s">
        <v>37</v>
      </c>
      <c r="D2378">
        <v>5.6225339999999999</v>
      </c>
      <c r="E2378">
        <v>0.48386359999999901</v>
      </c>
      <c r="F2378" t="s">
        <v>39</v>
      </c>
      <c r="G2378">
        <v>-265.32139999999998</v>
      </c>
      <c r="H2378" s="1">
        <v>-1.636678E-6</v>
      </c>
      <c r="I2378">
        <v>-61.693530000000003</v>
      </c>
      <c r="J2378">
        <v>-275.74310000000003</v>
      </c>
      <c r="K2378">
        <v>1.1001809999999901</v>
      </c>
      <c r="L2378">
        <v>-61.03604</v>
      </c>
      <c r="M2378">
        <v>0.98469949999999995</v>
      </c>
      <c r="N2378">
        <v>0</v>
      </c>
      <c r="O2378">
        <v>-0.17382359999999999</v>
      </c>
      <c r="P2378">
        <v>0.98385509999999998</v>
      </c>
      <c r="Q2378">
        <v>0.14813950000000001</v>
      </c>
      <c r="R2378">
        <v>-0.10041789999999901</v>
      </c>
      <c r="S2378">
        <v>3.078033</v>
      </c>
      <c r="T2378">
        <v>-0.32006679999999998</v>
      </c>
      <c r="U2378">
        <v>-0.1999512</v>
      </c>
      <c r="V2378">
        <v>-7.0869310000000005E-2</v>
      </c>
      <c r="W2378">
        <v>0.16086779999999901</v>
      </c>
      <c r="X2378">
        <v>0.98442830000000003</v>
      </c>
      <c r="Y2378">
        <v>-0.10813159999999999</v>
      </c>
      <c r="Z2378">
        <v>2.3515370000000001E-2</v>
      </c>
      <c r="AA2378">
        <v>0.99385849999999898</v>
      </c>
      <c r="AB2378">
        <v>30</v>
      </c>
      <c r="AC2378">
        <v>10.4217</v>
      </c>
      <c r="AD2378">
        <v>-1.1001826366779901</v>
      </c>
      <c r="AE2378">
        <v>-0.65749000000000202</v>
      </c>
      <c r="AF2378">
        <v>-1.1514151308399401</v>
      </c>
      <c r="AG2378">
        <v>-1.1001826366779901</v>
      </c>
      <c r="AH2378">
        <v>10.2633952434403</v>
      </c>
      <c r="AI2378">
        <v>96.080589540560396</v>
      </c>
      <c r="AJ2378">
        <v>96.401052461054107</v>
      </c>
      <c r="AK2378">
        <v>10.386213966631299</v>
      </c>
    </row>
    <row r="2379" spans="1:37" x14ac:dyDescent="0.2">
      <c r="A2379" t="str">
        <f>"20200111150641355"</f>
        <v>20200111150641355</v>
      </c>
      <c r="B2379" t="str">
        <f>"1578726401349179"</f>
        <v>1578726401349179</v>
      </c>
      <c r="C2379" t="s">
        <v>37</v>
      </c>
      <c r="D2379">
        <v>4.9825589999999904</v>
      </c>
      <c r="E2379">
        <v>0.4838459</v>
      </c>
      <c r="F2379" t="s">
        <v>39</v>
      </c>
      <c r="G2379">
        <v>-265.30090000000001</v>
      </c>
      <c r="H2379" s="1">
        <v>-1.633098E-6</v>
      </c>
      <c r="I2379">
        <v>-61.71313</v>
      </c>
      <c r="J2379">
        <v>-275.54860000000002</v>
      </c>
      <c r="K2379">
        <v>1.100247</v>
      </c>
      <c r="L2379">
        <v>-61.07291</v>
      </c>
      <c r="M2379">
        <v>0.98426539999999996</v>
      </c>
      <c r="N2379">
        <v>0</v>
      </c>
      <c r="O2379">
        <v>-0.1762657</v>
      </c>
      <c r="P2379">
        <v>0.983927</v>
      </c>
      <c r="Q2379">
        <v>0.147374</v>
      </c>
      <c r="R2379">
        <v>-0.10084069999999901</v>
      </c>
      <c r="S2379">
        <v>3.0776979999999998</v>
      </c>
      <c r="T2379">
        <v>-0.32426430000000001</v>
      </c>
      <c r="U2379">
        <v>-0.19958499999999901</v>
      </c>
      <c r="V2379">
        <v>-7.294755E-2</v>
      </c>
      <c r="W2379">
        <v>0.16009979999999999</v>
      </c>
      <c r="X2379">
        <v>0.98440169999999905</v>
      </c>
      <c r="Y2379">
        <v>-0.110640899999999</v>
      </c>
      <c r="Z2379">
        <v>2.4209060000000001E-2</v>
      </c>
      <c r="AA2379">
        <v>0.99356559999999905</v>
      </c>
      <c r="AB2379">
        <v>30</v>
      </c>
      <c r="AC2379">
        <v>10.2477</v>
      </c>
      <c r="AD2379">
        <v>-1.1002486330979999</v>
      </c>
      <c r="AE2379">
        <v>-0.64022000000000601</v>
      </c>
      <c r="AF2379">
        <v>-1.16290792388109</v>
      </c>
      <c r="AG2379">
        <v>-1.1002486330979999</v>
      </c>
      <c r="AH2379">
        <v>10.084287727726201</v>
      </c>
      <c r="AI2379">
        <v>96.185965530939995</v>
      </c>
      <c r="AJ2379">
        <v>96.578223028404096</v>
      </c>
      <c r="AK2379">
        <v>10.210571035433301</v>
      </c>
    </row>
    <row r="2380" spans="1:37" x14ac:dyDescent="0.2">
      <c r="A2380" t="str">
        <f>"20200111150641369"</f>
        <v>20200111150641369</v>
      </c>
      <c r="B2380" t="str">
        <f>"1578726401358940"</f>
        <v>1578726401358940</v>
      </c>
      <c r="C2380" t="s">
        <v>37</v>
      </c>
      <c r="D2380">
        <v>5.7210710000000002</v>
      </c>
      <c r="E2380">
        <v>0.48411080000000001</v>
      </c>
      <c r="F2380" t="s">
        <v>39</v>
      </c>
      <c r="G2380">
        <v>-265.21980000000002</v>
      </c>
      <c r="H2380" s="1">
        <v>-1.6066809999999999E-6</v>
      </c>
      <c r="I2380">
        <v>-61.744609999999902</v>
      </c>
      <c r="J2380">
        <v>-275.34199999999998</v>
      </c>
      <c r="K2380">
        <v>1.1003430000000001</v>
      </c>
      <c r="L2380">
        <v>-61.112549999999999</v>
      </c>
      <c r="M2380">
        <v>0.98381830000000003</v>
      </c>
      <c r="N2380">
        <v>0</v>
      </c>
      <c r="O2380">
        <v>-0.17874489999999901</v>
      </c>
      <c r="P2380">
        <v>0.984021699999999</v>
      </c>
      <c r="Q2380">
        <v>0.1470351</v>
      </c>
      <c r="R2380">
        <v>-0.10040880000000001</v>
      </c>
      <c r="S2380">
        <v>3.0776059999999998</v>
      </c>
      <c r="T2380">
        <v>-0.32783459999999998</v>
      </c>
      <c r="U2380">
        <v>-0.2001648</v>
      </c>
      <c r="V2380">
        <v>-7.5917170000000006E-2</v>
      </c>
      <c r="W2380">
        <v>0.1597557</v>
      </c>
      <c r="X2380">
        <v>0.98423309999999997</v>
      </c>
      <c r="Y2380">
        <v>-0.11289489999999899</v>
      </c>
      <c r="Z2380">
        <v>2.485335E-2</v>
      </c>
      <c r="AA2380">
        <v>0.99329609999999902</v>
      </c>
      <c r="AB2380">
        <v>30</v>
      </c>
      <c r="AC2380">
        <v>10.1221999999999</v>
      </c>
      <c r="AD2380">
        <v>-1.1003446066810001</v>
      </c>
      <c r="AE2380">
        <v>-0.63205999999999496</v>
      </c>
      <c r="AF2380">
        <v>-1.1737334293695201</v>
      </c>
      <c r="AG2380">
        <v>-1.1003446066810001</v>
      </c>
      <c r="AH2380">
        <v>9.9549666308134697</v>
      </c>
      <c r="AI2380">
        <v>96.2643832797865</v>
      </c>
      <c r="AJ2380">
        <v>96.724374319412306</v>
      </c>
      <c r="AK2380">
        <v>10.084134520983</v>
      </c>
    </row>
    <row r="2381" spans="1:37" x14ac:dyDescent="0.2">
      <c r="A2381" t="str">
        <f>"20200111150641395"</f>
        <v>20200111150641395</v>
      </c>
      <c r="B2381" t="str">
        <f>"1578726401389196"</f>
        <v>1578726401389196</v>
      </c>
      <c r="C2381" t="s">
        <v>37</v>
      </c>
      <c r="D2381">
        <v>5.0221</v>
      </c>
      <c r="E2381">
        <v>0.48455239999999999</v>
      </c>
      <c r="F2381" t="s">
        <v>39</v>
      </c>
      <c r="G2381">
        <v>-264.74639999999999</v>
      </c>
      <c r="H2381" s="1">
        <v>-1.4170120000000001E-6</v>
      </c>
      <c r="I2381">
        <v>-61.795079999999999</v>
      </c>
      <c r="J2381">
        <v>-275.03739999999999</v>
      </c>
      <c r="K2381">
        <v>1.100527</v>
      </c>
      <c r="L2381">
        <v>-61.171750000000003</v>
      </c>
      <c r="M2381">
        <v>0.9831879</v>
      </c>
      <c r="N2381">
        <v>0</v>
      </c>
      <c r="O2381">
        <v>-0.18218139999999999</v>
      </c>
      <c r="P2381">
        <v>0.98369470000000003</v>
      </c>
      <c r="Q2381">
        <v>0.14743970000000001</v>
      </c>
      <c r="R2381">
        <v>-0.10298779999999901</v>
      </c>
      <c r="S2381">
        <v>3.0762330000000002</v>
      </c>
      <c r="T2381">
        <v>-0.31946429999999998</v>
      </c>
      <c r="U2381">
        <v>-0.1981812</v>
      </c>
      <c r="V2381">
        <v>-7.6839450000000004E-2</v>
      </c>
      <c r="W2381">
        <v>0.1601186</v>
      </c>
      <c r="X2381">
        <v>0.98410249999999999</v>
      </c>
      <c r="Y2381">
        <v>-0.1170148</v>
      </c>
      <c r="Z2381">
        <v>2.4796909999999998E-2</v>
      </c>
      <c r="AA2381">
        <v>0.99282060000000005</v>
      </c>
      <c r="AB2381">
        <v>30</v>
      </c>
      <c r="AC2381">
        <v>10.290999999999899</v>
      </c>
      <c r="AD2381">
        <v>-1.100528417012</v>
      </c>
      <c r="AE2381">
        <v>-0.62333000000000205</v>
      </c>
      <c r="AF2381">
        <v>-1.24785513326005</v>
      </c>
      <c r="AG2381">
        <v>-1.100528417012</v>
      </c>
      <c r="AH2381">
        <v>10.1170418124807</v>
      </c>
      <c r="AI2381">
        <v>96.161874417922107</v>
      </c>
      <c r="AJ2381">
        <v>97.031456631681806</v>
      </c>
      <c r="AK2381">
        <v>10.252943005095499</v>
      </c>
    </row>
    <row r="2382" spans="1:37" x14ac:dyDescent="0.2">
      <c r="A2382" t="str">
        <f>"20200111150641408"</f>
        <v>20200111150641408</v>
      </c>
      <c r="B2382" t="str">
        <f>"1578726401398956"</f>
        <v>1578726401398956</v>
      </c>
      <c r="C2382" t="s">
        <v>37</v>
      </c>
      <c r="D2382">
        <v>5.0560269999999896</v>
      </c>
      <c r="E2382">
        <v>0.484371</v>
      </c>
      <c r="F2382" t="s">
        <v>39</v>
      </c>
      <c r="G2382">
        <v>-264.46359999999999</v>
      </c>
      <c r="H2382" s="1">
        <v>-1.3191409999999899E-6</v>
      </c>
      <c r="I2382">
        <v>-61.883229999999998</v>
      </c>
      <c r="J2382">
        <v>-274.8279</v>
      </c>
      <c r="K2382">
        <v>1.1007180000000001</v>
      </c>
      <c r="L2382">
        <v>-61.212919999999997</v>
      </c>
      <c r="M2382">
        <v>0.98279780000000005</v>
      </c>
      <c r="N2382">
        <v>0</v>
      </c>
      <c r="O2382">
        <v>-0.1842742</v>
      </c>
      <c r="P2382">
        <v>0.98351509999999998</v>
      </c>
      <c r="Q2382">
        <v>0.147346</v>
      </c>
      <c r="R2382">
        <v>-0.10482080000000001</v>
      </c>
      <c r="S2382">
        <v>3.0760800000000001</v>
      </c>
      <c r="T2382">
        <v>-0.3201619</v>
      </c>
      <c r="U2382">
        <v>-0.20700070000000001</v>
      </c>
      <c r="V2382">
        <v>-7.7179540000000005E-2</v>
      </c>
      <c r="W2382">
        <v>0.15998209999999999</v>
      </c>
      <c r="X2382">
        <v>0.98409809999999998</v>
      </c>
      <c r="Y2382">
        <v>-0.1162777</v>
      </c>
      <c r="Z2382">
        <v>2.5023750000000001E-2</v>
      </c>
      <c r="AA2382">
        <v>0.99290140000000005</v>
      </c>
      <c r="AB2382">
        <v>30</v>
      </c>
      <c r="AC2382">
        <v>10.3643</v>
      </c>
      <c r="AD2382">
        <v>-1.1007193191410001</v>
      </c>
      <c r="AE2382">
        <v>-0.67031000000000696</v>
      </c>
      <c r="AF2382">
        <v>-1.23729131824421</v>
      </c>
      <c r="AG2382">
        <v>-1.1007193191410001</v>
      </c>
      <c r="AH2382">
        <v>10.1957931037192</v>
      </c>
      <c r="AI2382">
        <v>96.117150476959694</v>
      </c>
      <c r="AJ2382">
        <v>96.919188723444407</v>
      </c>
      <c r="AK2382">
        <v>10.3294080101224</v>
      </c>
    </row>
    <row r="2383" spans="1:37" x14ac:dyDescent="0.2">
      <c r="A2383" t="str">
        <f>"20200111150641422"</f>
        <v>20200111150641422</v>
      </c>
      <c r="B2383" t="str">
        <f>"1578726401419452"</f>
        <v>1578726401419452</v>
      </c>
      <c r="C2383" t="s">
        <v>37</v>
      </c>
      <c r="D2383">
        <v>5.0595689999999998</v>
      </c>
      <c r="E2383">
        <v>0.48423119999999997</v>
      </c>
      <c r="F2383" t="s">
        <v>39</v>
      </c>
      <c r="G2383">
        <v>-264.24880000000002</v>
      </c>
      <c r="H2383" s="1">
        <v>-1.2412559999999999E-6</v>
      </c>
      <c r="I2383">
        <v>-61.936790000000002</v>
      </c>
      <c r="J2383">
        <v>-274.66390000000001</v>
      </c>
      <c r="K2383">
        <v>1.100878</v>
      </c>
      <c r="L2383">
        <v>-61.245330000000003</v>
      </c>
      <c r="M2383">
        <v>0.98251369999999905</v>
      </c>
      <c r="N2383">
        <v>0</v>
      </c>
      <c r="O2383">
        <v>-0.1857839</v>
      </c>
      <c r="P2383">
        <v>0.98342229999999997</v>
      </c>
      <c r="Q2383">
        <v>0.14711550000000001</v>
      </c>
      <c r="R2383">
        <v>-0.1060096</v>
      </c>
      <c r="S2383">
        <v>3.0757750000000001</v>
      </c>
      <c r="T2383">
        <v>-0.32002520000000001</v>
      </c>
      <c r="U2383">
        <v>-0.21047969999999999</v>
      </c>
      <c r="V2383">
        <v>-7.7573779999999995E-2</v>
      </c>
      <c r="W2383">
        <v>0.1597161</v>
      </c>
      <c r="X2383">
        <v>0.98411029999999999</v>
      </c>
      <c r="Y2383">
        <v>-0.1166701</v>
      </c>
      <c r="Z2383">
        <v>2.5188410000000001E-2</v>
      </c>
      <c r="AA2383">
        <v>0.99285129999999999</v>
      </c>
      <c r="AB2383">
        <v>30</v>
      </c>
      <c r="AC2383">
        <v>10.415099999999899</v>
      </c>
      <c r="AD2383">
        <v>-1.100879241256</v>
      </c>
      <c r="AE2383">
        <v>-0.69145999999999896</v>
      </c>
      <c r="AF2383">
        <v>-1.24186991748124</v>
      </c>
      <c r="AG2383">
        <v>-1.100879241256</v>
      </c>
      <c r="AH2383">
        <v>10.2482274185184</v>
      </c>
      <c r="AI2383">
        <v>96.087091330202298</v>
      </c>
      <c r="AJ2383">
        <v>96.909356702954</v>
      </c>
      <c r="AK2383">
        <v>10.381731128161899</v>
      </c>
    </row>
    <row r="2384" spans="1:37" x14ac:dyDescent="0.2">
      <c r="A2384" t="str">
        <f>"20200111150641437"</f>
        <v>20200111150641437</v>
      </c>
      <c r="B2384" t="str">
        <f>"1578726401429211"</f>
        <v>1578726401429211</v>
      </c>
      <c r="C2384" t="s">
        <v>37</v>
      </c>
      <c r="D2384">
        <v>5.0462790000000002</v>
      </c>
      <c r="E2384">
        <v>0.48411080000000001</v>
      </c>
      <c r="F2384" t="s">
        <v>39</v>
      </c>
      <c r="G2384">
        <v>-263.9821</v>
      </c>
      <c r="H2384" s="1">
        <v>-1.1397779999999999E-6</v>
      </c>
      <c r="I2384">
        <v>-61.985419999999998</v>
      </c>
      <c r="J2384">
        <v>-274.45569999999998</v>
      </c>
      <c r="K2384">
        <v>1.10111</v>
      </c>
      <c r="L2384">
        <v>-61.2866199999999</v>
      </c>
      <c r="M2384">
        <v>0.98218139999999998</v>
      </c>
      <c r="N2384">
        <v>0</v>
      </c>
      <c r="O2384">
        <v>-0.18753410000000001</v>
      </c>
      <c r="P2384">
        <v>0.98343950000000002</v>
      </c>
      <c r="Q2384">
        <v>0.1463197</v>
      </c>
      <c r="R2384">
        <v>-0.10694679999999999</v>
      </c>
      <c r="S2384">
        <v>3.075043</v>
      </c>
      <c r="T2384">
        <v>-0.31691909999999901</v>
      </c>
      <c r="U2384">
        <v>-0.2130737</v>
      </c>
      <c r="V2384">
        <v>-7.8505710000000006E-2</v>
      </c>
      <c r="W2384">
        <v>0.15887399999999999</v>
      </c>
      <c r="X2384">
        <v>0.98417269999999901</v>
      </c>
      <c r="Y2384">
        <v>-0.117605999999999</v>
      </c>
      <c r="Z2384">
        <v>2.5174760000000001E-2</v>
      </c>
      <c r="AA2384">
        <v>0.99274119999999999</v>
      </c>
      <c r="AB2384">
        <v>30</v>
      </c>
      <c r="AC2384">
        <v>10.4735999999999</v>
      </c>
      <c r="AD2384">
        <v>-1.101111139778</v>
      </c>
      <c r="AE2384">
        <v>-0.69880000000000497</v>
      </c>
      <c r="AF2384">
        <v>-1.26399633518789</v>
      </c>
      <c r="AG2384">
        <v>-1.101111139778</v>
      </c>
      <c r="AH2384">
        <v>10.3054104883668</v>
      </c>
      <c r="AI2384">
        <v>96.053767662735794</v>
      </c>
      <c r="AJ2384">
        <v>96.992611320787304</v>
      </c>
      <c r="AK2384">
        <v>10.4408628863352</v>
      </c>
    </row>
    <row r="2385" spans="1:37" x14ac:dyDescent="0.2">
      <c r="A2385" t="str">
        <f>"20200111150641448"</f>
        <v>20200111150641448</v>
      </c>
      <c r="B2385" t="str">
        <f>"1578726401438972"</f>
        <v>1578726401438972</v>
      </c>
      <c r="C2385" t="s">
        <v>37</v>
      </c>
      <c r="D2385">
        <v>5.0301210000000003</v>
      </c>
      <c r="E2385">
        <v>0.48416690000000001</v>
      </c>
      <c r="F2385" t="s">
        <v>39</v>
      </c>
      <c r="G2385">
        <v>-263.77710000000002</v>
      </c>
      <c r="H2385" s="1">
        <v>-1.065345E-6</v>
      </c>
      <c r="I2385">
        <v>-62.036219999999901</v>
      </c>
      <c r="J2385">
        <v>-274.28800000000001</v>
      </c>
      <c r="K2385">
        <v>1.101329</v>
      </c>
      <c r="L2385">
        <v>-61.319980000000001</v>
      </c>
      <c r="M2385">
        <v>0.98194899999999996</v>
      </c>
      <c r="N2385">
        <v>0</v>
      </c>
      <c r="O2385">
        <v>-0.188746</v>
      </c>
      <c r="P2385">
        <v>0.98343359999999902</v>
      </c>
      <c r="Q2385">
        <v>0.1458371</v>
      </c>
      <c r="R2385">
        <v>-0.107655399999999</v>
      </c>
      <c r="S2385">
        <v>3.0742189999999998</v>
      </c>
      <c r="T2385">
        <v>-0.31699499999999903</v>
      </c>
      <c r="U2385">
        <v>-0.21582029999999999</v>
      </c>
      <c r="V2385">
        <v>-7.9111299999999996E-2</v>
      </c>
      <c r="W2385">
        <v>0.15834670000000001</v>
      </c>
      <c r="X2385">
        <v>0.98420919999999901</v>
      </c>
      <c r="Y2385">
        <v>-0.1179211</v>
      </c>
      <c r="Z2385">
        <v>2.5324840000000001E-2</v>
      </c>
      <c r="AA2385">
        <v>0.99270000000000003</v>
      </c>
      <c r="AB2385">
        <v>30</v>
      </c>
      <c r="AC2385">
        <v>10.5108999999999</v>
      </c>
      <c r="AD2385">
        <v>-1.101330065345</v>
      </c>
      <c r="AE2385">
        <v>-0.716239999999984</v>
      </c>
      <c r="AF2385">
        <v>-1.26683192336566</v>
      </c>
      <c r="AG2385">
        <v>-1.101330065345</v>
      </c>
      <c r="AH2385">
        <v>10.344104256566199</v>
      </c>
      <c r="AI2385">
        <v>96.032613651424697</v>
      </c>
      <c r="AJ2385">
        <v>96.982186557132195</v>
      </c>
      <c r="AK2385">
        <v>10.479421926118</v>
      </c>
    </row>
    <row r="2386" spans="1:37" x14ac:dyDescent="0.2">
      <c r="A2386" t="str">
        <f>"20200111150641462"</f>
        <v>20200111150641462</v>
      </c>
      <c r="B2386" t="str">
        <f>"1578726401459467"</f>
        <v>1578726401459467</v>
      </c>
      <c r="C2386" t="s">
        <v>37</v>
      </c>
      <c r="D2386">
        <v>5.0656730000000003</v>
      </c>
      <c r="E2386">
        <v>0.48406359999999898</v>
      </c>
      <c r="F2386" t="s">
        <v>39</v>
      </c>
      <c r="G2386">
        <v>-263.56920000000002</v>
      </c>
      <c r="H2386" s="1">
        <v>-9.8878849999999996E-7</v>
      </c>
      <c r="I2386">
        <v>-62.083680000000001</v>
      </c>
      <c r="J2386">
        <v>-274.12979999999999</v>
      </c>
      <c r="K2386">
        <v>1.1015619999999999</v>
      </c>
      <c r="L2386">
        <v>-61.351500000000001</v>
      </c>
      <c r="M2386">
        <v>0.9817707</v>
      </c>
      <c r="N2386">
        <v>0</v>
      </c>
      <c r="O2386">
        <v>-0.1896716</v>
      </c>
      <c r="P2386">
        <v>0.98339270000000001</v>
      </c>
      <c r="Q2386">
        <v>0.14549100000000001</v>
      </c>
      <c r="R2386">
        <v>-0.10849399999999999</v>
      </c>
      <c r="S2386">
        <v>3.0733950000000001</v>
      </c>
      <c r="T2386">
        <v>-0.31578440000000002</v>
      </c>
      <c r="U2386">
        <v>-0.2189941</v>
      </c>
      <c r="V2386">
        <v>-7.9298950000000007E-2</v>
      </c>
      <c r="W2386">
        <v>0.1579516</v>
      </c>
      <c r="X2386">
        <v>0.98425759999999995</v>
      </c>
      <c r="Y2386">
        <v>-0.11782570000000001</v>
      </c>
      <c r="Z2386">
        <v>2.5322190000000001E-2</v>
      </c>
      <c r="AA2386">
        <v>0.99271139999999902</v>
      </c>
      <c r="AB2386">
        <v>30</v>
      </c>
      <c r="AC2386">
        <v>10.5605999999999</v>
      </c>
      <c r="AD2386">
        <v>-1.1015629887884999</v>
      </c>
      <c r="AE2386">
        <v>-0.73218000000000605</v>
      </c>
      <c r="AF2386">
        <v>-1.27055210607755</v>
      </c>
      <c r="AG2386">
        <v>-1.1015629887884999</v>
      </c>
      <c r="AH2386">
        <v>10.3951927399696</v>
      </c>
      <c r="AI2386">
        <v>96.004618329291802</v>
      </c>
      <c r="AJ2386">
        <v>96.968411780307605</v>
      </c>
      <c r="AK2386">
        <v>10.5303264799171</v>
      </c>
    </row>
    <row r="2387" spans="1:37" x14ac:dyDescent="0.2">
      <c r="A2387" t="str">
        <f>"20200111150641474"</f>
        <v>20200111150641474</v>
      </c>
      <c r="B2387" t="str">
        <f>"1578726401469227"</f>
        <v>1578726401469227</v>
      </c>
      <c r="C2387" t="s">
        <v>37</v>
      </c>
      <c r="D2387">
        <v>5.0144640000000003</v>
      </c>
      <c r="E2387">
        <v>0.48344690000000001</v>
      </c>
      <c r="F2387" t="s">
        <v>101</v>
      </c>
      <c r="G2387">
        <v>-253.0292</v>
      </c>
      <c r="H2387" s="1">
        <v>-9.8395939999999992E-7</v>
      </c>
      <c r="I2387">
        <v>-62.849290000000003</v>
      </c>
      <c r="J2387">
        <v>-273.97050000000002</v>
      </c>
      <c r="K2387">
        <v>1.1018079999999999</v>
      </c>
      <c r="L2387">
        <v>-61.383209999999998</v>
      </c>
      <c r="M2387">
        <v>0.98160990000000004</v>
      </c>
      <c r="N2387">
        <v>0</v>
      </c>
      <c r="O2387">
        <v>-0.19050259999999999</v>
      </c>
      <c r="P2387">
        <v>0.98336950000000001</v>
      </c>
      <c r="Q2387">
        <v>0.14486260000000001</v>
      </c>
      <c r="R2387">
        <v>-0.10954319999999999</v>
      </c>
      <c r="S2387">
        <v>3.0503230000000001</v>
      </c>
      <c r="T2387">
        <v>-0.15924360000000001</v>
      </c>
      <c r="U2387">
        <v>-0.2165222</v>
      </c>
      <c r="V2387">
        <v>-7.9193600000000003E-2</v>
      </c>
      <c r="W2387">
        <v>0.1572722</v>
      </c>
      <c r="X2387">
        <v>0.98437479999999999</v>
      </c>
      <c r="Y2387">
        <v>-0.1201134</v>
      </c>
      <c r="Z2387">
        <v>1.299343E-2</v>
      </c>
      <c r="AA2387">
        <v>0.99267510000000003</v>
      </c>
      <c r="AB2387">
        <v>30</v>
      </c>
      <c r="AC2387">
        <v>20.941299999999998</v>
      </c>
      <c r="AD2387">
        <v>-1.1018089839593901</v>
      </c>
      <c r="AE2387">
        <v>-1.46608</v>
      </c>
      <c r="AF2387">
        <v>-2.5434391844625401</v>
      </c>
      <c r="AG2387">
        <v>-1.1018089839593901</v>
      </c>
      <c r="AH2387">
        <v>20.779807102746201</v>
      </c>
      <c r="AI2387">
        <v>93.012713433119501</v>
      </c>
      <c r="AJ2387">
        <v>96.978267516441306</v>
      </c>
      <c r="AK2387">
        <v>20.963860549753999</v>
      </c>
    </row>
    <row r="2388" spans="1:37" x14ac:dyDescent="0.2">
      <c r="A2388" t="str">
        <f>"20200111150641491"</f>
        <v>20200111150641491</v>
      </c>
      <c r="B2388" t="str">
        <f>"1578726401488749"</f>
        <v>1578726401488749</v>
      </c>
      <c r="C2388" t="s">
        <v>37</v>
      </c>
      <c r="D2388">
        <v>5.0379069999999997</v>
      </c>
      <c r="E2388">
        <v>0.48256369999999998</v>
      </c>
      <c r="F2388" t="s">
        <v>101</v>
      </c>
      <c r="G2388">
        <v>-256.30509999999998</v>
      </c>
      <c r="H2388" s="1">
        <v>-2.3409599999999999E-6</v>
      </c>
      <c r="I2388">
        <v>-62.631990000000002</v>
      </c>
      <c r="J2388">
        <v>-273.72629999999998</v>
      </c>
      <c r="K2388">
        <v>1.1022319999999901</v>
      </c>
      <c r="L2388">
        <v>-61.431730000000002</v>
      </c>
      <c r="M2388">
        <v>0.98145260000000001</v>
      </c>
      <c r="N2388">
        <v>0</v>
      </c>
      <c r="O2388">
        <v>-0.19131300000000001</v>
      </c>
      <c r="P2388">
        <v>0.9832419</v>
      </c>
      <c r="Q2388">
        <v>0.14447929999999901</v>
      </c>
      <c r="R2388">
        <v>-0.1111828</v>
      </c>
      <c r="S2388">
        <v>3.0547490000000002</v>
      </c>
      <c r="T2388">
        <v>-0.19052739999999899</v>
      </c>
      <c r="U2388">
        <v>-0.21594240000000001</v>
      </c>
      <c r="V2388">
        <v>-7.8536309999999998E-2</v>
      </c>
      <c r="W2388">
        <v>0.15679979999999999</v>
      </c>
      <c r="X2388">
        <v>0.98450289999999996</v>
      </c>
      <c r="Y2388">
        <v>-0.1210405</v>
      </c>
      <c r="Z2388">
        <v>1.5597639999999999E-2</v>
      </c>
      <c r="AA2388">
        <v>0.99252499999999999</v>
      </c>
      <c r="AB2388">
        <v>30</v>
      </c>
      <c r="AC2388">
        <v>17.421199999999999</v>
      </c>
      <c r="AD2388">
        <v>-1.1022343409599999</v>
      </c>
      <c r="AE2388">
        <v>-1.2002600000000001</v>
      </c>
      <c r="AF2388">
        <v>-2.1465134928763301</v>
      </c>
      <c r="AG2388">
        <v>-1.1022343409599999</v>
      </c>
      <c r="AH2388">
        <v>17.2602409238485</v>
      </c>
      <c r="AI2388">
        <v>93.6260742889488</v>
      </c>
      <c r="AJ2388">
        <v>97.089006199026201</v>
      </c>
      <c r="AK2388">
        <v>17.428091044827202</v>
      </c>
    </row>
    <row r="2389" spans="1:37" x14ac:dyDescent="0.2">
      <c r="A2389" t="str">
        <f>"20200111150641504"</f>
        <v>20200111150641504</v>
      </c>
      <c r="B2389" t="str">
        <f>"1578726401499483"</f>
        <v>1578726401499483</v>
      </c>
      <c r="C2389" t="s">
        <v>37</v>
      </c>
      <c r="D2389">
        <v>4.9940040000000003</v>
      </c>
      <c r="E2389">
        <v>0.48273069999999901</v>
      </c>
      <c r="F2389" t="s">
        <v>101</v>
      </c>
      <c r="G2389">
        <v>-258.71940000000001</v>
      </c>
      <c r="H2389" s="1">
        <v>-3.2717730000000001E-6</v>
      </c>
      <c r="I2389">
        <v>-62.48903</v>
      </c>
      <c r="J2389">
        <v>-273.57089999999999</v>
      </c>
      <c r="K2389">
        <v>1.1025240000000001</v>
      </c>
      <c r="L2389">
        <v>-61.4623699999999</v>
      </c>
      <c r="M2389">
        <v>0.98141480000000003</v>
      </c>
      <c r="N2389">
        <v>0</v>
      </c>
      <c r="O2389">
        <v>-0.19150639999999999</v>
      </c>
      <c r="P2389">
        <v>0.98317399999999999</v>
      </c>
      <c r="Q2389">
        <v>0.14449139999999999</v>
      </c>
      <c r="R2389">
        <v>-0.11176459999999901</v>
      </c>
      <c r="S2389">
        <v>3.0598139999999998</v>
      </c>
      <c r="T2389">
        <v>-0.22473969999999999</v>
      </c>
      <c r="U2389">
        <v>-0.2155762</v>
      </c>
      <c r="V2389">
        <v>-7.8256629999999994E-2</v>
      </c>
      <c r="W2389">
        <v>0.1567537</v>
      </c>
      <c r="X2389">
        <v>0.98453250000000003</v>
      </c>
      <c r="Y2389">
        <v>-0.121237699999999</v>
      </c>
      <c r="Z2389">
        <v>1.83825E-2</v>
      </c>
      <c r="AA2389">
        <v>0.99245329999999998</v>
      </c>
      <c r="AB2389">
        <v>30</v>
      </c>
      <c r="AC2389">
        <v>14.8514999999999</v>
      </c>
      <c r="AD2389">
        <v>-1.1025272717729999</v>
      </c>
      <c r="AE2389">
        <v>-1.0266600000000099</v>
      </c>
      <c r="AF2389">
        <v>-1.82669678173292</v>
      </c>
      <c r="AG2389">
        <v>-1.1025272717729999</v>
      </c>
      <c r="AH2389">
        <v>14.6926167020224</v>
      </c>
      <c r="AI2389">
        <v>94.258740261527393</v>
      </c>
      <c r="AJ2389">
        <v>97.087076431648896</v>
      </c>
      <c r="AK2389">
        <v>14.846729372826401</v>
      </c>
    </row>
    <row r="2390" spans="1:37" x14ac:dyDescent="0.2">
      <c r="A2390" t="str">
        <f>"20200111150641517"</f>
        <v>20200111150641517</v>
      </c>
      <c r="B2390" t="str">
        <f>"1578726401509244"</f>
        <v>1578726401509244</v>
      </c>
      <c r="C2390" t="s">
        <v>37</v>
      </c>
      <c r="D2390">
        <v>4.7018829999999996</v>
      </c>
      <c r="E2390">
        <v>0.48295399999999999</v>
      </c>
      <c r="F2390" t="s">
        <v>101</v>
      </c>
      <c r="G2390">
        <v>-259.18630000000002</v>
      </c>
      <c r="H2390" s="1">
        <v>-3.431188E-6</v>
      </c>
      <c r="I2390">
        <v>-62.492959999999997</v>
      </c>
      <c r="J2390">
        <v>-273.399</v>
      </c>
      <c r="K2390">
        <v>1.1028579999999999</v>
      </c>
      <c r="L2390">
        <v>-61.49615</v>
      </c>
      <c r="M2390">
        <v>0.98140309999999897</v>
      </c>
      <c r="N2390">
        <v>0</v>
      </c>
      <c r="O2390">
        <v>-0.1915664</v>
      </c>
      <c r="P2390">
        <v>0.983035199999999</v>
      </c>
      <c r="Q2390">
        <v>0.1450399</v>
      </c>
      <c r="R2390">
        <v>-0.11227470000000001</v>
      </c>
      <c r="S2390">
        <v>3.060883</v>
      </c>
      <c r="T2390">
        <v>-0.2346067</v>
      </c>
      <c r="U2390">
        <v>-0.2192993</v>
      </c>
      <c r="V2390">
        <v>-7.7913490000000002E-2</v>
      </c>
      <c r="W2390">
        <v>0.15723679999999901</v>
      </c>
      <c r="X2390">
        <v>0.98448259999999899</v>
      </c>
      <c r="Y2390">
        <v>-0.120051</v>
      </c>
      <c r="Z2390">
        <v>1.9138510000000001E-2</v>
      </c>
      <c r="AA2390">
        <v>0.9925832</v>
      </c>
      <c r="AB2390">
        <v>30</v>
      </c>
      <c r="AC2390">
        <v>14.2126999999999</v>
      </c>
      <c r="AD2390">
        <v>-1.1028614311879901</v>
      </c>
      <c r="AE2390">
        <v>-0.99680999999999598</v>
      </c>
      <c r="AF2390">
        <v>-1.7341437776656501</v>
      </c>
      <c r="AG2390">
        <v>-1.1028614311879901</v>
      </c>
      <c r="AH2390">
        <v>14.056183704657601</v>
      </c>
      <c r="AI2390">
        <v>94.452668764830506</v>
      </c>
      <c r="AJ2390">
        <v>97.033172722582293</v>
      </c>
      <c r="AK2390">
        <v>14.2056276988065</v>
      </c>
    </row>
    <row r="2391" spans="1:37" x14ac:dyDescent="0.2">
      <c r="A2391" t="str">
        <f>"20200111150641528"</f>
        <v>20200111150641528</v>
      </c>
      <c r="B2391" t="str">
        <f>"1578726401519003"</f>
        <v>1578726401519003</v>
      </c>
      <c r="C2391" t="s">
        <v>37</v>
      </c>
      <c r="D2391">
        <v>5.039733</v>
      </c>
      <c r="E2391">
        <v>0.48305819999999999</v>
      </c>
      <c r="F2391" t="s">
        <v>101</v>
      </c>
      <c r="G2391">
        <v>-257.97059999999999</v>
      </c>
      <c r="H2391" s="1">
        <v>-3.0339969999999998E-6</v>
      </c>
      <c r="I2391">
        <v>-62.6166699999999</v>
      </c>
      <c r="J2391">
        <v>-273.24079999999998</v>
      </c>
      <c r="K2391">
        <v>1.103183</v>
      </c>
      <c r="L2391">
        <v>-61.527069999999902</v>
      </c>
      <c r="M2391">
        <v>0.98144140000000002</v>
      </c>
      <c r="N2391">
        <v>0</v>
      </c>
      <c r="O2391">
        <v>-0.19136989999999901</v>
      </c>
      <c r="P2391">
        <v>0.98277969999999903</v>
      </c>
      <c r="Q2391">
        <v>0.1462812</v>
      </c>
      <c r="R2391">
        <v>-0.1128971</v>
      </c>
      <c r="S2391">
        <v>3.058624</v>
      </c>
      <c r="T2391">
        <v>-0.21863730000000001</v>
      </c>
      <c r="U2391">
        <v>-0.22213749999999999</v>
      </c>
      <c r="V2391">
        <v>-7.7178140000000006E-2</v>
      </c>
      <c r="W2391">
        <v>0.15841540000000001</v>
      </c>
      <c r="X2391">
        <v>0.98435159999999999</v>
      </c>
      <c r="Y2391">
        <v>-0.1190041</v>
      </c>
      <c r="Z2391">
        <v>1.7800320000000001E-2</v>
      </c>
      <c r="AA2391">
        <v>0.99273419999999901</v>
      </c>
      <c r="AB2391">
        <v>30</v>
      </c>
      <c r="AC2391">
        <v>15.2701999999999</v>
      </c>
      <c r="AD2391">
        <v>-1.1031860339970001</v>
      </c>
      <c r="AE2391">
        <v>-1.0895999999999899</v>
      </c>
      <c r="AF2391">
        <v>-1.84344473488584</v>
      </c>
      <c r="AG2391">
        <v>-1.1031860339970001</v>
      </c>
      <c r="AH2391">
        <v>15.117960764906901</v>
      </c>
      <c r="AI2391">
        <v>94.143004414841897</v>
      </c>
      <c r="AJ2391">
        <v>96.952176918951295</v>
      </c>
      <c r="AK2391">
        <v>15.2698410471573</v>
      </c>
    </row>
    <row r="2392" spans="1:37" x14ac:dyDescent="0.2">
      <c r="A2392" t="str">
        <f>"20200111150641540"</f>
        <v>20200111150641540</v>
      </c>
      <c r="B2392" t="str">
        <f>"1578726401528763"</f>
        <v>1578726401528763</v>
      </c>
      <c r="C2392" t="s">
        <v>37</v>
      </c>
      <c r="D2392">
        <v>4.9958559999999999</v>
      </c>
      <c r="E2392">
        <v>0.48254079999999899</v>
      </c>
      <c r="F2392" t="s">
        <v>101</v>
      </c>
      <c r="G2392">
        <v>-256.67849999999999</v>
      </c>
      <c r="H2392" s="1">
        <v>-2.525616E-6</v>
      </c>
      <c r="I2392">
        <v>-62.741909999999997</v>
      </c>
      <c r="J2392">
        <v>-273.08870000000002</v>
      </c>
      <c r="K2392">
        <v>1.103505</v>
      </c>
      <c r="L2392">
        <v>-61.556429999999999</v>
      </c>
      <c r="M2392">
        <v>0.98152669999999997</v>
      </c>
      <c r="N2392">
        <v>0</v>
      </c>
      <c r="O2392">
        <v>-0.19093209999999999</v>
      </c>
      <c r="P2392">
        <v>0.98244240000000005</v>
      </c>
      <c r="Q2392">
        <v>0.1479201</v>
      </c>
      <c r="R2392">
        <v>-0.113695899999999</v>
      </c>
      <c r="S2392">
        <v>3.057159</v>
      </c>
      <c r="T2392">
        <v>-0.20363249999999999</v>
      </c>
      <c r="U2392">
        <v>-0.2242432</v>
      </c>
      <c r="V2392">
        <v>-7.600991E-2</v>
      </c>
      <c r="W2392">
        <v>0.15999569999999999</v>
      </c>
      <c r="X2392">
        <v>0.98418689999999998</v>
      </c>
      <c r="Y2392">
        <v>-0.1179526</v>
      </c>
      <c r="Z2392">
        <v>1.6525249999999998E-2</v>
      </c>
      <c r="AA2392">
        <v>0.99288169999999898</v>
      </c>
      <c r="AB2392">
        <v>30</v>
      </c>
      <c r="AC2392">
        <v>16.4102</v>
      </c>
      <c r="AD2392">
        <v>-1.1035075256160001</v>
      </c>
      <c r="AE2392">
        <v>-1.1854799999999901</v>
      </c>
      <c r="AF2392">
        <v>-1.96098032230083</v>
      </c>
      <c r="AG2392">
        <v>-1.1035075256160001</v>
      </c>
      <c r="AH2392">
        <v>16.261471672814299</v>
      </c>
      <c r="AI2392">
        <v>93.854315405058699</v>
      </c>
      <c r="AJ2392">
        <v>96.876128548629396</v>
      </c>
      <c r="AK2392">
        <v>16.416413544050499</v>
      </c>
    </row>
    <row r="2393" spans="1:37" x14ac:dyDescent="0.2">
      <c r="A2393" t="str">
        <f>"20200111150641555"</f>
        <v>20200111150641555</v>
      </c>
      <c r="B2393" t="str">
        <f>"1578726401549259"</f>
        <v>1578726401549259</v>
      </c>
      <c r="C2393" t="s">
        <v>37</v>
      </c>
      <c r="D2393">
        <v>5.0019119999999999</v>
      </c>
      <c r="E2393">
        <v>0.48155169999999903</v>
      </c>
      <c r="F2393" t="s">
        <v>101</v>
      </c>
      <c r="G2393">
        <v>-256.5677</v>
      </c>
      <c r="H2393" s="1">
        <v>-2.4811319999999999E-6</v>
      </c>
      <c r="I2393">
        <v>-62.755769999999998</v>
      </c>
      <c r="J2393">
        <v>-272.91019999999997</v>
      </c>
      <c r="K2393">
        <v>1.1038840000000001</v>
      </c>
      <c r="L2393">
        <v>-61.590699999999998</v>
      </c>
      <c r="M2393">
        <v>0.98166010000000004</v>
      </c>
      <c r="N2393">
        <v>0</v>
      </c>
      <c r="O2393">
        <v>-0.19024369999999999</v>
      </c>
      <c r="P2393">
        <v>0.98199340000000002</v>
      </c>
      <c r="Q2393">
        <v>0.1501014</v>
      </c>
      <c r="R2393">
        <v>-0.11471089999999901</v>
      </c>
      <c r="S2393">
        <v>3.0586849999999899</v>
      </c>
      <c r="T2393">
        <v>-0.20430209999999999</v>
      </c>
      <c r="U2393">
        <v>-0.22204589999999999</v>
      </c>
      <c r="V2393">
        <v>-7.4381619999999996E-2</v>
      </c>
      <c r="W2393">
        <v>0.16211159999999999</v>
      </c>
      <c r="X2393">
        <v>0.98396499999999998</v>
      </c>
      <c r="Y2393">
        <v>-0.11799949999999999</v>
      </c>
      <c r="Z2393">
        <v>1.652839E-2</v>
      </c>
      <c r="AA2393">
        <v>0.99287610000000004</v>
      </c>
      <c r="AB2393">
        <v>30</v>
      </c>
      <c r="AC2393">
        <v>16.342499999999902</v>
      </c>
      <c r="AD2393">
        <v>-1.1038864811319999</v>
      </c>
      <c r="AE2393">
        <v>-1.1650700000000001</v>
      </c>
      <c r="AF2393">
        <v>-1.9566209967956101</v>
      </c>
      <c r="AG2393">
        <v>-1.1038864811319999</v>
      </c>
      <c r="AH2393">
        <v>16.192149120486199</v>
      </c>
      <c r="AI2393">
        <v>93.871978363252595</v>
      </c>
      <c r="AJ2393">
        <v>96.890080346986196</v>
      </c>
      <c r="AK2393">
        <v>16.347251274400499</v>
      </c>
    </row>
    <row r="2394" spans="1:37" x14ac:dyDescent="0.2">
      <c r="A2394" t="str">
        <f>"20200111150641581"</f>
        <v>20200111150641581</v>
      </c>
      <c r="B2394" t="str">
        <f>"1578726401579515"</f>
        <v>1578726401579515</v>
      </c>
      <c r="C2394" t="s">
        <v>37</v>
      </c>
      <c r="D2394">
        <v>5.0229839999999903</v>
      </c>
      <c r="E2394">
        <v>0.48075220000000002</v>
      </c>
      <c r="F2394" t="s">
        <v>101</v>
      </c>
      <c r="G2394">
        <v>-256.31470000000002</v>
      </c>
      <c r="H2394" s="1">
        <v>-2.3745779999999999E-6</v>
      </c>
      <c r="I2394">
        <v>-62.764659999999999</v>
      </c>
      <c r="J2394">
        <v>-272.54899999999998</v>
      </c>
      <c r="K2394">
        <v>1.104643</v>
      </c>
      <c r="L2394">
        <v>-61.658479999999997</v>
      </c>
      <c r="M2394">
        <v>0.98211749999999998</v>
      </c>
      <c r="N2394">
        <v>0</v>
      </c>
      <c r="O2394">
        <v>-0.18786900000000001</v>
      </c>
      <c r="P2394">
        <v>0.980929099999999</v>
      </c>
      <c r="Q2394">
        <v>0.1559449</v>
      </c>
      <c r="R2394">
        <v>-0.116016699999999</v>
      </c>
      <c r="S2394">
        <v>3.0608520000000001</v>
      </c>
      <c r="T2394">
        <v>-0.20359920000000001</v>
      </c>
      <c r="U2394">
        <v>-0.2165222</v>
      </c>
      <c r="V2394">
        <v>-7.0815450000000002E-2</v>
      </c>
      <c r="W2394">
        <v>0.16783799999999999</v>
      </c>
      <c r="X2394">
        <v>0.98326780000000003</v>
      </c>
      <c r="Y2394">
        <v>-0.1174432</v>
      </c>
      <c r="Z2394">
        <v>1.6288299999999999E-2</v>
      </c>
      <c r="AA2394">
        <v>0.992945999999999</v>
      </c>
      <c r="AB2394">
        <v>30</v>
      </c>
      <c r="AC2394">
        <v>16.234300000000001</v>
      </c>
      <c r="AD2394">
        <v>-1.104645374578</v>
      </c>
      <c r="AE2394">
        <v>-1.1061799999999899</v>
      </c>
      <c r="AF2394">
        <v>-1.9546624840037301</v>
      </c>
      <c r="AG2394">
        <v>-1.104645374578</v>
      </c>
      <c r="AH2394">
        <v>16.0789212980354</v>
      </c>
      <c r="AI2394">
        <v>93.901494571492606</v>
      </c>
      <c r="AJ2394">
        <v>96.931251772131205</v>
      </c>
      <c r="AK2394">
        <v>16.234920909519801</v>
      </c>
    </row>
    <row r="2395" spans="1:37" x14ac:dyDescent="0.2">
      <c r="A2395" t="str">
        <f>"20200111150641593"</f>
        <v>20200111150641593</v>
      </c>
      <c r="B2395" t="str">
        <f>"1578726401589276"</f>
        <v>1578726401589276</v>
      </c>
      <c r="C2395" t="s">
        <v>37</v>
      </c>
      <c r="D2395">
        <v>5.0632449999999896</v>
      </c>
      <c r="E2395">
        <v>0.48020649999999998</v>
      </c>
      <c r="F2395" t="s">
        <v>101</v>
      </c>
      <c r="G2395">
        <v>-254.9796</v>
      </c>
      <c r="H2395" s="1">
        <v>-1.828802E-6</v>
      </c>
      <c r="I2395">
        <v>-62.885829999999999</v>
      </c>
      <c r="J2395">
        <v>-272.39420000000001</v>
      </c>
      <c r="K2395">
        <v>1.1049439999999999</v>
      </c>
      <c r="L2395">
        <v>-61.687040000000003</v>
      </c>
      <c r="M2395">
        <v>0.98235629999999996</v>
      </c>
      <c r="N2395">
        <v>0</v>
      </c>
      <c r="O2395">
        <v>-0.1866157</v>
      </c>
      <c r="P2395">
        <v>0.98087259999999998</v>
      </c>
      <c r="Q2395">
        <v>0.156724799999999</v>
      </c>
      <c r="R2395">
        <v>-0.1154403</v>
      </c>
      <c r="S2395">
        <v>3.06366</v>
      </c>
      <c r="T2395">
        <v>-0.19262319999999999</v>
      </c>
      <c r="U2395">
        <v>-0.21401979999999901</v>
      </c>
      <c r="V2395">
        <v>-7.0237289999999994E-2</v>
      </c>
      <c r="W2395">
        <v>0.1685741</v>
      </c>
      <c r="X2395">
        <v>0.98318329999999998</v>
      </c>
      <c r="Y2395">
        <v>-0.11712110000000001</v>
      </c>
      <c r="Z2395">
        <v>1.5311190000000001E-2</v>
      </c>
      <c r="AA2395">
        <v>0.99299959999999898</v>
      </c>
      <c r="AB2395">
        <v>30</v>
      </c>
      <c r="AC2395">
        <v>17.4146</v>
      </c>
      <c r="AD2395">
        <v>-1.104945828802</v>
      </c>
      <c r="AE2395">
        <v>-1.19879</v>
      </c>
      <c r="AF2395">
        <v>-2.0640845444462701</v>
      </c>
      <c r="AG2395">
        <v>-1.104945828802</v>
      </c>
      <c r="AH2395">
        <v>17.263190114941398</v>
      </c>
      <c r="AI2395">
        <v>93.636440912512697</v>
      </c>
      <c r="AJ2395">
        <v>96.818239000050099</v>
      </c>
      <c r="AK2395">
        <v>17.421225078501799</v>
      </c>
    </row>
    <row r="2396" spans="1:37" x14ac:dyDescent="0.2">
      <c r="A2396" t="str">
        <f>"20200111150641604"</f>
        <v>20200111150641604</v>
      </c>
      <c r="B2396" t="str">
        <f>"1578726401599035"</f>
        <v>1578726401599035</v>
      </c>
      <c r="C2396" t="s">
        <v>37</v>
      </c>
      <c r="D2396">
        <v>5.0565569999999997</v>
      </c>
      <c r="E2396">
        <v>0.4799696</v>
      </c>
      <c r="F2396" t="s">
        <v>101</v>
      </c>
      <c r="G2396">
        <v>-254.96190000000001</v>
      </c>
      <c r="H2396" s="1">
        <v>-1.817753E-6</v>
      </c>
      <c r="I2396">
        <v>-62.87041</v>
      </c>
      <c r="J2396">
        <v>-272.24099999999999</v>
      </c>
      <c r="K2396">
        <v>1.105219</v>
      </c>
      <c r="L2396">
        <v>-61.7147199999999</v>
      </c>
      <c r="M2396">
        <v>0.98264599999999902</v>
      </c>
      <c r="N2396">
        <v>0</v>
      </c>
      <c r="O2396">
        <v>-0.18508269999999999</v>
      </c>
      <c r="P2396">
        <v>0.98100659999999895</v>
      </c>
      <c r="Q2396">
        <v>0.15680999999999901</v>
      </c>
      <c r="R2396">
        <v>-0.114179399999999</v>
      </c>
      <c r="S2396">
        <v>3.06509399999999</v>
      </c>
      <c r="T2396">
        <v>-0.19428039999999999</v>
      </c>
      <c r="U2396">
        <v>-0.2080688</v>
      </c>
      <c r="V2396">
        <v>-7.0078290000000001E-2</v>
      </c>
      <c r="W2396">
        <v>0.16861879999999899</v>
      </c>
      <c r="X2396">
        <v>0.98318700000000003</v>
      </c>
      <c r="Y2396">
        <v>-0.1175151</v>
      </c>
      <c r="Z2396">
        <v>1.5354110000000001E-2</v>
      </c>
      <c r="AA2396">
        <v>0.99295239999999996</v>
      </c>
      <c r="AB2396">
        <v>30</v>
      </c>
      <c r="AC2396">
        <v>17.2790999999999</v>
      </c>
      <c r="AD2396">
        <v>-1.1052208177529901</v>
      </c>
      <c r="AE2396">
        <v>-1.1556900000000001</v>
      </c>
      <c r="AF2396">
        <v>-2.05421741138248</v>
      </c>
      <c r="AG2396">
        <v>-1.1052208177529901</v>
      </c>
      <c r="AH2396">
        <v>17.1246876183403</v>
      </c>
      <c r="AI2396">
        <v>93.666513231846807</v>
      </c>
      <c r="AJ2396">
        <v>96.840315824080193</v>
      </c>
      <c r="AK2396">
        <v>17.282831025470301</v>
      </c>
    </row>
    <row r="2397" spans="1:37" x14ac:dyDescent="0.2">
      <c r="A2397" t="str">
        <f>"20200111150641616"</f>
        <v>20200111150641616</v>
      </c>
      <c r="B2397" t="str">
        <f>"1578726401608795"</f>
        <v>1578726401608795</v>
      </c>
      <c r="C2397" t="s">
        <v>37</v>
      </c>
      <c r="D2397">
        <v>5.0039730000000002</v>
      </c>
      <c r="E2397">
        <v>0.47953069999999998</v>
      </c>
      <c r="F2397" t="s">
        <v>101</v>
      </c>
      <c r="G2397">
        <v>-255.13050000000001</v>
      </c>
      <c r="H2397" s="1">
        <v>-1.884011E-6</v>
      </c>
      <c r="I2397">
        <v>-62.843109999999903</v>
      </c>
      <c r="J2397">
        <v>-272.09370000000001</v>
      </c>
      <c r="K2397">
        <v>1.1054759999999999</v>
      </c>
      <c r="L2397">
        <v>-61.74109</v>
      </c>
      <c r="M2397">
        <v>0.98293759999999997</v>
      </c>
      <c r="N2397">
        <v>0</v>
      </c>
      <c r="O2397">
        <v>-0.18352760000000001</v>
      </c>
      <c r="P2397">
        <v>0.98135049999999902</v>
      </c>
      <c r="Q2397">
        <v>0.15589500000000001</v>
      </c>
      <c r="R2397">
        <v>-0.11246289999999901</v>
      </c>
      <c r="S2397">
        <v>3.0662539999999998</v>
      </c>
      <c r="T2397">
        <v>-0.1980587</v>
      </c>
      <c r="U2397">
        <v>-0.20220949999999999</v>
      </c>
      <c r="V2397">
        <v>-7.0371649999999994E-2</v>
      </c>
      <c r="W2397">
        <v>0.16766589999999901</v>
      </c>
      <c r="X2397">
        <v>0.98332900000000001</v>
      </c>
      <c r="Y2397">
        <v>-0.1178375</v>
      </c>
      <c r="Z2397">
        <v>1.555949E-2</v>
      </c>
      <c r="AA2397">
        <v>0.99291099999999999</v>
      </c>
      <c r="AB2397">
        <v>30</v>
      </c>
      <c r="AC2397">
        <v>16.963200000000001</v>
      </c>
      <c r="AD2397">
        <v>-1.105477884011</v>
      </c>
      <c r="AE2397">
        <v>-1.10201999999999</v>
      </c>
      <c r="AF2397">
        <v>-2.0216023650990498</v>
      </c>
      <c r="AG2397">
        <v>-1.105477884011</v>
      </c>
      <c r="AH2397">
        <v>16.806218542628901</v>
      </c>
      <c r="AI2397">
        <v>93.736516590806005</v>
      </c>
      <c r="AJ2397">
        <v>96.859093396534305</v>
      </c>
      <c r="AK2397">
        <v>16.9634294639148</v>
      </c>
    </row>
    <row r="2398" spans="1:37" x14ac:dyDescent="0.2">
      <c r="A2398" t="str">
        <f>"20200111150641627"</f>
        <v>20200111150641627</v>
      </c>
      <c r="B2398" t="str">
        <f>"1578726401619531"</f>
        <v>1578726401619531</v>
      </c>
      <c r="C2398" t="s">
        <v>37</v>
      </c>
      <c r="D2398">
        <v>5.0454499999999998</v>
      </c>
      <c r="E2398">
        <v>0.47929040000000001</v>
      </c>
      <c r="F2398" t="s">
        <v>101</v>
      </c>
      <c r="G2398">
        <v>-255.49950000000001</v>
      </c>
      <c r="H2398" s="1">
        <v>-2.029713E-6</v>
      </c>
      <c r="I2398">
        <v>-62.78633</v>
      </c>
      <c r="J2398">
        <v>-271.9348</v>
      </c>
      <c r="K2398">
        <v>1.1057319999999999</v>
      </c>
      <c r="L2398">
        <v>-61.7690699999999</v>
      </c>
      <c r="M2398">
        <v>0.98328389999999999</v>
      </c>
      <c r="N2398">
        <v>0</v>
      </c>
      <c r="O2398">
        <v>-0.18166270000000001</v>
      </c>
      <c r="P2398">
        <v>0.98170349999999995</v>
      </c>
      <c r="Q2398">
        <v>0.1553117</v>
      </c>
      <c r="R2398">
        <v>-0.1101668</v>
      </c>
      <c r="S2398">
        <v>3.0673219999999999</v>
      </c>
      <c r="T2398">
        <v>-0.20434040000000001</v>
      </c>
      <c r="U2398">
        <v>-0.19320680000000001</v>
      </c>
      <c r="V2398">
        <v>-7.0928779999999997E-2</v>
      </c>
      <c r="W2398">
        <v>0.16704260000000001</v>
      </c>
      <c r="X2398">
        <v>0.98339509999999997</v>
      </c>
      <c r="Y2398">
        <v>-0.118840899999999</v>
      </c>
      <c r="Z2398">
        <v>1.595999E-2</v>
      </c>
      <c r="AA2398">
        <v>0.99278500000000003</v>
      </c>
      <c r="AB2398">
        <v>30</v>
      </c>
      <c r="AC2398">
        <v>16.435299999999899</v>
      </c>
      <c r="AD2398">
        <v>-1.1057340297129901</v>
      </c>
      <c r="AE2398">
        <v>-1.01726000000001</v>
      </c>
      <c r="AF2398">
        <v>-1.9766630605946101</v>
      </c>
      <c r="AG2398">
        <v>-1.1057340297129901</v>
      </c>
      <c r="AH2398">
        <v>16.273224994870802</v>
      </c>
      <c r="AI2398">
        <v>93.858885349040804</v>
      </c>
      <c r="AJ2398">
        <v>96.925629948510604</v>
      </c>
      <c r="AK2398">
        <v>16.430085098174999</v>
      </c>
    </row>
    <row r="2399" spans="1:37" x14ac:dyDescent="0.2">
      <c r="A2399" t="str">
        <f>"20200111150641639"</f>
        <v>20200111150641639</v>
      </c>
      <c r="B2399" t="str">
        <f>"1578726401629292"</f>
        <v>1578726401629292</v>
      </c>
      <c r="C2399" t="s">
        <v>37</v>
      </c>
      <c r="D2399">
        <v>4.9877599999999997</v>
      </c>
      <c r="E2399">
        <v>0.47875450000000003</v>
      </c>
      <c r="F2399" t="s">
        <v>101</v>
      </c>
      <c r="G2399">
        <v>-255.75210000000001</v>
      </c>
      <c r="H2399" s="1">
        <v>-2.127638E-6</v>
      </c>
      <c r="I2399">
        <v>-62.739429999999999</v>
      </c>
      <c r="J2399">
        <v>-271.78960000000001</v>
      </c>
      <c r="K2399">
        <v>1.105952</v>
      </c>
      <c r="L2399">
        <v>-61.79419</v>
      </c>
      <c r="M2399">
        <v>0.98362169999999904</v>
      </c>
      <c r="N2399">
        <v>0</v>
      </c>
      <c r="O2399">
        <v>-0.17982490000000001</v>
      </c>
      <c r="P2399">
        <v>0.98213609999999896</v>
      </c>
      <c r="Q2399">
        <v>0.15424299999999999</v>
      </c>
      <c r="R2399">
        <v>-0.10778840000000001</v>
      </c>
      <c r="S2399">
        <v>3.0684200000000001</v>
      </c>
      <c r="T2399">
        <v>-0.20965990000000001</v>
      </c>
      <c r="U2399">
        <v>-0.1839905</v>
      </c>
      <c r="V2399">
        <v>-7.1590349999999997E-2</v>
      </c>
      <c r="W2399">
        <v>0.16593910000000001</v>
      </c>
      <c r="X2399">
        <v>0.98353400000000002</v>
      </c>
      <c r="Y2399">
        <v>-0.1199456</v>
      </c>
      <c r="Z2399">
        <v>1.6285279999999999E-2</v>
      </c>
      <c r="AA2399">
        <v>0.9926469</v>
      </c>
      <c r="AB2399">
        <v>30</v>
      </c>
      <c r="AC2399">
        <v>16.037499999999898</v>
      </c>
      <c r="AD2399">
        <v>-1.1059541276380001</v>
      </c>
      <c r="AE2399">
        <v>-0.94524000000000497</v>
      </c>
      <c r="AF2399">
        <v>-1.9451131007632601</v>
      </c>
      <c r="AG2399">
        <v>-1.1059541276380001</v>
      </c>
      <c r="AH2399">
        <v>15.870804367224499</v>
      </c>
      <c r="AI2399">
        <v>93.956691648307</v>
      </c>
      <c r="AJ2399">
        <v>96.987279249386404</v>
      </c>
      <c r="AK2399">
        <v>16.027758132998901</v>
      </c>
    </row>
    <row r="2400" spans="1:37" x14ac:dyDescent="0.2">
      <c r="A2400" t="str">
        <f>"20200111150641650"</f>
        <v>20200111150641650</v>
      </c>
      <c r="B2400" t="str">
        <f>"1578726401648812"</f>
        <v>1578726401648812</v>
      </c>
      <c r="C2400" t="s">
        <v>37</v>
      </c>
      <c r="D2400">
        <v>5.0019330000000002</v>
      </c>
      <c r="E2400">
        <v>0.47810639999999999</v>
      </c>
      <c r="F2400" t="s">
        <v>101</v>
      </c>
      <c r="G2400">
        <v>-256.0258</v>
      </c>
      <c r="H2400" s="1">
        <v>-2.231358E-6</v>
      </c>
      <c r="I2400">
        <v>-62.677799999999998</v>
      </c>
      <c r="J2400">
        <v>-271.62630000000001</v>
      </c>
      <c r="K2400">
        <v>1.1061889999999901</v>
      </c>
      <c r="L2400">
        <v>-61.822109999999903</v>
      </c>
      <c r="M2400">
        <v>0.98401489999999903</v>
      </c>
      <c r="N2400">
        <v>0</v>
      </c>
      <c r="O2400">
        <v>-0.17766029999999999</v>
      </c>
      <c r="P2400">
        <v>0.98263750000000005</v>
      </c>
      <c r="Q2400">
        <v>0.15321470000000001</v>
      </c>
      <c r="R2400">
        <v>-0.1046364</v>
      </c>
      <c r="S2400">
        <v>3.0695189999999899</v>
      </c>
      <c r="T2400">
        <v>-0.215351499999999</v>
      </c>
      <c r="U2400">
        <v>-0.17205809999999999</v>
      </c>
      <c r="V2400">
        <v>-7.2704710000000006E-2</v>
      </c>
      <c r="W2400">
        <v>0.16486919999999999</v>
      </c>
      <c r="X2400">
        <v>0.98363210000000001</v>
      </c>
      <c r="Y2400">
        <v>-0.121591899999999</v>
      </c>
      <c r="Z2400">
        <v>1.663162E-2</v>
      </c>
      <c r="AA2400">
        <v>0.99244080000000001</v>
      </c>
      <c r="AB2400">
        <v>30</v>
      </c>
      <c r="AC2400">
        <v>15.6005</v>
      </c>
      <c r="AD2400">
        <v>-1.10619123135799</v>
      </c>
      <c r="AE2400">
        <v>-0.85569000000000195</v>
      </c>
      <c r="AF2400">
        <v>-1.92009894103301</v>
      </c>
      <c r="AG2400">
        <v>-1.10619123135799</v>
      </c>
      <c r="AH2400">
        <v>15.4269889214083</v>
      </c>
      <c r="AI2400">
        <v>94.070073300657498</v>
      </c>
      <c r="AJ2400">
        <v>97.094755046664602</v>
      </c>
      <c r="AK2400">
        <v>15.5853272716663</v>
      </c>
    </row>
    <row r="2401" spans="1:37" x14ac:dyDescent="0.2">
      <c r="A2401" t="str">
        <f>"20200111150641664"</f>
        <v>20200111150641664</v>
      </c>
      <c r="B2401" t="str">
        <f>"1578726401659548"</f>
        <v>1578726401659548</v>
      </c>
      <c r="C2401" t="s">
        <v>37</v>
      </c>
      <c r="D2401">
        <v>4.9979899999999997</v>
      </c>
      <c r="E2401">
        <v>0.47790389999999999</v>
      </c>
      <c r="F2401" t="s">
        <v>101</v>
      </c>
      <c r="G2401">
        <v>-256.17939999999999</v>
      </c>
      <c r="H2401" s="1">
        <v>-2.2824189999999998E-6</v>
      </c>
      <c r="I2401">
        <v>-62.611059999999902</v>
      </c>
      <c r="J2401">
        <v>-271.46600000000001</v>
      </c>
      <c r="K2401">
        <v>1.1064039999999999</v>
      </c>
      <c r="L2401">
        <v>-61.848790000000001</v>
      </c>
      <c r="M2401">
        <v>0.98443230000000004</v>
      </c>
      <c r="N2401">
        <v>0</v>
      </c>
      <c r="O2401">
        <v>-0.1753313</v>
      </c>
      <c r="P2401">
        <v>0.98307819999999901</v>
      </c>
      <c r="Q2401">
        <v>0.15252979999999899</v>
      </c>
      <c r="R2401">
        <v>-0.10144880000000001</v>
      </c>
      <c r="S2401">
        <v>3.07058699999999</v>
      </c>
      <c r="T2401">
        <v>-0.21989259999999999</v>
      </c>
      <c r="U2401">
        <v>-0.15682979999999899</v>
      </c>
      <c r="V2401">
        <v>-7.3671449999999999E-2</v>
      </c>
      <c r="W2401">
        <v>0.16414679999999901</v>
      </c>
      <c r="X2401">
        <v>0.98368099999999903</v>
      </c>
      <c r="Y2401">
        <v>-0.1241385</v>
      </c>
      <c r="Z2401">
        <v>1.69060999999999E-2</v>
      </c>
      <c r="AA2401">
        <v>0.99212089999999997</v>
      </c>
      <c r="AB2401">
        <v>30</v>
      </c>
      <c r="AC2401">
        <v>15.2866</v>
      </c>
      <c r="AD2401">
        <v>-1.106406282419</v>
      </c>
      <c r="AE2401">
        <v>-0.76226999999999301</v>
      </c>
      <c r="AF2401">
        <v>-1.9199302864118</v>
      </c>
      <c r="AG2401">
        <v>-1.106406282419</v>
      </c>
      <c r="AH2401">
        <v>15.104497689255499</v>
      </c>
      <c r="AI2401">
        <v>94.156118647476106</v>
      </c>
      <c r="AJ2401">
        <v>97.2440104445066</v>
      </c>
      <c r="AK2401">
        <v>15.266175605277899</v>
      </c>
    </row>
    <row r="2402" spans="1:37" x14ac:dyDescent="0.2">
      <c r="A2402" t="str">
        <f>"20200111150641676"</f>
        <v>20200111150641676</v>
      </c>
      <c r="B2402" t="str">
        <f>"1578726401669307"</f>
        <v>1578726401669307</v>
      </c>
      <c r="C2402" t="s">
        <v>37</v>
      </c>
      <c r="D2402">
        <v>4.9948680000000003</v>
      </c>
      <c r="E2402">
        <v>0.47772619999999999</v>
      </c>
      <c r="F2402" t="s">
        <v>101</v>
      </c>
      <c r="G2402">
        <v>-256.19659999999999</v>
      </c>
      <c r="H2402" s="1">
        <v>-2.280438E-6</v>
      </c>
      <c r="I2402">
        <v>-62.569029999999998</v>
      </c>
      <c r="J2402">
        <v>-271.29660000000001</v>
      </c>
      <c r="K2402">
        <v>1.106622</v>
      </c>
      <c r="L2402">
        <v>-61.87659</v>
      </c>
      <c r="M2402">
        <v>0.98488240000000005</v>
      </c>
      <c r="N2402">
        <v>0</v>
      </c>
      <c r="O2402">
        <v>-0.17278550000000001</v>
      </c>
      <c r="P2402">
        <v>0.98350559999999998</v>
      </c>
      <c r="Q2402">
        <v>0.151756</v>
      </c>
      <c r="R2402">
        <v>-9.842099E-2</v>
      </c>
      <c r="S2402">
        <v>3.0712280000000001</v>
      </c>
      <c r="T2402">
        <v>-0.22253819999999999</v>
      </c>
      <c r="U2402">
        <v>-0.14486689999999999</v>
      </c>
      <c r="V2402">
        <v>-7.4262250000000002E-2</v>
      </c>
      <c r="W2402">
        <v>0.1633367</v>
      </c>
      <c r="X2402">
        <v>0.98377139999999996</v>
      </c>
      <c r="Y2402">
        <v>-0.1254237</v>
      </c>
      <c r="Z2402">
        <v>1.697299E-2</v>
      </c>
      <c r="AA2402">
        <v>0.99195809999999995</v>
      </c>
      <c r="AB2402">
        <v>30</v>
      </c>
      <c r="AC2402">
        <v>15.1</v>
      </c>
      <c r="AD2402">
        <v>-1.106624280438</v>
      </c>
      <c r="AE2402">
        <v>-0.69244000000000405</v>
      </c>
      <c r="AF2402">
        <v>-1.91696120356011</v>
      </c>
      <c r="AG2402">
        <v>-1.106624280438</v>
      </c>
      <c r="AH2402">
        <v>14.9125802256308</v>
      </c>
      <c r="AI2402">
        <v>94.209483183698495</v>
      </c>
      <c r="AJ2402">
        <v>97.325006152377895</v>
      </c>
      <c r="AK2402">
        <v>15.0759545813817</v>
      </c>
    </row>
    <row r="2403" spans="1:37" x14ac:dyDescent="0.2">
      <c r="A2403" t="str">
        <f>"20200111150641688"</f>
        <v>20200111150641688</v>
      </c>
      <c r="B2403" t="str">
        <f>"1578726401679067"</f>
        <v>1578726401679067</v>
      </c>
      <c r="C2403" t="s">
        <v>37</v>
      </c>
      <c r="D2403">
        <v>5.0131559999999897</v>
      </c>
      <c r="E2403">
        <v>0.4778522</v>
      </c>
      <c r="F2403" t="s">
        <v>101</v>
      </c>
      <c r="G2403">
        <v>-256.24610000000001</v>
      </c>
      <c r="H2403" s="1">
        <v>-2.2932209999999999E-6</v>
      </c>
      <c r="I2403">
        <v>-62.53105</v>
      </c>
      <c r="J2403">
        <v>-271.13589999999999</v>
      </c>
      <c r="K2403">
        <v>1.106814</v>
      </c>
      <c r="L2403">
        <v>-61.902369999999998</v>
      </c>
      <c r="M2403">
        <v>0.98532619999999904</v>
      </c>
      <c r="N2403">
        <v>0</v>
      </c>
      <c r="O2403">
        <v>-0.17023540000000001</v>
      </c>
      <c r="P2403">
        <v>0.98388500000000001</v>
      </c>
      <c r="Q2403">
        <v>0.1510379</v>
      </c>
      <c r="R2403">
        <v>-9.5697749999999998E-2</v>
      </c>
      <c r="S2403">
        <v>3.0718079999999999</v>
      </c>
      <c r="T2403">
        <v>-0.22586210000000001</v>
      </c>
      <c r="U2403">
        <v>-0.13357539999999901</v>
      </c>
      <c r="V2403">
        <v>-7.4532849999999998E-2</v>
      </c>
      <c r="W2403">
        <v>0.1625896</v>
      </c>
      <c r="X2403">
        <v>0.98387469999999999</v>
      </c>
      <c r="Y2403">
        <v>-0.12648389999999901</v>
      </c>
      <c r="Z2403">
        <v>1.7079219999999999E-2</v>
      </c>
      <c r="AA2403">
        <v>0.99182159999999997</v>
      </c>
      <c r="AB2403">
        <v>30</v>
      </c>
      <c r="AC2403">
        <v>14.8897999999999</v>
      </c>
      <c r="AD2403">
        <v>-1.1068162932209999</v>
      </c>
      <c r="AE2403">
        <v>-0.62868000000000201</v>
      </c>
      <c r="AF2403">
        <v>-1.90495480479952</v>
      </c>
      <c r="AG2403">
        <v>-1.1068162932209999</v>
      </c>
      <c r="AH2403">
        <v>14.6983865768972</v>
      </c>
      <c r="AI2403">
        <v>94.2707684961089</v>
      </c>
      <c r="AJ2403">
        <v>97.384541864607598</v>
      </c>
      <c r="AK2403">
        <v>14.8625860158715</v>
      </c>
    </row>
    <row r="2404" spans="1:37" x14ac:dyDescent="0.2">
      <c r="A2404" t="str">
        <f>"20200111150641699"</f>
        <v>20200111150641699</v>
      </c>
      <c r="B2404" t="str">
        <f>"1578726401688828"</f>
        <v>1578726401688828</v>
      </c>
      <c r="C2404" t="s">
        <v>37</v>
      </c>
      <c r="D2404">
        <v>5.023606</v>
      </c>
      <c r="E2404">
        <v>0.477966</v>
      </c>
      <c r="F2404" t="s">
        <v>101</v>
      </c>
      <c r="G2404">
        <v>-256.3125</v>
      </c>
      <c r="H2404" s="1">
        <v>-2.3166730000000001E-6</v>
      </c>
      <c r="I2404">
        <v>-62.508459999999999</v>
      </c>
      <c r="J2404">
        <v>-270.98790000000002</v>
      </c>
      <c r="K2404">
        <v>1.1069719999999901</v>
      </c>
      <c r="L2404">
        <v>-61.925569999999901</v>
      </c>
      <c r="M2404">
        <v>0.98574609999999996</v>
      </c>
      <c r="N2404">
        <v>0</v>
      </c>
      <c r="O2404">
        <v>-0.1677862</v>
      </c>
      <c r="P2404">
        <v>0.98421970000000003</v>
      </c>
      <c r="Q2404">
        <v>0.15009459999999999</v>
      </c>
      <c r="R2404">
        <v>-9.3718289999999996E-2</v>
      </c>
      <c r="S2404">
        <v>3.07214399999999</v>
      </c>
      <c r="T2404">
        <v>-0.22938649999999899</v>
      </c>
      <c r="U2404">
        <v>-0.12561040000000001</v>
      </c>
      <c r="V2404">
        <v>-7.4148740000000005E-2</v>
      </c>
      <c r="W2404">
        <v>0.16162879999999999</v>
      </c>
      <c r="X2404">
        <v>0.98406199999999999</v>
      </c>
      <c r="Y2404">
        <v>-0.12657199999999999</v>
      </c>
      <c r="Z2404">
        <v>1.7167789999999999E-2</v>
      </c>
      <c r="AA2404">
        <v>0.99180879999999905</v>
      </c>
      <c r="AB2404">
        <v>30</v>
      </c>
      <c r="AC2404">
        <v>14.6754</v>
      </c>
      <c r="AD2404">
        <v>-1.1069743166729999</v>
      </c>
      <c r="AE2404">
        <v>-0.58289000000000601</v>
      </c>
      <c r="AF2404">
        <v>-1.87722775218087</v>
      </c>
      <c r="AG2404">
        <v>-1.1069743166729999</v>
      </c>
      <c r="AH2404">
        <v>14.4828548364151</v>
      </c>
      <c r="AI2404">
        <v>94.334693628253305</v>
      </c>
      <c r="AJ2404">
        <v>97.385345323154993</v>
      </c>
      <c r="AK2404">
        <v>14.6459025117609</v>
      </c>
    </row>
    <row r="2405" spans="1:37" x14ac:dyDescent="0.2">
      <c r="A2405" t="str">
        <f>"20200111150641717"</f>
        <v>20200111150641717</v>
      </c>
      <c r="B2405" t="str">
        <f>"1578726401709326"</f>
        <v>1578726401709326</v>
      </c>
      <c r="C2405" t="s">
        <v>37</v>
      </c>
      <c r="D2405">
        <v>5.2526929999999998</v>
      </c>
      <c r="E2405">
        <v>0.47803820000000002</v>
      </c>
      <c r="F2405" t="s">
        <v>101</v>
      </c>
      <c r="G2405">
        <v>-256.40989999999999</v>
      </c>
      <c r="H2405" s="1">
        <v>-2.3552080000000001E-6</v>
      </c>
      <c r="I2405">
        <v>-62.493789999999997</v>
      </c>
      <c r="J2405">
        <v>-270.76339999999999</v>
      </c>
      <c r="K2405">
        <v>1.107202</v>
      </c>
      <c r="L2405">
        <v>-61.960019999999901</v>
      </c>
      <c r="M2405">
        <v>0.98639179999999904</v>
      </c>
      <c r="N2405">
        <v>0</v>
      </c>
      <c r="O2405">
        <v>-0.163946799999999</v>
      </c>
      <c r="P2405">
        <v>0.98458999999999997</v>
      </c>
      <c r="Q2405">
        <v>0.14894549999999901</v>
      </c>
      <c r="R2405">
        <v>-9.1642399999999999E-2</v>
      </c>
      <c r="S2405">
        <v>3.0722659999999999</v>
      </c>
      <c r="T2405">
        <v>-0.233292</v>
      </c>
      <c r="U2405">
        <v>-0.119751</v>
      </c>
      <c r="V2405">
        <v>-7.2500529999999994E-2</v>
      </c>
      <c r="W2405">
        <v>0.16046640000000001</v>
      </c>
      <c r="X2405">
        <v>0.98437509999999995</v>
      </c>
      <c r="Y2405">
        <v>-0.12458859999999999</v>
      </c>
      <c r="Z2405">
        <v>1.7097069999999999E-2</v>
      </c>
      <c r="AA2405">
        <v>0.99206119999999898</v>
      </c>
      <c r="AB2405">
        <v>30</v>
      </c>
      <c r="AC2405">
        <v>14.353499999999899</v>
      </c>
      <c r="AD2405">
        <v>-1.107204355208</v>
      </c>
      <c r="AE2405">
        <v>-0.53377000000001096</v>
      </c>
      <c r="AF2405">
        <v>-1.8160523343994199</v>
      </c>
      <c r="AG2405">
        <v>-1.107204355208</v>
      </c>
      <c r="AH2405">
        <v>14.162616461279899</v>
      </c>
      <c r="AI2405">
        <v>94.434016454319107</v>
      </c>
      <c r="AJ2405">
        <v>97.307082033020095</v>
      </c>
      <c r="AK2405">
        <v>14.321440311462601</v>
      </c>
    </row>
    <row r="2406" spans="1:37" x14ac:dyDescent="0.2">
      <c r="A2406" t="str">
        <f>"20200111150641727"</f>
        <v>20200111150641727</v>
      </c>
      <c r="B2406" t="str">
        <f>"1578726401719083"</f>
        <v>1578726401719083</v>
      </c>
      <c r="C2406" t="s">
        <v>37</v>
      </c>
      <c r="D2406">
        <v>5.012651</v>
      </c>
      <c r="E2406">
        <v>0.47801399999999999</v>
      </c>
      <c r="F2406" t="s">
        <v>101</v>
      </c>
      <c r="G2406">
        <v>-256.48379999999997</v>
      </c>
      <c r="H2406" s="1">
        <v>-2.385651E-6</v>
      </c>
      <c r="I2406">
        <v>-62.488230000000001</v>
      </c>
      <c r="J2406">
        <v>-270.61160000000001</v>
      </c>
      <c r="K2406">
        <v>1.1073469999999901</v>
      </c>
      <c r="L2406">
        <v>-61.982700000000001</v>
      </c>
      <c r="M2406">
        <v>0.98683589999999999</v>
      </c>
      <c r="N2406">
        <v>0</v>
      </c>
      <c r="O2406">
        <v>-0.16125149999999999</v>
      </c>
      <c r="P2406">
        <v>0.98469739999999994</v>
      </c>
      <c r="Q2406">
        <v>0.14869299999999999</v>
      </c>
      <c r="R2406">
        <v>-9.0893470000000004E-2</v>
      </c>
      <c r="S2406">
        <v>3.0723880000000001</v>
      </c>
      <c r="T2406">
        <v>-0.23822399999999999</v>
      </c>
      <c r="U2406">
        <v>-0.113647499999999</v>
      </c>
      <c r="V2406">
        <v>-7.0616360000000003E-2</v>
      </c>
      <c r="W2406">
        <v>0.16021649999999901</v>
      </c>
      <c r="X2406">
        <v>0.98455269999999995</v>
      </c>
      <c r="Y2406">
        <v>-0.12382269999999899</v>
      </c>
      <c r="Z2406">
        <v>1.72220999999999E-2</v>
      </c>
      <c r="AA2406">
        <v>0.99215489999999995</v>
      </c>
      <c r="AB2406">
        <v>30</v>
      </c>
      <c r="AC2406">
        <v>14.127800000000001</v>
      </c>
      <c r="AD2406">
        <v>-1.1073493856509999</v>
      </c>
      <c r="AE2406">
        <v>-0.50553000000000003</v>
      </c>
      <c r="AF2406">
        <v>-1.7685385605158299</v>
      </c>
      <c r="AG2406">
        <v>-1.1073493856509999</v>
      </c>
      <c r="AH2406">
        <v>13.938884727072599</v>
      </c>
      <c r="AI2406">
        <v>94.506244076797103</v>
      </c>
      <c r="AJ2406">
        <v>97.230940822540703</v>
      </c>
      <c r="AK2406">
        <v>14.0941994712914</v>
      </c>
    </row>
    <row r="2407" spans="1:37" x14ac:dyDescent="0.2">
      <c r="A2407" t="str">
        <f>"20200111150641739"</f>
        <v>20200111150641739</v>
      </c>
      <c r="B2407" t="str">
        <f>"1578726401728844"</f>
        <v>1578726401728844</v>
      </c>
      <c r="C2407" t="s">
        <v>37</v>
      </c>
      <c r="D2407">
        <v>4.8338140000000003</v>
      </c>
      <c r="E2407">
        <v>0.47801399999999999</v>
      </c>
      <c r="F2407" t="s">
        <v>101</v>
      </c>
      <c r="G2407">
        <v>-256.44549999999998</v>
      </c>
      <c r="H2407" s="1">
        <v>-2.3704420000000001E-6</v>
      </c>
      <c r="I2407">
        <v>-62.49371</v>
      </c>
      <c r="J2407">
        <v>-270.47250000000003</v>
      </c>
      <c r="K2407">
        <v>1.1074679999999999</v>
      </c>
      <c r="L2407">
        <v>-62.002959999999902</v>
      </c>
      <c r="M2407">
        <v>0.98724630000000002</v>
      </c>
      <c r="N2407">
        <v>0</v>
      </c>
      <c r="O2407">
        <v>-0.15871859999999999</v>
      </c>
      <c r="P2407">
        <v>0.98487230000000003</v>
      </c>
      <c r="Q2407">
        <v>0.14817049999999901</v>
      </c>
      <c r="R2407">
        <v>-8.9843699999999999E-2</v>
      </c>
      <c r="S2407">
        <v>3.0726930000000001</v>
      </c>
      <c r="T2407">
        <v>-0.24018789999999901</v>
      </c>
      <c r="U2407">
        <v>-0.1108398</v>
      </c>
      <c r="V2407">
        <v>-6.9190310000000005E-2</v>
      </c>
      <c r="W2407">
        <v>0.15969639999999999</v>
      </c>
      <c r="X2407">
        <v>0.98473840000000001</v>
      </c>
      <c r="Y2407">
        <v>-0.122183999999999</v>
      </c>
      <c r="Z2407">
        <v>1.7103110000000001E-2</v>
      </c>
      <c r="AA2407">
        <v>0.99236009999999997</v>
      </c>
      <c r="AB2407">
        <v>30</v>
      </c>
      <c r="AC2407">
        <v>14.026999999999999</v>
      </c>
      <c r="AD2407">
        <v>-1.1074703704419999</v>
      </c>
      <c r="AE2407">
        <v>-0.49075000000000502</v>
      </c>
      <c r="AF2407">
        <v>-1.7312097084368101</v>
      </c>
      <c r="AG2407">
        <v>-1.1074703704419999</v>
      </c>
      <c r="AH2407">
        <v>13.8408892654284</v>
      </c>
      <c r="AI2407">
        <v>94.539518084826497</v>
      </c>
      <c r="AJ2407">
        <v>97.129493904042803</v>
      </c>
      <c r="AK2407">
        <v>13.9926335381816</v>
      </c>
    </row>
    <row r="2408" spans="1:37" x14ac:dyDescent="0.2">
      <c r="A2408" t="str">
        <f>"20200111150641751"</f>
        <v>20200111150641751</v>
      </c>
      <c r="B2408" t="str">
        <f>"1578726401739580"</f>
        <v>1578726401739580</v>
      </c>
      <c r="C2408" t="s">
        <v>37</v>
      </c>
      <c r="D2408">
        <v>5.0028990000000002</v>
      </c>
      <c r="E2408">
        <v>0.47815779999999902</v>
      </c>
      <c r="F2408" t="s">
        <v>101</v>
      </c>
      <c r="G2408">
        <v>-256.39999999999998</v>
      </c>
      <c r="H2408" s="1">
        <v>-2.35128899999999E-6</v>
      </c>
      <c r="I2408">
        <v>-62.495359999999998</v>
      </c>
      <c r="J2408">
        <v>-270.30880000000002</v>
      </c>
      <c r="K2408">
        <v>1.1075999999999999</v>
      </c>
      <c r="L2408">
        <v>-62.02646</v>
      </c>
      <c r="M2408">
        <v>0.98772760000000004</v>
      </c>
      <c r="N2408">
        <v>0</v>
      </c>
      <c r="O2408">
        <v>-0.1556949</v>
      </c>
      <c r="P2408">
        <v>0.9849289</v>
      </c>
      <c r="Q2408">
        <v>0.14822109999999999</v>
      </c>
      <c r="R2408">
        <v>-8.9139220000000005E-2</v>
      </c>
      <c r="S2408">
        <v>3.0726619999999998</v>
      </c>
      <c r="T2408">
        <v>-0.24181</v>
      </c>
      <c r="U2408">
        <v>-0.1075134</v>
      </c>
      <c r="V2408">
        <v>-6.6925699999999894E-2</v>
      </c>
      <c r="W2408">
        <v>0.1597566</v>
      </c>
      <c r="X2408">
        <v>0.98488519999999902</v>
      </c>
      <c r="Y2408">
        <v>-0.1202212</v>
      </c>
      <c r="Z2408">
        <v>1.690697E-2</v>
      </c>
      <c r="AA2408">
        <v>0.99260309999999896</v>
      </c>
      <c r="AB2408">
        <v>30</v>
      </c>
      <c r="AC2408">
        <v>13.908799999999999</v>
      </c>
      <c r="AD2408">
        <v>-1.1076023512890001</v>
      </c>
      <c r="AE2408">
        <v>-0.46889999999999699</v>
      </c>
      <c r="AF2408">
        <v>-1.69179797557096</v>
      </c>
      <c r="AG2408">
        <v>-1.1076023512890001</v>
      </c>
      <c r="AH2408">
        <v>13.725230607439</v>
      </c>
      <c r="AI2408">
        <v>94.5791659149981</v>
      </c>
      <c r="AJ2408">
        <v>97.026941648134596</v>
      </c>
      <c r="AK2408">
        <v>13.8733888645171</v>
      </c>
    </row>
    <row r="2409" spans="1:37" x14ac:dyDescent="0.2">
      <c r="A2409" t="str">
        <f>"20200111150641764"</f>
        <v>20200111150641764</v>
      </c>
      <c r="B2409" t="str">
        <f>"1578726401759099"</f>
        <v>1578726401759099</v>
      </c>
      <c r="C2409" t="s">
        <v>37</v>
      </c>
      <c r="D2409">
        <v>4.987628</v>
      </c>
      <c r="E2409">
        <v>0.47834549999999998</v>
      </c>
      <c r="F2409" t="s">
        <v>101</v>
      </c>
      <c r="G2409">
        <v>-256.28120000000001</v>
      </c>
      <c r="H2409" s="1">
        <v>-2.30420099999999E-6</v>
      </c>
      <c r="I2409">
        <v>-62.512819999999998</v>
      </c>
      <c r="J2409">
        <v>-270.13319999999999</v>
      </c>
      <c r="K2409">
        <v>1.107723</v>
      </c>
      <c r="L2409">
        <v>-62.050750000000001</v>
      </c>
      <c r="M2409">
        <v>0.98824829999999997</v>
      </c>
      <c r="N2409">
        <v>0</v>
      </c>
      <c r="O2409">
        <v>-0.152354399999999</v>
      </c>
      <c r="P2409">
        <v>0.98504639999999999</v>
      </c>
      <c r="Q2409">
        <v>0.14830209999999999</v>
      </c>
      <c r="R2409">
        <v>-8.7693740000000006E-2</v>
      </c>
      <c r="S2409">
        <v>3.0727540000000002</v>
      </c>
      <c r="T2409">
        <v>-0.24261929999999901</v>
      </c>
      <c r="U2409">
        <v>-0.106536899999999</v>
      </c>
      <c r="V2409">
        <v>-6.5081810000000004E-2</v>
      </c>
      <c r="W2409">
        <v>0.1598465</v>
      </c>
      <c r="X2409">
        <v>0.98499409999999898</v>
      </c>
      <c r="Y2409">
        <v>-0.117194399999999</v>
      </c>
      <c r="Z2409">
        <v>1.6583219999999999E-2</v>
      </c>
      <c r="AA2409">
        <v>0.99297049999999998</v>
      </c>
      <c r="AB2409">
        <v>30</v>
      </c>
      <c r="AC2409">
        <v>13.851999999999901</v>
      </c>
      <c r="AD2409">
        <v>-1.107725304201</v>
      </c>
      <c r="AE2409">
        <v>-0.46206999999999698</v>
      </c>
      <c r="AF2409">
        <v>-1.64340230074922</v>
      </c>
      <c r="AG2409">
        <v>-1.107725304201</v>
      </c>
      <c r="AH2409">
        <v>13.6733261128579</v>
      </c>
      <c r="AI2409">
        <v>94.598669011947806</v>
      </c>
      <c r="AJ2409">
        <v>96.853526458501605</v>
      </c>
      <c r="AK2409">
        <v>13.8162105318439</v>
      </c>
    </row>
    <row r="2410" spans="1:37" x14ac:dyDescent="0.2">
      <c r="A2410" t="str">
        <f>"20200111150641777"</f>
        <v>20200111150641777</v>
      </c>
      <c r="B2410" t="str">
        <f>"1578726401768859"</f>
        <v>1578726401768859</v>
      </c>
      <c r="C2410" t="s">
        <v>37</v>
      </c>
      <c r="D2410">
        <v>5.0794969999999999</v>
      </c>
      <c r="E2410">
        <v>0.4785954</v>
      </c>
      <c r="F2410" t="s">
        <v>101</v>
      </c>
      <c r="G2410">
        <v>-256.16430000000003</v>
      </c>
      <c r="H2410" s="1">
        <v>-2.2558099999999999E-6</v>
      </c>
      <c r="I2410">
        <v>-62.520600000000002</v>
      </c>
      <c r="J2410">
        <v>-269.96910000000003</v>
      </c>
      <c r="K2410">
        <v>1.107826</v>
      </c>
      <c r="L2410">
        <v>-62.073</v>
      </c>
      <c r="M2410">
        <v>0.98872979999999999</v>
      </c>
      <c r="N2410">
        <v>0</v>
      </c>
      <c r="O2410">
        <v>-0.14919760000000001</v>
      </c>
      <c r="P2410">
        <v>0.98503609999999897</v>
      </c>
      <c r="Q2410">
        <v>0.1489201</v>
      </c>
      <c r="R2410">
        <v>-8.6758680000000005E-2</v>
      </c>
      <c r="S2410">
        <v>3.073029</v>
      </c>
      <c r="T2410">
        <v>-0.24368870000000001</v>
      </c>
      <c r="U2410">
        <v>-0.103363</v>
      </c>
      <c r="V2410">
        <v>-6.289815E-2</v>
      </c>
      <c r="W2410">
        <v>0.16047910000000001</v>
      </c>
      <c r="X2410">
        <v>0.98503320000000005</v>
      </c>
      <c r="Y2410">
        <v>-0.1150595</v>
      </c>
      <c r="Z2410">
        <v>1.6323239999999999E-2</v>
      </c>
      <c r="AA2410">
        <v>0.99322449999999995</v>
      </c>
      <c r="AB2410">
        <v>30</v>
      </c>
      <c r="AC2410">
        <v>13.8048</v>
      </c>
      <c r="AD2410">
        <v>-1.1078282558100001</v>
      </c>
      <c r="AE2410">
        <v>-0.447600000000001</v>
      </c>
      <c r="AF2410">
        <v>-1.60687428879252</v>
      </c>
      <c r="AG2410">
        <v>-1.1078282558100001</v>
      </c>
      <c r="AH2410">
        <v>13.629369814111399</v>
      </c>
      <c r="AI2410">
        <v>94.615099606834093</v>
      </c>
      <c r="AJ2410">
        <v>96.724013197045807</v>
      </c>
      <c r="AK2410">
        <v>13.768407676785399</v>
      </c>
    </row>
    <row r="2411" spans="1:37" x14ac:dyDescent="0.2">
      <c r="A2411" t="str">
        <f>"20200111150641794"</f>
        <v>20200111150641794</v>
      </c>
      <c r="B2411" t="str">
        <f>"1578726401789354"</f>
        <v>1578726401789354</v>
      </c>
      <c r="C2411" t="s">
        <v>37</v>
      </c>
      <c r="D2411">
        <v>5.0939489999999896</v>
      </c>
      <c r="E2411">
        <v>0.47897190000000001</v>
      </c>
      <c r="F2411" t="s">
        <v>101</v>
      </c>
      <c r="G2411">
        <v>-255.94810000000001</v>
      </c>
      <c r="H2411" s="1">
        <v>-2.1671419999999999E-6</v>
      </c>
      <c r="I2411">
        <v>-62.538989999999998</v>
      </c>
      <c r="J2411">
        <v>-269.74880000000002</v>
      </c>
      <c r="K2411">
        <v>1.1079399999999999</v>
      </c>
      <c r="L2411">
        <v>-62.101990000000001</v>
      </c>
      <c r="M2411">
        <v>0.98936900000000005</v>
      </c>
      <c r="N2411">
        <v>0</v>
      </c>
      <c r="O2411">
        <v>-0.14489749999999901</v>
      </c>
      <c r="P2411">
        <v>0.98481030000000003</v>
      </c>
      <c r="Q2411">
        <v>0.15052570000000001</v>
      </c>
      <c r="R2411">
        <v>-8.6549539999999994E-2</v>
      </c>
      <c r="S2411">
        <v>3.0733029999999899</v>
      </c>
      <c r="T2411">
        <v>-0.24282860000000001</v>
      </c>
      <c r="U2411">
        <v>-0.10214230000000001</v>
      </c>
      <c r="V2411">
        <v>-5.8842199999999997E-2</v>
      </c>
      <c r="W2411">
        <v>0.1621205</v>
      </c>
      <c r="X2411">
        <v>0.98501499999999997</v>
      </c>
      <c r="Y2411">
        <v>-0.1111684</v>
      </c>
      <c r="Z2411">
        <v>1.5775170000000002E-2</v>
      </c>
      <c r="AA2411">
        <v>0.99367640000000002</v>
      </c>
      <c r="AB2411">
        <v>30</v>
      </c>
      <c r="AC2411">
        <v>13.800700000000001</v>
      </c>
      <c r="AD2411">
        <v>-1.107942167142</v>
      </c>
      <c r="AE2411">
        <v>-0.437000000000004</v>
      </c>
      <c r="AF2411">
        <v>-1.55742537510642</v>
      </c>
      <c r="AG2411">
        <v>-1.107942167142</v>
      </c>
      <c r="AH2411">
        <v>13.6305962155754</v>
      </c>
      <c r="AI2411">
        <v>94.617073944036093</v>
      </c>
      <c r="AJ2411">
        <v>96.518320251039398</v>
      </c>
      <c r="AK2411">
        <v>13.763947937885201</v>
      </c>
    </row>
    <row r="2412" spans="1:37" x14ac:dyDescent="0.2">
      <c r="A2412" t="str">
        <f>"20200111150641805"</f>
        <v>20200111150641805</v>
      </c>
      <c r="B2412" t="str">
        <f>"1578726401799115"</f>
        <v>1578726401799115</v>
      </c>
      <c r="C2412" t="s">
        <v>37</v>
      </c>
      <c r="D2412">
        <v>5.0576980000000002</v>
      </c>
      <c r="E2412">
        <v>0.47912079999999901</v>
      </c>
      <c r="F2412" t="s">
        <v>101</v>
      </c>
      <c r="G2412">
        <v>-255.49189999999999</v>
      </c>
      <c r="H2412" s="1">
        <v>-1.98106699999999E-6</v>
      </c>
      <c r="I2412">
        <v>-62.582279999999997</v>
      </c>
      <c r="J2412">
        <v>-269.5822</v>
      </c>
      <c r="K2412">
        <v>1.1080049999999999</v>
      </c>
      <c r="L2412">
        <v>-62.123080000000002</v>
      </c>
      <c r="M2412">
        <v>0.98984589999999995</v>
      </c>
      <c r="N2412">
        <v>0</v>
      </c>
      <c r="O2412">
        <v>-0.1416029</v>
      </c>
      <c r="P2412">
        <v>0.9848382</v>
      </c>
      <c r="Q2412">
        <v>0.1513997</v>
      </c>
      <c r="R2412">
        <v>-8.4687769999999996E-2</v>
      </c>
      <c r="S2412">
        <v>3.073639</v>
      </c>
      <c r="T2412">
        <v>-0.2388612</v>
      </c>
      <c r="U2412">
        <v>-0.1035461</v>
      </c>
      <c r="V2412">
        <v>-5.7438210000000003E-2</v>
      </c>
      <c r="W2412">
        <v>0.1630055</v>
      </c>
      <c r="X2412">
        <v>0.98495180000000004</v>
      </c>
      <c r="Y2412">
        <v>-0.10745639999999899</v>
      </c>
      <c r="Z2412">
        <v>1.511906E-2</v>
      </c>
      <c r="AA2412">
        <v>0.99409479999999995</v>
      </c>
      <c r="AB2412">
        <v>30</v>
      </c>
      <c r="AC2412">
        <v>14.090299999999999</v>
      </c>
      <c r="AD2412">
        <v>-1.1080069810669999</v>
      </c>
      <c r="AE2412">
        <v>-0.459200000000002</v>
      </c>
      <c r="AF2412">
        <v>-1.53134925750039</v>
      </c>
      <c r="AG2412">
        <v>-1.1080069810669999</v>
      </c>
      <c r="AH2412">
        <v>13.9272967132693</v>
      </c>
      <c r="AI2412">
        <v>94.521535452889395</v>
      </c>
      <c r="AJ2412">
        <v>96.274642654733796</v>
      </c>
      <c r="AK2412">
        <v>14.0549743421317</v>
      </c>
    </row>
    <row r="2413" spans="1:37" x14ac:dyDescent="0.2">
      <c r="A2413" t="str">
        <f>"20200111150641817"</f>
        <v>20200111150641817</v>
      </c>
      <c r="B2413" t="str">
        <f>"1578726401808875"</f>
        <v>1578726401808875</v>
      </c>
      <c r="C2413" t="s">
        <v>37</v>
      </c>
      <c r="D2413">
        <v>5.1284640000000001</v>
      </c>
      <c r="E2413">
        <v>0.47939529999999902</v>
      </c>
      <c r="F2413" t="s">
        <v>101</v>
      </c>
      <c r="G2413">
        <v>-255.2182</v>
      </c>
      <c r="H2413" s="1">
        <v>-1.86399E-6</v>
      </c>
      <c r="I2413">
        <v>-62.583799999999997</v>
      </c>
      <c r="J2413">
        <v>-269.43540000000002</v>
      </c>
      <c r="K2413">
        <v>1.108052</v>
      </c>
      <c r="L2413">
        <v>-62.141269999999999</v>
      </c>
      <c r="M2413">
        <v>0.99025859999999899</v>
      </c>
      <c r="N2413">
        <v>0</v>
      </c>
      <c r="O2413">
        <v>-0.1386869</v>
      </c>
      <c r="P2413">
        <v>0.98489300000000002</v>
      </c>
      <c r="Q2413">
        <v>0.15228699999999901</v>
      </c>
      <c r="R2413">
        <v>-8.2432720000000001E-2</v>
      </c>
      <c r="S2413">
        <v>3.0741269999999998</v>
      </c>
      <c r="T2413">
        <v>-0.23713119999999999</v>
      </c>
      <c r="U2413">
        <v>-9.8602289999999995E-2</v>
      </c>
      <c r="V2413">
        <v>-5.6801740000000003E-2</v>
      </c>
      <c r="W2413">
        <v>0.16389599999999999</v>
      </c>
      <c r="X2413">
        <v>0.98484090000000002</v>
      </c>
      <c r="Y2413">
        <v>-0.1061539</v>
      </c>
      <c r="Z2413">
        <v>1.4735440000000001E-2</v>
      </c>
      <c r="AA2413">
        <v>0.99424049999999997</v>
      </c>
      <c r="AB2413">
        <v>30</v>
      </c>
      <c r="AC2413">
        <v>14.2172</v>
      </c>
      <c r="AD2413">
        <v>-1.1080538639899999</v>
      </c>
      <c r="AE2413">
        <v>-0.44252999999999698</v>
      </c>
      <c r="AF2413">
        <v>-1.5243876659064399</v>
      </c>
      <c r="AG2413">
        <v>-1.1080538639899999</v>
      </c>
      <c r="AH2413">
        <v>14.055869117341601</v>
      </c>
      <c r="AI2413">
        <v>94.481256744569606</v>
      </c>
      <c r="AJ2413">
        <v>96.189652519752897</v>
      </c>
      <c r="AK2413">
        <v>14.1816429853987</v>
      </c>
    </row>
    <row r="2414" spans="1:37" x14ac:dyDescent="0.2">
      <c r="A2414" t="str">
        <f>"20200111150641830"</f>
        <v>20200111150641830</v>
      </c>
      <c r="B2414" t="str">
        <f>"1578726401819613"</f>
        <v>1578726401819613</v>
      </c>
      <c r="C2414" t="s">
        <v>37</v>
      </c>
      <c r="D2414">
        <v>5.1131180000000001</v>
      </c>
      <c r="E2414">
        <v>0.47954960000000002</v>
      </c>
      <c r="F2414" t="s">
        <v>101</v>
      </c>
      <c r="G2414">
        <v>-254.9804</v>
      </c>
      <c r="H2414" s="1">
        <v>-1.7617799999999899E-6</v>
      </c>
      <c r="I2414">
        <v>-62.583030000000001</v>
      </c>
      <c r="J2414">
        <v>-269.25909999999999</v>
      </c>
      <c r="K2414">
        <v>1.1080939999999999</v>
      </c>
      <c r="L2414">
        <v>-62.162569999999903</v>
      </c>
      <c r="M2414">
        <v>0.99074479999999998</v>
      </c>
      <c r="N2414">
        <v>0</v>
      </c>
      <c r="O2414">
        <v>-0.13516989999999901</v>
      </c>
      <c r="P2414">
        <v>0.98505969999999998</v>
      </c>
      <c r="Q2414">
        <v>0.15292359999999999</v>
      </c>
      <c r="R2414">
        <v>-7.9196039999999995E-2</v>
      </c>
      <c r="S2414">
        <v>3.0746150000000001</v>
      </c>
      <c r="T2414">
        <v>-0.235685799999999</v>
      </c>
      <c r="U2414">
        <v>-9.3963619999999998E-2</v>
      </c>
      <c r="V2414">
        <v>-5.6552890000000001E-2</v>
      </c>
      <c r="W2414">
        <v>0.16453289999999901</v>
      </c>
      <c r="X2414">
        <v>0.98474899999999999</v>
      </c>
      <c r="Y2414">
        <v>-0.10415190000000001</v>
      </c>
      <c r="Z2414">
        <v>1.430063E-2</v>
      </c>
      <c r="AA2414">
        <v>0.99445859999999997</v>
      </c>
      <c r="AB2414">
        <v>30</v>
      </c>
      <c r="AC2414">
        <v>14.278699999999899</v>
      </c>
      <c r="AD2414">
        <v>-1.10809576178</v>
      </c>
      <c r="AE2414">
        <v>-0.42046000000001199</v>
      </c>
      <c r="AF2414">
        <v>-1.50454504097841</v>
      </c>
      <c r="AG2414">
        <v>-1.10809576178</v>
      </c>
      <c r="AH2414">
        <v>14.1195127761696</v>
      </c>
      <c r="AI2414">
        <v>94.462201775984298</v>
      </c>
      <c r="AJ2414">
        <v>96.082363954584906</v>
      </c>
      <c r="AK2414">
        <v>14.2426181944902</v>
      </c>
    </row>
    <row r="2415" spans="1:37" x14ac:dyDescent="0.2">
      <c r="A2415" t="str">
        <f>"20200111150641843"</f>
        <v>20200111150641843</v>
      </c>
      <c r="B2415" t="str">
        <f>"1578726401839132"</f>
        <v>1578726401839132</v>
      </c>
      <c r="C2415" t="s">
        <v>37</v>
      </c>
      <c r="D2415">
        <v>5.5785109999999998</v>
      </c>
      <c r="E2415">
        <v>0.47954960000000002</v>
      </c>
      <c r="F2415" t="s">
        <v>101</v>
      </c>
      <c r="G2415">
        <v>-254.59139999999999</v>
      </c>
      <c r="H2415" s="1">
        <v>-1.59174E-6</v>
      </c>
      <c r="I2415">
        <v>-62.568739999999998</v>
      </c>
      <c r="J2415">
        <v>-269.10120000000001</v>
      </c>
      <c r="K2415">
        <v>1.108117</v>
      </c>
      <c r="L2415">
        <v>-62.180909999999997</v>
      </c>
      <c r="M2415">
        <v>0.99116979999999999</v>
      </c>
      <c r="N2415">
        <v>0</v>
      </c>
      <c r="O2415">
        <v>-0.13201640000000001</v>
      </c>
      <c r="P2415">
        <v>0.98529859999999903</v>
      </c>
      <c r="Q2415">
        <v>0.15298100000000001</v>
      </c>
      <c r="R2415">
        <v>-7.6050590000000001E-2</v>
      </c>
      <c r="S2415">
        <v>3.0747070000000001</v>
      </c>
      <c r="T2415">
        <v>-0.232284299999999</v>
      </c>
      <c r="U2415">
        <v>-8.5144040000000004E-2</v>
      </c>
      <c r="V2415">
        <v>-5.657301E-2</v>
      </c>
      <c r="W2415">
        <v>0.1645894</v>
      </c>
      <c r="X2415">
        <v>0.98473849999999996</v>
      </c>
      <c r="Y2415">
        <v>-0.10386769999999999</v>
      </c>
      <c r="Z2415">
        <v>1.384874E-2</v>
      </c>
      <c r="AA2415">
        <v>0.99449469999999995</v>
      </c>
      <c r="AB2415">
        <v>30</v>
      </c>
      <c r="AC2415">
        <v>14.5098</v>
      </c>
      <c r="AD2415">
        <v>-1.10811859174</v>
      </c>
      <c r="AE2415">
        <v>-0.387830000000008</v>
      </c>
      <c r="AF2415">
        <v>-1.52237137489787</v>
      </c>
      <c r="AG2415">
        <v>-1.10811859174</v>
      </c>
      <c r="AH2415">
        <v>14.350349972708999</v>
      </c>
      <c r="AI2415">
        <v>94.391013623078507</v>
      </c>
      <c r="AJ2415">
        <v>96.055631254323799</v>
      </c>
      <c r="AK2415">
        <v>14.473357791324601</v>
      </c>
    </row>
    <row r="2416" spans="1:37" x14ac:dyDescent="0.2">
      <c r="A2416" t="str">
        <f>"20200111150641856"</f>
        <v>20200111150641856</v>
      </c>
      <c r="B2416" t="str">
        <f>"1578726401848891"</f>
        <v>1578726401848891</v>
      </c>
      <c r="C2416" t="s">
        <v>37</v>
      </c>
      <c r="D2416">
        <v>5.1395720000000003</v>
      </c>
      <c r="E2416">
        <v>0.44784979999999902</v>
      </c>
      <c r="F2416" t="s">
        <v>101</v>
      </c>
      <c r="G2416">
        <v>-254.42670000000001</v>
      </c>
      <c r="H2416" s="1">
        <v>-1.5151689999999999E-6</v>
      </c>
      <c r="I2416">
        <v>-62.54224</v>
      </c>
      <c r="J2416">
        <v>-268.92230000000001</v>
      </c>
      <c r="K2416">
        <v>1.1081319999999999</v>
      </c>
      <c r="L2416">
        <v>-62.201230000000002</v>
      </c>
      <c r="M2416">
        <v>0.99163899999999905</v>
      </c>
      <c r="N2416">
        <v>0</v>
      </c>
      <c r="O2416">
        <v>-0.12844439999999999</v>
      </c>
      <c r="P2416">
        <v>0.98558819999999903</v>
      </c>
      <c r="Q2416">
        <v>0.1531217</v>
      </c>
      <c r="R2416">
        <v>-7.1900720000000001E-2</v>
      </c>
      <c r="S2416">
        <v>3.074951</v>
      </c>
      <c r="T2416">
        <v>-0.23219819999999999</v>
      </c>
      <c r="U2416">
        <v>-7.5714110000000001E-2</v>
      </c>
      <c r="V2416">
        <v>-5.7180729999999999E-2</v>
      </c>
      <c r="W2416">
        <v>0.16472290000000001</v>
      </c>
      <c r="X2416">
        <v>0.98468099999999903</v>
      </c>
      <c r="Y2416">
        <v>-0.10334639999999901</v>
      </c>
      <c r="Z2416">
        <v>1.355656E-2</v>
      </c>
      <c r="AA2416">
        <v>0.99455300000000002</v>
      </c>
      <c r="AB2416">
        <v>30</v>
      </c>
      <c r="AC2416">
        <v>14.4955999999999</v>
      </c>
      <c r="AD2416">
        <v>-1.1081335151689999</v>
      </c>
      <c r="AE2416">
        <v>-0.34100999999999698</v>
      </c>
      <c r="AF2416">
        <v>-1.5149885400271601</v>
      </c>
      <c r="AG2416">
        <v>-1.1081335151689999</v>
      </c>
      <c r="AH2416">
        <v>14.3355832647398</v>
      </c>
      <c r="AI2416">
        <v>94.3957639479503</v>
      </c>
      <c r="AJ2416">
        <v>96.032642697827697</v>
      </c>
      <c r="AK2416">
        <v>14.457942374492401</v>
      </c>
    </row>
    <row r="2417" spans="1:37" x14ac:dyDescent="0.2">
      <c r="A2417" t="str">
        <f>"20200111150641868"</f>
        <v>20200111150641868</v>
      </c>
      <c r="B2417" t="str">
        <f>"1578726401859628"</f>
        <v>1578726401859628</v>
      </c>
      <c r="C2417" t="s">
        <v>37</v>
      </c>
      <c r="D2417">
        <v>5.1788869999999996</v>
      </c>
      <c r="E2417">
        <v>0.44160870000000002</v>
      </c>
      <c r="F2417" t="s">
        <v>76</v>
      </c>
      <c r="G2417">
        <v>-157.9383</v>
      </c>
      <c r="H2417">
        <v>28.93779</v>
      </c>
      <c r="I2417">
        <v>-54.549419999999998</v>
      </c>
      <c r="J2417">
        <v>-268.7543</v>
      </c>
      <c r="K2417">
        <v>1.1081299999999901</v>
      </c>
      <c r="L2417">
        <v>-62.219729999999998</v>
      </c>
      <c r="M2417">
        <v>0.99206629999999996</v>
      </c>
      <c r="N2417">
        <v>0</v>
      </c>
      <c r="O2417">
        <v>-0.12510009999999999</v>
      </c>
      <c r="P2417">
        <v>0.98584879999999997</v>
      </c>
      <c r="Q2417">
        <v>0.15308389999999999</v>
      </c>
      <c r="R2417">
        <v>-6.8320720000000001E-2</v>
      </c>
      <c r="S2417">
        <v>2.9439700000000002</v>
      </c>
      <c r="T2417">
        <v>0.73821040000000004</v>
      </c>
      <c r="U2417">
        <v>0.2029724</v>
      </c>
      <c r="V2417">
        <v>-5.7441230000000003E-2</v>
      </c>
      <c r="W2417">
        <v>0.16468339999999901</v>
      </c>
      <c r="X2417">
        <v>0.98467249999999995</v>
      </c>
      <c r="Y2417">
        <v>-0.18353839999999999</v>
      </c>
      <c r="Z2417">
        <v>-5.3464490000000003E-2</v>
      </c>
      <c r="AA2417">
        <v>0.98155749999999997</v>
      </c>
      <c r="AB2417">
        <v>30</v>
      </c>
      <c r="AC2417">
        <v>110.816</v>
      </c>
      <c r="AD2417">
        <v>27.829660000000001</v>
      </c>
      <c r="AE2417">
        <v>7.6703099999999997</v>
      </c>
      <c r="AF2417">
        <v>-20.205930191260599</v>
      </c>
      <c r="AG2417">
        <v>27.829660000000001</v>
      </c>
      <c r="AH2417">
        <v>102.548932868441</v>
      </c>
      <c r="AI2417">
        <v>75.090340658161594</v>
      </c>
      <c r="AJ2417">
        <v>101.146599875181</v>
      </c>
      <c r="AK2417">
        <v>108.16216169745201</v>
      </c>
    </row>
    <row r="2418" spans="1:37" x14ac:dyDescent="0.2">
      <c r="A2418" t="str">
        <f>"20200111150641883"</f>
        <v>20200111150641883</v>
      </c>
      <c r="B2418" t="str">
        <f>"1578726401879147"</f>
        <v>1578726401879147</v>
      </c>
      <c r="C2418" t="s">
        <v>37</v>
      </c>
      <c r="D2418">
        <v>5.04101</v>
      </c>
      <c r="E2418">
        <v>0.43537740000000003</v>
      </c>
      <c r="F2418" t="s">
        <v>76</v>
      </c>
      <c r="G2418">
        <v>-157.93819999999999</v>
      </c>
      <c r="H2418">
        <v>29.50975</v>
      </c>
      <c r="I2418">
        <v>-52.296520000000001</v>
      </c>
      <c r="J2418">
        <v>-268.56720000000001</v>
      </c>
      <c r="K2418">
        <v>1.108117</v>
      </c>
      <c r="L2418">
        <v>-62.239530000000002</v>
      </c>
      <c r="M2418">
        <v>0.99252589999999996</v>
      </c>
      <c r="N2418">
        <v>0</v>
      </c>
      <c r="O2418">
        <v>-0.1214008</v>
      </c>
      <c r="P2418">
        <v>0.98629049999999996</v>
      </c>
      <c r="Q2418">
        <v>0.15220839999999999</v>
      </c>
      <c r="R2418">
        <v>-6.3747059999999994E-2</v>
      </c>
      <c r="S2418">
        <v>2.9441830000000002</v>
      </c>
      <c r="T2418">
        <v>0.75457929999999995</v>
      </c>
      <c r="U2418">
        <v>0.26364140000000003</v>
      </c>
      <c r="V2418">
        <v>-5.8344340000000001E-2</v>
      </c>
      <c r="W2418">
        <v>0.163801</v>
      </c>
      <c r="X2418">
        <v>0.98476649999999999</v>
      </c>
      <c r="Y2418">
        <v>-0.19916210000000001</v>
      </c>
      <c r="Z2418">
        <v>-5.5615310000000001E-2</v>
      </c>
      <c r="AA2418">
        <v>0.97838709999999995</v>
      </c>
      <c r="AB2418">
        <v>30</v>
      </c>
      <c r="AC2418">
        <v>110.629</v>
      </c>
      <c r="AD2418">
        <v>28.401633</v>
      </c>
      <c r="AE2418">
        <v>9.9430099999999992</v>
      </c>
      <c r="AF2418">
        <v>-21.8709837593039</v>
      </c>
      <c r="AG2418">
        <v>28.401633</v>
      </c>
      <c r="AH2418">
        <v>101.93854133809999</v>
      </c>
      <c r="AI2418">
        <v>74.761489201773799</v>
      </c>
      <c r="AJ2418">
        <v>102.109271418018</v>
      </c>
      <c r="AK2418">
        <v>108.05766468791499</v>
      </c>
    </row>
    <row r="2419" spans="1:37" x14ac:dyDescent="0.2">
      <c r="A2419" t="str">
        <f>"20200111150641894"</f>
        <v>20200111150641894</v>
      </c>
      <c r="B2419" t="str">
        <f>"1578726401888907"</f>
        <v>1578726401888907</v>
      </c>
      <c r="C2419" t="s">
        <v>37</v>
      </c>
      <c r="D2419">
        <v>5.0823729999999996</v>
      </c>
      <c r="E2419">
        <v>0.43879119999999999</v>
      </c>
      <c r="F2419" t="s">
        <v>76</v>
      </c>
      <c r="G2419">
        <v>-157.3501</v>
      </c>
      <c r="H2419">
        <v>32.235900000000001</v>
      </c>
      <c r="I2419">
        <v>-49.826439999999998</v>
      </c>
      <c r="J2419">
        <v>-268.4135</v>
      </c>
      <c r="K2419">
        <v>1.108101</v>
      </c>
      <c r="L2419">
        <v>-62.255490000000002</v>
      </c>
      <c r="M2419">
        <v>0.99289139999999998</v>
      </c>
      <c r="N2419">
        <v>0</v>
      </c>
      <c r="O2419">
        <v>-0.11837399999999999</v>
      </c>
      <c r="P2419">
        <v>0.98666690000000001</v>
      </c>
      <c r="Q2419">
        <v>0.1511856</v>
      </c>
      <c r="R2419">
        <v>-6.0262410000000002E-2</v>
      </c>
      <c r="S2419">
        <v>2.9360659999999998</v>
      </c>
      <c r="T2419">
        <v>0.82175370000000003</v>
      </c>
      <c r="U2419">
        <v>0.32769779999999998</v>
      </c>
      <c r="V2419">
        <v>-5.882544E-2</v>
      </c>
      <c r="W2419">
        <v>0.16277639999999999</v>
      </c>
      <c r="X2419">
        <v>0.9849078</v>
      </c>
      <c r="Y2419">
        <v>-0.21510749999999901</v>
      </c>
      <c r="Z2419">
        <v>-6.185645E-2</v>
      </c>
      <c r="AA2419">
        <v>0.97462950000000004</v>
      </c>
      <c r="AB2419">
        <v>30</v>
      </c>
      <c r="AC2419">
        <v>111.0634</v>
      </c>
      <c r="AD2419">
        <v>31.127799</v>
      </c>
      <c r="AE2419">
        <v>12.429049999999901</v>
      </c>
      <c r="AF2419">
        <v>-23.654561419930602</v>
      </c>
      <c r="AG2419">
        <v>31.127799</v>
      </c>
      <c r="AH2419">
        <v>100.977201800336</v>
      </c>
      <c r="AI2419">
        <v>73.293379529437402</v>
      </c>
      <c r="AJ2419">
        <v>103.18417213788899</v>
      </c>
      <c r="AK2419">
        <v>108.28145469091</v>
      </c>
    </row>
    <row r="2420" spans="1:37" x14ac:dyDescent="0.2">
      <c r="A2420" t="str">
        <f>"20200111150641906"</f>
        <v>20200111150641906</v>
      </c>
      <c r="B2420" t="str">
        <f>"1578726401898667"</f>
        <v>1578726401898667</v>
      </c>
      <c r="C2420" t="s">
        <v>37</v>
      </c>
      <c r="D2420">
        <v>4.9866510000000002</v>
      </c>
      <c r="E2420">
        <v>0.43879119999999999</v>
      </c>
      <c r="F2420" t="s">
        <v>76</v>
      </c>
      <c r="G2420">
        <v>-157.3501</v>
      </c>
      <c r="H2420">
        <v>32.369859999999903</v>
      </c>
      <c r="I2420">
        <v>-50.482120000000002</v>
      </c>
      <c r="J2420">
        <v>-268.25880000000001</v>
      </c>
      <c r="K2420">
        <v>1.1080749999999999</v>
      </c>
      <c r="L2420">
        <v>-62.270899999999997</v>
      </c>
      <c r="M2420">
        <v>0.99324579999999996</v>
      </c>
      <c r="N2420">
        <v>0</v>
      </c>
      <c r="O2420">
        <v>-0.1153617</v>
      </c>
      <c r="P2420">
        <v>0.98709279999999999</v>
      </c>
      <c r="Q2420">
        <v>0.14975869999999999</v>
      </c>
      <c r="R2420">
        <v>-5.6747909999999999E-2</v>
      </c>
      <c r="S2420">
        <v>2.9329830000000001</v>
      </c>
      <c r="T2420">
        <v>0.82556549999999995</v>
      </c>
      <c r="U2420">
        <v>0.3109131</v>
      </c>
      <c r="V2420">
        <v>-5.9347669999999998E-2</v>
      </c>
      <c r="W2420">
        <v>0.16134879999999999</v>
      </c>
      <c r="X2420">
        <v>0.98511139999999997</v>
      </c>
      <c r="Y2420">
        <v>-0.20702390000000001</v>
      </c>
      <c r="Z2420">
        <v>-6.0269959999999997E-2</v>
      </c>
      <c r="AA2420">
        <v>0.9764777</v>
      </c>
      <c r="AB2420">
        <v>30</v>
      </c>
      <c r="AC2420">
        <v>110.9087</v>
      </c>
      <c r="AD2420">
        <v>31.2617849999999</v>
      </c>
      <c r="AE2420">
        <v>11.7887799999999</v>
      </c>
      <c r="AF2420">
        <v>-22.720665300679801</v>
      </c>
      <c r="AG2420">
        <v>31.2617849999999</v>
      </c>
      <c r="AH2420">
        <v>100.882421862855</v>
      </c>
      <c r="AI2420">
        <v>73.179353615456407</v>
      </c>
      <c r="AJ2420">
        <v>102.692340750255</v>
      </c>
      <c r="AK2420">
        <v>108.03143465680201</v>
      </c>
    </row>
    <row r="2421" spans="1:37" x14ac:dyDescent="0.2">
      <c r="A2421" t="str">
        <f>"20200111150641917"</f>
        <v>20200111150641917</v>
      </c>
      <c r="B2421" t="str">
        <f>"1578726401909403"</f>
        <v>1578726401909403</v>
      </c>
      <c r="C2421" t="s">
        <v>37</v>
      </c>
      <c r="D2421">
        <v>4.9865190000000004</v>
      </c>
      <c r="E2421">
        <v>0.461750299999999</v>
      </c>
      <c r="F2421" t="s">
        <v>76</v>
      </c>
      <c r="G2421">
        <v>-157.3501</v>
      </c>
      <c r="H2421">
        <v>32.169490000000003</v>
      </c>
      <c r="I2421">
        <v>-50.120669999999997</v>
      </c>
      <c r="J2421">
        <v>-268.11849999999998</v>
      </c>
      <c r="K2421">
        <v>1.1080449999999999</v>
      </c>
      <c r="L2421">
        <v>-62.284579999999998</v>
      </c>
      <c r="M2421">
        <v>0.99355700000000002</v>
      </c>
      <c r="N2421">
        <v>0</v>
      </c>
      <c r="O2421">
        <v>-0.1126499</v>
      </c>
      <c r="P2421">
        <v>0.987465699999999</v>
      </c>
      <c r="Q2421">
        <v>0.14844579999999999</v>
      </c>
      <c r="R2421">
        <v>-5.3620849999999998E-2</v>
      </c>
      <c r="S2421">
        <v>2.93304399999999</v>
      </c>
      <c r="T2421">
        <v>0.8214359</v>
      </c>
      <c r="U2421">
        <v>0.32131959999999998</v>
      </c>
      <c r="V2421">
        <v>-5.9778209999999998E-2</v>
      </c>
      <c r="W2421">
        <v>0.16003619999999999</v>
      </c>
      <c r="X2421">
        <v>0.98529949999999999</v>
      </c>
      <c r="Y2421">
        <v>-0.2079772</v>
      </c>
      <c r="Z2421">
        <v>-5.9358220000000003E-2</v>
      </c>
      <c r="AA2421">
        <v>0.9763309</v>
      </c>
      <c r="AB2421">
        <v>30</v>
      </c>
      <c r="AC2421">
        <v>110.7684</v>
      </c>
      <c r="AD2421">
        <v>31.061444999999999</v>
      </c>
      <c r="AE2421">
        <v>12.16391</v>
      </c>
      <c r="AF2421">
        <v>-22.794420796021601</v>
      </c>
      <c r="AG2421">
        <v>31.061444999999999</v>
      </c>
      <c r="AH2421">
        <v>100.85657326012701</v>
      </c>
      <c r="AI2421">
        <v>73.279743531492997</v>
      </c>
      <c r="AJ2421">
        <v>102.735358180693</v>
      </c>
      <c r="AK2421">
        <v>107.965028387388</v>
      </c>
    </row>
    <row r="2422" spans="1:37" x14ac:dyDescent="0.2">
      <c r="A2422" t="str">
        <f>"20200111150641927"</f>
        <v>20200111150641927</v>
      </c>
      <c r="B2422" t="str">
        <f>"1578726401919164"</f>
        <v>1578726401919164</v>
      </c>
      <c r="C2422" t="s">
        <v>37</v>
      </c>
      <c r="D2422">
        <v>4.9402359999999996</v>
      </c>
      <c r="E2422">
        <v>0.46184940000000002</v>
      </c>
      <c r="F2422" t="s">
        <v>101</v>
      </c>
      <c r="G2422">
        <v>-254.38140000000001</v>
      </c>
      <c r="H2422" s="1">
        <v>-1.3033760000000001E-6</v>
      </c>
      <c r="I2422">
        <v>-61.676990000000004</v>
      </c>
      <c r="J2422">
        <v>-267.96629999999999</v>
      </c>
      <c r="K2422">
        <v>1.108009</v>
      </c>
      <c r="L2422">
        <v>-62.29898</v>
      </c>
      <c r="M2422">
        <v>0.99388299999999996</v>
      </c>
      <c r="N2422">
        <v>0</v>
      </c>
      <c r="O2422">
        <v>-0.1097366</v>
      </c>
      <c r="P2422">
        <v>0.98793330000000001</v>
      </c>
      <c r="Q2422">
        <v>0.14650009999999999</v>
      </c>
      <c r="R2422">
        <v>-5.025657E-2</v>
      </c>
      <c r="S2422">
        <v>3.0828250000000001</v>
      </c>
      <c r="T2422">
        <v>-0.24866439999999901</v>
      </c>
      <c r="U2422">
        <v>0.13635249999999999</v>
      </c>
      <c r="V2422">
        <v>-6.0245529999999999E-2</v>
      </c>
      <c r="W2422">
        <v>0.15809189999999901</v>
      </c>
      <c r="X2422">
        <v>0.98558480000000004</v>
      </c>
      <c r="Y2422">
        <v>-0.1527068</v>
      </c>
      <c r="Z2422">
        <v>1.497126E-2</v>
      </c>
      <c r="AA2422">
        <v>0.98815810000000004</v>
      </c>
      <c r="AB2422">
        <v>30</v>
      </c>
      <c r="AC2422">
        <v>13.5848999999999</v>
      </c>
      <c r="AD2422">
        <v>-1.10801030337599</v>
      </c>
      <c r="AE2422">
        <v>0.62199000000000304</v>
      </c>
      <c r="AF2422">
        <v>-2.0952000834551101</v>
      </c>
      <c r="AG2422">
        <v>-1.10801030337599</v>
      </c>
      <c r="AH2422">
        <v>13.345987322734601</v>
      </c>
      <c r="AI2422">
        <v>94.688757540197997</v>
      </c>
      <c r="AJ2422">
        <v>98.9220995937428</v>
      </c>
      <c r="AK2422">
        <v>13.554811981015799</v>
      </c>
    </row>
    <row r="2423" spans="1:37" x14ac:dyDescent="0.2">
      <c r="A2423" t="str">
        <f>"20200111150641940"</f>
        <v>20200111150641940</v>
      </c>
      <c r="B2423" t="str">
        <f>"1578726401928923"</f>
        <v>1578726401928923</v>
      </c>
      <c r="C2423" t="s">
        <v>37</v>
      </c>
      <c r="D2423">
        <v>4.9120999999999997</v>
      </c>
      <c r="E2423">
        <v>0.46197769999999999</v>
      </c>
      <c r="F2423" t="s">
        <v>101</v>
      </c>
      <c r="G2423">
        <v>-254.3109</v>
      </c>
      <c r="H2423" s="1">
        <v>-1.267355E-6</v>
      </c>
      <c r="I2423">
        <v>-61.651130000000002</v>
      </c>
      <c r="J2423">
        <v>-267.81599999999997</v>
      </c>
      <c r="K2423">
        <v>1.1079680000000001</v>
      </c>
      <c r="L2423">
        <v>-62.312739999999998</v>
      </c>
      <c r="M2423">
        <v>0.99419249999999904</v>
      </c>
      <c r="N2423">
        <v>0</v>
      </c>
      <c r="O2423">
        <v>-0.1068963</v>
      </c>
      <c r="P2423">
        <v>0.98825689999999999</v>
      </c>
      <c r="Q2423">
        <v>0.14537079999999999</v>
      </c>
      <c r="R2423">
        <v>-4.7066490000000002E-2</v>
      </c>
      <c r="S2423">
        <v>3.0811769999999998</v>
      </c>
      <c r="T2423">
        <v>-0.25000860000000003</v>
      </c>
      <c r="U2423">
        <v>0.14617920000000001</v>
      </c>
      <c r="V2423">
        <v>-6.0604329999999998E-2</v>
      </c>
      <c r="W2423">
        <v>0.15696460000000001</v>
      </c>
      <c r="X2423">
        <v>0.98574300000000004</v>
      </c>
      <c r="Y2423">
        <v>-0.15304970000000001</v>
      </c>
      <c r="Z2423">
        <v>1.484388E-2</v>
      </c>
      <c r="AA2423">
        <v>0.98810699999999996</v>
      </c>
      <c r="AB2423">
        <v>30</v>
      </c>
      <c r="AC2423">
        <v>13.505099999999899</v>
      </c>
      <c r="AD2423">
        <v>-1.1079692673549999</v>
      </c>
      <c r="AE2423">
        <v>0.66161000000000303</v>
      </c>
      <c r="AF2423">
        <v>-2.0875581521642301</v>
      </c>
      <c r="AG2423">
        <v>-1.1079692673549999</v>
      </c>
      <c r="AH2423">
        <v>13.267888746604701</v>
      </c>
      <c r="AI2423">
        <v>94.715808219927297</v>
      </c>
      <c r="AJ2423">
        <v>98.941564707296493</v>
      </c>
      <c r="AK2423">
        <v>13.476734275348299</v>
      </c>
    </row>
    <row r="2424" spans="1:37" x14ac:dyDescent="0.2">
      <c r="A2424" t="str">
        <f>"20200111150641962"</f>
        <v>20200111150641962</v>
      </c>
      <c r="B2424" t="str">
        <f>"1578726401959179"</f>
        <v>1578726401959179</v>
      </c>
      <c r="C2424" t="s">
        <v>37</v>
      </c>
      <c r="D2424">
        <v>4.9860860000000002</v>
      </c>
      <c r="E2424">
        <v>0.46407670000000001</v>
      </c>
      <c r="F2424" t="s">
        <v>101</v>
      </c>
      <c r="G2424">
        <v>-254.09119999999999</v>
      </c>
      <c r="H2424" s="1">
        <v>-1.1664740000000001E-6</v>
      </c>
      <c r="I2424">
        <v>-61.621290000000002</v>
      </c>
      <c r="J2424">
        <v>-267.52809999999999</v>
      </c>
      <c r="K2424">
        <v>1.1078840000000001</v>
      </c>
      <c r="L2424">
        <v>-62.338039999999999</v>
      </c>
      <c r="M2424">
        <v>0.99475349999999996</v>
      </c>
      <c r="N2424">
        <v>0</v>
      </c>
      <c r="O2424">
        <v>-0.10154539999999999</v>
      </c>
      <c r="P2424">
        <v>0.98874599999999901</v>
      </c>
      <c r="Q2424">
        <v>0.14357110000000001</v>
      </c>
      <c r="R2424">
        <v>-4.2060309999999997E-2</v>
      </c>
      <c r="S2424">
        <v>3.0796199999999998</v>
      </c>
      <c r="T2424">
        <v>-0.24860969999999999</v>
      </c>
      <c r="U2424">
        <v>0.15515139999999999</v>
      </c>
      <c r="V2424">
        <v>-6.0269469999999999E-2</v>
      </c>
      <c r="W2424">
        <v>0.1551805</v>
      </c>
      <c r="X2424">
        <v>0.98604599999999898</v>
      </c>
      <c r="Y2424">
        <v>-0.15066199999999999</v>
      </c>
      <c r="Z2424">
        <v>1.424183E-2</v>
      </c>
      <c r="AA2424">
        <v>0.98848269999999905</v>
      </c>
      <c r="AB2424">
        <v>30</v>
      </c>
      <c r="AC2424">
        <v>13.4369</v>
      </c>
      <c r="AD2424">
        <v>-1.1078851664739999</v>
      </c>
      <c r="AE2424">
        <v>0.716749999999997</v>
      </c>
      <c r="AF2424">
        <v>-2.0636159584050402</v>
      </c>
      <c r="AG2424">
        <v>-1.1078851664739999</v>
      </c>
      <c r="AH2424">
        <v>13.2051285453745</v>
      </c>
      <c r="AI2424">
        <v>94.738530277965097</v>
      </c>
      <c r="AJ2424">
        <v>98.881991731529396</v>
      </c>
      <c r="AK2424">
        <v>13.4112393262421</v>
      </c>
    </row>
    <row r="2425" spans="1:37" x14ac:dyDescent="0.2">
      <c r="A2425" t="str">
        <f>"20200111150641973"</f>
        <v>20200111150641973</v>
      </c>
      <c r="B2425" t="str">
        <f>"1578726401968939"</f>
        <v>1578726401968939</v>
      </c>
      <c r="C2425" t="s">
        <v>37</v>
      </c>
      <c r="D2425">
        <v>4.8881839999999999</v>
      </c>
      <c r="E2425">
        <v>0.46464749999999999</v>
      </c>
      <c r="F2425" t="s">
        <v>101</v>
      </c>
      <c r="G2425">
        <v>-254.5513</v>
      </c>
      <c r="H2425" s="1">
        <v>-1.378468E-6</v>
      </c>
      <c r="I2425">
        <v>-61.687069999999999</v>
      </c>
      <c r="J2425">
        <v>-267.36989999999997</v>
      </c>
      <c r="K2425">
        <v>1.1078349999999999</v>
      </c>
      <c r="L2425">
        <v>-62.351439999999997</v>
      </c>
      <c r="M2425">
        <v>0.99504479999999995</v>
      </c>
      <c r="N2425">
        <v>0</v>
      </c>
      <c r="O2425">
        <v>-9.8648589999999994E-2</v>
      </c>
      <c r="P2425">
        <v>0.9888226</v>
      </c>
      <c r="Q2425">
        <v>0.14363010000000001</v>
      </c>
      <c r="R2425">
        <v>-4.0000790000000001E-2</v>
      </c>
      <c r="S2425">
        <v>3.0788880000000001</v>
      </c>
      <c r="T2425">
        <v>-0.2628568</v>
      </c>
      <c r="U2425">
        <v>0.15444949999999999</v>
      </c>
      <c r="V2425">
        <v>-5.9432760000000001E-2</v>
      </c>
      <c r="W2425">
        <v>0.155254</v>
      </c>
      <c r="X2425">
        <v>0.986085199999999</v>
      </c>
      <c r="Y2425">
        <v>-0.1474955</v>
      </c>
      <c r="Z2425">
        <v>1.46778E-2</v>
      </c>
      <c r="AA2425">
        <v>0.98895379999999999</v>
      </c>
      <c r="AB2425">
        <v>30</v>
      </c>
      <c r="AC2425">
        <v>12.818599999999901</v>
      </c>
      <c r="AD2425">
        <v>-1.1078363784680001</v>
      </c>
      <c r="AE2425">
        <v>0.66437000000000501</v>
      </c>
      <c r="AF2425">
        <v>-1.9115241354574499</v>
      </c>
      <c r="AG2425">
        <v>-1.1078363784680001</v>
      </c>
      <c r="AH2425">
        <v>12.596686989386001</v>
      </c>
      <c r="AI2425">
        <v>94.969438661188306</v>
      </c>
      <c r="AJ2425">
        <v>98.628698810096793</v>
      </c>
      <c r="AK2425">
        <v>12.7889698205313</v>
      </c>
    </row>
    <row r="2426" spans="1:37" x14ac:dyDescent="0.2">
      <c r="A2426" t="str">
        <f>"20200111150641984"</f>
        <v>20200111150641984</v>
      </c>
      <c r="B2426" t="str">
        <f>"1578726401978699"</f>
        <v>1578726401978699</v>
      </c>
      <c r="C2426" t="s">
        <v>37</v>
      </c>
      <c r="D2426">
        <v>4.8702120000000004</v>
      </c>
      <c r="E2426">
        <v>0.46499589999999902</v>
      </c>
      <c r="F2426" t="s">
        <v>101</v>
      </c>
      <c r="G2426">
        <v>-254.327</v>
      </c>
      <c r="H2426" s="1">
        <v>-1.282302E-6</v>
      </c>
      <c r="I2426">
        <v>-61.6873199999999</v>
      </c>
      <c r="J2426">
        <v>-267.22539999999998</v>
      </c>
      <c r="K2426">
        <v>1.1077900000000001</v>
      </c>
      <c r="L2426">
        <v>-62.363129999999998</v>
      </c>
      <c r="M2426">
        <v>0.99529880000000004</v>
      </c>
      <c r="N2426">
        <v>0</v>
      </c>
      <c r="O2426">
        <v>-9.6054039999999993E-2</v>
      </c>
      <c r="P2426">
        <v>0.98890049999999996</v>
      </c>
      <c r="Q2426">
        <v>0.14350579999999999</v>
      </c>
      <c r="R2426">
        <v>-3.8498860000000003E-2</v>
      </c>
      <c r="S2426">
        <v>3.0782470000000002</v>
      </c>
      <c r="T2426">
        <v>-0.26145839999999998</v>
      </c>
      <c r="U2426">
        <v>0.156738299999999</v>
      </c>
      <c r="V2426">
        <v>-5.8341440000000001E-2</v>
      </c>
      <c r="W2426">
        <v>0.1551466</v>
      </c>
      <c r="X2426">
        <v>0.98616729999999997</v>
      </c>
      <c r="Y2426">
        <v>-0.1456857</v>
      </c>
      <c r="Z2426">
        <v>1.430681E-2</v>
      </c>
      <c r="AA2426">
        <v>0.98922749999999904</v>
      </c>
      <c r="AB2426">
        <v>30</v>
      </c>
      <c r="AC2426">
        <v>12.898399999999899</v>
      </c>
      <c r="AD2426">
        <v>-1.107791282302</v>
      </c>
      <c r="AE2426">
        <v>0.67581000000001201</v>
      </c>
      <c r="AF2426">
        <v>-1.8977631161422199</v>
      </c>
      <c r="AG2426">
        <v>-1.107791282302</v>
      </c>
      <c r="AH2426">
        <v>12.6805501943959</v>
      </c>
      <c r="AI2426">
        <v>94.938048299691303</v>
      </c>
      <c r="AJ2426">
        <v>98.511677293004894</v>
      </c>
      <c r="AK2426">
        <v>12.869539991885</v>
      </c>
    </row>
    <row r="2427" spans="1:37" x14ac:dyDescent="0.2">
      <c r="A2427" t="str">
        <f>"20200111150641995"</f>
        <v>20200111150641995</v>
      </c>
      <c r="B2427" t="str">
        <f>"1578726401989435"</f>
        <v>1578726401989435</v>
      </c>
      <c r="C2427" t="s">
        <v>37</v>
      </c>
      <c r="D2427">
        <v>4.7926710000000003</v>
      </c>
      <c r="E2427">
        <v>0.46597369999999999</v>
      </c>
      <c r="F2427" t="s">
        <v>101</v>
      </c>
      <c r="G2427">
        <v>-254.1808</v>
      </c>
      <c r="H2427" s="1">
        <v>-1.219957E-6</v>
      </c>
      <c r="I2427">
        <v>-61.688869999999902</v>
      </c>
      <c r="J2427">
        <v>-267.08519999999999</v>
      </c>
      <c r="K2427">
        <v>1.10775</v>
      </c>
      <c r="L2427">
        <v>-62.374299999999998</v>
      </c>
      <c r="M2427">
        <v>0.99553749999999996</v>
      </c>
      <c r="N2427">
        <v>0</v>
      </c>
      <c r="O2427">
        <v>-9.3547469999999994E-2</v>
      </c>
      <c r="P2427">
        <v>0.98886749999999901</v>
      </c>
      <c r="Q2427">
        <v>0.14395479999999899</v>
      </c>
      <c r="R2427">
        <v>-3.7658909999999997E-2</v>
      </c>
      <c r="S2427">
        <v>3.0777890000000001</v>
      </c>
      <c r="T2427">
        <v>-0.26137630000000001</v>
      </c>
      <c r="U2427">
        <v>0.15908810000000001</v>
      </c>
      <c r="V2427">
        <v>-5.6675290000000003E-2</v>
      </c>
      <c r="W2427">
        <v>0.15561759999999999</v>
      </c>
      <c r="X2427">
        <v>0.98619020000000002</v>
      </c>
      <c r="Y2427">
        <v>-0.14397070000000001</v>
      </c>
      <c r="Z2427">
        <v>1.4019709999999999E-2</v>
      </c>
      <c r="AA2427">
        <v>0.98948259999999899</v>
      </c>
      <c r="AB2427">
        <v>30</v>
      </c>
      <c r="AC2427">
        <v>12.9043999999999</v>
      </c>
      <c r="AD2427">
        <v>-1.1077512199570001</v>
      </c>
      <c r="AE2427">
        <v>0.68543000000000298</v>
      </c>
      <c r="AF2427">
        <v>-1.8759060417326201</v>
      </c>
      <c r="AG2427">
        <v>-1.1077512199570001</v>
      </c>
      <c r="AH2427">
        <v>12.6904252681685</v>
      </c>
      <c r="AI2427">
        <v>94.935361078636802</v>
      </c>
      <c r="AJ2427">
        <v>98.408603034742697</v>
      </c>
      <c r="AK2427">
        <v>12.876064217364499</v>
      </c>
    </row>
    <row r="2428" spans="1:37" x14ac:dyDescent="0.2">
      <c r="A2428" t="str">
        <f>"20200111150642007"</f>
        <v>20200111150642007</v>
      </c>
      <c r="B2428" t="str">
        <f>"1578726401999196"</f>
        <v>1578726401999196</v>
      </c>
      <c r="C2428" t="s">
        <v>37</v>
      </c>
      <c r="D2428">
        <v>4.8180079999999998</v>
      </c>
      <c r="E2428">
        <v>0.46666800000000003</v>
      </c>
      <c r="F2428" t="s">
        <v>101</v>
      </c>
      <c r="G2428">
        <v>-253.63720000000001</v>
      </c>
      <c r="H2428" s="1">
        <v>-9.8901830000000008E-7</v>
      </c>
      <c r="I2428">
        <v>-61.69905</v>
      </c>
      <c r="J2428">
        <v>-266.92380000000003</v>
      </c>
      <c r="K2428">
        <v>1.107707</v>
      </c>
      <c r="L2428">
        <v>-62.386600000000001</v>
      </c>
      <c r="M2428">
        <v>0.99580020000000002</v>
      </c>
      <c r="N2428">
        <v>0</v>
      </c>
      <c r="O2428">
        <v>-9.0707250000000003E-2</v>
      </c>
      <c r="P2428">
        <v>0.98887250000000004</v>
      </c>
      <c r="Q2428">
        <v>0.1441684</v>
      </c>
      <c r="R2428">
        <v>-3.6700900000000002E-2</v>
      </c>
      <c r="S2428">
        <v>3.0765989999999999</v>
      </c>
      <c r="T2428">
        <v>-0.2534283</v>
      </c>
      <c r="U2428">
        <v>0.15448000000000001</v>
      </c>
      <c r="V2428">
        <v>-5.4795379999999998E-2</v>
      </c>
      <c r="W2428">
        <v>0.15585599999999999</v>
      </c>
      <c r="X2428">
        <v>0.98625879999999999</v>
      </c>
      <c r="Y2428">
        <v>-0.13976259999999999</v>
      </c>
      <c r="Z2428">
        <v>1.3194610000000001E-2</v>
      </c>
      <c r="AA2428">
        <v>0.99009709999999995</v>
      </c>
      <c r="AB2428">
        <v>30</v>
      </c>
      <c r="AC2428">
        <v>13.2866</v>
      </c>
      <c r="AD2428">
        <v>-1.1077079890182999</v>
      </c>
      <c r="AE2428">
        <v>0.68755000000000099</v>
      </c>
      <c r="AF2428">
        <v>-1.8769876933777701</v>
      </c>
      <c r="AG2428">
        <v>-1.1077079890182999</v>
      </c>
      <c r="AH2428">
        <v>13.0787855390695</v>
      </c>
      <c r="AI2428">
        <v>94.792246261916205</v>
      </c>
      <c r="AJ2428">
        <v>98.166976527216207</v>
      </c>
      <c r="AK2428">
        <v>13.259137640397199</v>
      </c>
    </row>
    <row r="2429" spans="1:37" x14ac:dyDescent="0.2">
      <c r="A2429" t="str">
        <f>"20200111150642018"</f>
        <v>20200111150642018</v>
      </c>
      <c r="B2429" t="str">
        <f>"1578726402008955"</f>
        <v>1578726402008955</v>
      </c>
      <c r="C2429" t="s">
        <v>37</v>
      </c>
      <c r="D2429">
        <v>4.7760749999999996</v>
      </c>
      <c r="E2429">
        <v>0.46727020000000002</v>
      </c>
      <c r="F2429" t="s">
        <v>101</v>
      </c>
      <c r="G2429">
        <v>-253.459</v>
      </c>
      <c r="H2429" s="1">
        <v>-9.1720259999999999E-7</v>
      </c>
      <c r="I2429">
        <v>-61.719940000000001</v>
      </c>
      <c r="J2429">
        <v>-266.77769999999998</v>
      </c>
      <c r="K2429">
        <v>1.1076680000000001</v>
      </c>
      <c r="L2429">
        <v>-62.397399999999998</v>
      </c>
      <c r="M2429">
        <v>0.99602869999999999</v>
      </c>
      <c r="N2429">
        <v>0</v>
      </c>
      <c r="O2429">
        <v>-8.8163619999999998E-2</v>
      </c>
      <c r="P2429">
        <v>0.98887579999999997</v>
      </c>
      <c r="Q2429">
        <v>0.14426410000000001</v>
      </c>
      <c r="R2429">
        <v>-3.6232E-2</v>
      </c>
      <c r="S2429">
        <v>3.0763240000000001</v>
      </c>
      <c r="T2429">
        <v>-0.25308029999999998</v>
      </c>
      <c r="U2429">
        <v>0.15231320000000001</v>
      </c>
      <c r="V2429">
        <v>-5.2724510000000002E-2</v>
      </c>
      <c r="W2429">
        <v>0.15597749999999999</v>
      </c>
      <c r="X2429">
        <v>0.98635239999999902</v>
      </c>
      <c r="Y2429">
        <v>-0.1365632</v>
      </c>
      <c r="Z2429">
        <v>1.2838199999999999E-2</v>
      </c>
      <c r="AA2429">
        <v>0.99054819999999999</v>
      </c>
      <c r="AB2429">
        <v>30</v>
      </c>
      <c r="AC2429">
        <v>13.3186999999999</v>
      </c>
      <c r="AD2429">
        <v>-1.1076689172026</v>
      </c>
      <c r="AE2429">
        <v>0.67745999999999595</v>
      </c>
      <c r="AF2429">
        <v>-1.83646736612321</v>
      </c>
      <c r="AG2429">
        <v>-1.1076689172026</v>
      </c>
      <c r="AH2429">
        <v>13.1166081739742</v>
      </c>
      <c r="AI2429">
        <v>94.780639767146099</v>
      </c>
      <c r="AJ2429">
        <v>97.970219702045</v>
      </c>
      <c r="AK2429">
        <v>13.2907845068129</v>
      </c>
    </row>
    <row r="2430" spans="1:37" x14ac:dyDescent="0.2">
      <c r="A2430" t="str">
        <f>"20200111150642030"</f>
        <v>20200111150642030</v>
      </c>
      <c r="B2430" t="str">
        <f>"1578726402018716"</f>
        <v>1578726402018716</v>
      </c>
      <c r="C2430" t="s">
        <v>37</v>
      </c>
      <c r="D2430">
        <v>4.745304</v>
      </c>
      <c r="E2430">
        <v>0.46781590000000001</v>
      </c>
      <c r="F2430" t="s">
        <v>101</v>
      </c>
      <c r="G2430">
        <v>-253.09020000000001</v>
      </c>
      <c r="H2430" s="1">
        <v>-7.6185169999999998E-7</v>
      </c>
      <c r="I2430">
        <v>-61.732849999999999</v>
      </c>
      <c r="J2430">
        <v>-266.61380000000003</v>
      </c>
      <c r="K2430">
        <v>1.107626</v>
      </c>
      <c r="L2430">
        <v>-62.409179999999999</v>
      </c>
      <c r="M2430">
        <v>0.99627520000000003</v>
      </c>
      <c r="N2430">
        <v>0</v>
      </c>
      <c r="O2430">
        <v>-8.5334869999999993E-2</v>
      </c>
      <c r="P2430">
        <v>0.98885210000000001</v>
      </c>
      <c r="Q2430">
        <v>0.14457010000000001</v>
      </c>
      <c r="R2430">
        <v>-3.5656E-2</v>
      </c>
      <c r="S2430">
        <v>3.0755619999999899</v>
      </c>
      <c r="T2430">
        <v>-0.24889040000000001</v>
      </c>
      <c r="U2430">
        <v>0.1493225</v>
      </c>
      <c r="V2430">
        <v>-5.047633E-2</v>
      </c>
      <c r="W2430">
        <v>0.15631049999999999</v>
      </c>
      <c r="X2430">
        <v>0.9864174</v>
      </c>
      <c r="Y2430">
        <v>-0.13284649999999901</v>
      </c>
      <c r="Z2430">
        <v>1.225162E-2</v>
      </c>
      <c r="AA2430">
        <v>0.99106090000000002</v>
      </c>
      <c r="AB2430">
        <v>30</v>
      </c>
      <c r="AC2430">
        <v>13.5236</v>
      </c>
      <c r="AD2430">
        <v>-1.1076267618516999</v>
      </c>
      <c r="AE2430">
        <v>0.67633000000000698</v>
      </c>
      <c r="AF2430">
        <v>-1.8158354348749799</v>
      </c>
      <c r="AG2430">
        <v>-1.1076267618516999</v>
      </c>
      <c r="AH2430">
        <v>13.3273649573651</v>
      </c>
      <c r="AI2430">
        <v>94.707592602831497</v>
      </c>
      <c r="AJ2430">
        <v>97.758697752328402</v>
      </c>
      <c r="AK2430">
        <v>13.496027270160701</v>
      </c>
    </row>
    <row r="2431" spans="1:37" x14ac:dyDescent="0.2">
      <c r="A2431" t="str">
        <f>"20200111150642043"</f>
        <v>20200111150642043</v>
      </c>
      <c r="B2431" t="str">
        <f>"1578726402039211"</f>
        <v>1578726402039211</v>
      </c>
      <c r="C2431" t="s">
        <v>37</v>
      </c>
      <c r="D2431">
        <v>4.779134</v>
      </c>
      <c r="E2431">
        <v>0.46866849999999999</v>
      </c>
      <c r="F2431" t="s">
        <v>101</v>
      </c>
      <c r="G2431">
        <v>-252.72329999999999</v>
      </c>
      <c r="H2431" s="1">
        <v>-6.0727549999999995E-7</v>
      </c>
      <c r="I2431">
        <v>-61.745530000000002</v>
      </c>
      <c r="J2431">
        <v>-266.44380000000001</v>
      </c>
      <c r="K2431">
        <v>1.107586</v>
      </c>
      <c r="L2431">
        <v>-62.420749999999998</v>
      </c>
      <c r="M2431">
        <v>0.99651840000000003</v>
      </c>
      <c r="N2431">
        <v>0</v>
      </c>
      <c r="O2431">
        <v>-8.2445199999999996E-2</v>
      </c>
      <c r="P2431">
        <v>0.98885119999999904</v>
      </c>
      <c r="Q2431">
        <v>0.14468819999999999</v>
      </c>
      <c r="R2431">
        <v>-3.5192290000000001E-2</v>
      </c>
      <c r="S2431">
        <v>3.074951</v>
      </c>
      <c r="T2431">
        <v>-0.24519539999999901</v>
      </c>
      <c r="U2431">
        <v>0.1469116</v>
      </c>
      <c r="V2431">
        <v>-4.80574E-2</v>
      </c>
      <c r="W2431">
        <v>0.15645699999999901</v>
      </c>
      <c r="X2431">
        <v>0.98651489999999997</v>
      </c>
      <c r="Y2431">
        <v>-0.1292469</v>
      </c>
      <c r="Z2431">
        <v>1.17001E-2</v>
      </c>
      <c r="AA2431">
        <v>0.99154339999999996</v>
      </c>
      <c r="AB2431">
        <v>30</v>
      </c>
      <c r="AC2431">
        <v>13.720499999999999</v>
      </c>
      <c r="AD2431">
        <v>-1.1075866072755001</v>
      </c>
      <c r="AE2431">
        <v>0.67521999999999505</v>
      </c>
      <c r="AF2431">
        <v>-1.7925444058511999</v>
      </c>
      <c r="AG2431">
        <v>-1.1075866072755001</v>
      </c>
      <c r="AH2431">
        <v>13.5301533398597</v>
      </c>
      <c r="AI2431">
        <v>94.639472313022196</v>
      </c>
      <c r="AJ2431">
        <v>97.546889655958495</v>
      </c>
      <c r="AK2431">
        <v>13.693246983081901</v>
      </c>
    </row>
    <row r="2432" spans="1:37" x14ac:dyDescent="0.2">
      <c r="A2432" t="str">
        <f>"20200111150642056"</f>
        <v>20200111150642056</v>
      </c>
      <c r="B2432" t="str">
        <f>"1578726402048974"</f>
        <v>1578726402048974</v>
      </c>
      <c r="C2432" t="s">
        <v>37</v>
      </c>
      <c r="D2432">
        <v>4.787471</v>
      </c>
      <c r="E2432">
        <v>0.46899030000000003</v>
      </c>
      <c r="F2432" t="s">
        <v>101</v>
      </c>
      <c r="G2432">
        <v>-252.46889999999999</v>
      </c>
      <c r="H2432" s="1">
        <v>-5.0473369999999997E-7</v>
      </c>
      <c r="I2432">
        <v>-61.775169999999903</v>
      </c>
      <c r="J2432">
        <v>-266.26670000000001</v>
      </c>
      <c r="K2432">
        <v>1.107545</v>
      </c>
      <c r="L2432">
        <v>-62.432499999999997</v>
      </c>
      <c r="M2432">
        <v>0.99676100000000001</v>
      </c>
      <c r="N2432">
        <v>0</v>
      </c>
      <c r="O2432">
        <v>-7.9460520000000007E-2</v>
      </c>
      <c r="P2432">
        <v>0.98883149999999997</v>
      </c>
      <c r="Q2432">
        <v>0.14497299999999999</v>
      </c>
      <c r="R2432">
        <v>-3.4578440000000002E-2</v>
      </c>
      <c r="S2432">
        <v>3.074554</v>
      </c>
      <c r="T2432">
        <v>-0.24367510000000001</v>
      </c>
      <c r="U2432">
        <v>0.14202879999999901</v>
      </c>
      <c r="V2432">
        <v>-4.5693999999999999E-2</v>
      </c>
      <c r="W2432">
        <v>0.1567692</v>
      </c>
      <c r="X2432">
        <v>0.98657759999999906</v>
      </c>
      <c r="Y2432">
        <v>-0.1247426</v>
      </c>
      <c r="Z2432">
        <v>1.121577E-2</v>
      </c>
      <c r="AA2432">
        <v>0.9921257</v>
      </c>
      <c r="AB2432">
        <v>30</v>
      </c>
      <c r="AC2432">
        <v>13.797800000000001</v>
      </c>
      <c r="AD2432">
        <v>-1.1075455047336999</v>
      </c>
      <c r="AE2432">
        <v>0.65733000000000097</v>
      </c>
      <c r="AF2432">
        <v>-1.7405265371251599</v>
      </c>
      <c r="AG2432">
        <v>-1.1075455047336999</v>
      </c>
      <c r="AH2432">
        <v>13.6144069606583</v>
      </c>
      <c r="AI2432">
        <v>94.613442154518395</v>
      </c>
      <c r="AJ2432">
        <v>97.285428136771998</v>
      </c>
      <c r="AK2432">
        <v>13.769828123906001</v>
      </c>
    </row>
    <row r="2433" spans="1:37" x14ac:dyDescent="0.2">
      <c r="A2433" t="str">
        <f>"20200111150642069"</f>
        <v>20200111150642069</v>
      </c>
      <c r="B2433" t="str">
        <f>"1578726402058732"</f>
        <v>1578726402058732</v>
      </c>
      <c r="C2433" t="s">
        <v>37</v>
      </c>
      <c r="D2433">
        <v>4.7936529999999999</v>
      </c>
      <c r="E2433">
        <v>0.46932740000000001</v>
      </c>
      <c r="F2433" t="s">
        <v>101</v>
      </c>
      <c r="G2433">
        <v>-252.08269999999999</v>
      </c>
      <c r="H2433" s="1">
        <v>-3.4002720000000002E-7</v>
      </c>
      <c r="I2433">
        <v>-61.779559999999996</v>
      </c>
      <c r="J2433">
        <v>-266.08370000000002</v>
      </c>
      <c r="K2433">
        <v>1.1075029999999999</v>
      </c>
      <c r="L2433">
        <v>-62.443999999999903</v>
      </c>
      <c r="M2433">
        <v>0.99699910000000003</v>
      </c>
      <c r="N2433">
        <v>0</v>
      </c>
      <c r="O2433">
        <v>-7.6414360000000001E-2</v>
      </c>
      <c r="P2433">
        <v>0.98876980000000003</v>
      </c>
      <c r="Q2433">
        <v>0.14564659999999999</v>
      </c>
      <c r="R2433">
        <v>-3.349423E-2</v>
      </c>
      <c r="S2433">
        <v>3.0740660000000002</v>
      </c>
      <c r="T2433">
        <v>-0.24003620000000001</v>
      </c>
      <c r="U2433">
        <v>0.14151</v>
      </c>
      <c r="V2433">
        <v>-4.3740010000000003E-2</v>
      </c>
      <c r="W2433">
        <v>0.15746379999999999</v>
      </c>
      <c r="X2433">
        <v>0.98655559999999998</v>
      </c>
      <c r="Y2433">
        <v>-0.1215881</v>
      </c>
      <c r="Z2433">
        <v>1.069061E-2</v>
      </c>
      <c r="AA2433">
        <v>0.99252309999999999</v>
      </c>
      <c r="AB2433">
        <v>30</v>
      </c>
      <c r="AC2433">
        <v>14.000999999999999</v>
      </c>
      <c r="AD2433">
        <v>-1.1075033400272001</v>
      </c>
      <c r="AE2433">
        <v>0.66443999999999903</v>
      </c>
      <c r="AF2433">
        <v>-1.72170796515943</v>
      </c>
      <c r="AG2433">
        <v>-1.1075033400272001</v>
      </c>
      <c r="AH2433">
        <v>13.822982983288499</v>
      </c>
      <c r="AI2433">
        <v>94.545800969538902</v>
      </c>
      <c r="AJ2433">
        <v>97.099854771125095</v>
      </c>
      <c r="AK2433">
        <v>13.9737504100276</v>
      </c>
    </row>
    <row r="2434" spans="1:37" x14ac:dyDescent="0.2">
      <c r="A2434" t="str">
        <f>"20200111150642085"</f>
        <v>20200111150642085</v>
      </c>
      <c r="B2434" t="str">
        <f>"1578726402079227"</f>
        <v>1578726402079227</v>
      </c>
      <c r="C2434" t="s">
        <v>37</v>
      </c>
      <c r="D2434">
        <v>4.7706759999999999</v>
      </c>
      <c r="E2434">
        <v>0.46976129999999999</v>
      </c>
      <c r="F2434" t="s">
        <v>101</v>
      </c>
      <c r="G2434">
        <v>-251.71599999999901</v>
      </c>
      <c r="H2434" s="1">
        <v>-1.8238279999999999E-7</v>
      </c>
      <c r="I2434">
        <v>-61.777969999999897</v>
      </c>
      <c r="J2434">
        <v>-265.88729999999998</v>
      </c>
      <c r="K2434">
        <v>1.1074619999999999</v>
      </c>
      <c r="L2434">
        <v>-62.4557199999999</v>
      </c>
      <c r="M2434">
        <v>0.99724099999999904</v>
      </c>
      <c r="N2434">
        <v>0</v>
      </c>
      <c r="O2434">
        <v>-7.3189989999999996E-2</v>
      </c>
      <c r="P2434">
        <v>0.98839840000000001</v>
      </c>
      <c r="Q2434">
        <v>0.14825679999999999</v>
      </c>
      <c r="R2434">
        <v>-3.2995370000000003E-2</v>
      </c>
      <c r="S2434">
        <v>3.0737610000000002</v>
      </c>
      <c r="T2434">
        <v>-0.23693420000000001</v>
      </c>
      <c r="U2434">
        <v>0.14248659999999999</v>
      </c>
      <c r="V2434">
        <v>-4.1021990000000001E-2</v>
      </c>
      <c r="W2434">
        <v>0.1600993</v>
      </c>
      <c r="X2434">
        <v>0.98624809999999996</v>
      </c>
      <c r="Y2434">
        <v>-0.11873060000000001</v>
      </c>
      <c r="Z2434">
        <v>1.0196179999999999E-2</v>
      </c>
      <c r="AA2434">
        <v>0.99287409999999998</v>
      </c>
      <c r="AB2434">
        <v>30</v>
      </c>
      <c r="AC2434">
        <v>14.1713</v>
      </c>
      <c r="AD2434">
        <v>-1.1074621823827999</v>
      </c>
      <c r="AE2434">
        <v>0.67774999999999597</v>
      </c>
      <c r="AF2434">
        <v>-1.70283326182328</v>
      </c>
      <c r="AG2434">
        <v>-1.1074621823827999</v>
      </c>
      <c r="AH2434">
        <v>13.998383526879801</v>
      </c>
      <c r="AI2434">
        <v>94.4904872381708</v>
      </c>
      <c r="AJ2434">
        <v>96.935668442779303</v>
      </c>
      <c r="AK2434">
        <v>14.1449939896983</v>
      </c>
    </row>
    <row r="2435" spans="1:37" x14ac:dyDescent="0.2">
      <c r="A2435" t="str">
        <f>"20200111150642098"</f>
        <v>20200111150642098</v>
      </c>
      <c r="B2435" t="str">
        <f>"1578726402088987"</f>
        <v>1578726402088987</v>
      </c>
      <c r="C2435" t="s">
        <v>37</v>
      </c>
      <c r="D2435">
        <v>4.7290159999999997</v>
      </c>
      <c r="E2435">
        <v>0.46999269999999999</v>
      </c>
      <c r="F2435" t="s">
        <v>101</v>
      </c>
      <c r="G2435">
        <v>-251.03479999999999</v>
      </c>
      <c r="H2435" s="1">
        <v>1.103147E-7</v>
      </c>
      <c r="I2435">
        <v>-61.7759</v>
      </c>
      <c r="J2435">
        <v>-265.70949999999999</v>
      </c>
      <c r="K2435">
        <v>1.107418</v>
      </c>
      <c r="L2435">
        <v>-62.465879999999999</v>
      </c>
      <c r="M2435">
        <v>0.99744809999999995</v>
      </c>
      <c r="N2435">
        <v>0</v>
      </c>
      <c r="O2435">
        <v>-7.0310150000000002E-2</v>
      </c>
      <c r="P2435">
        <v>0.98817069999999996</v>
      </c>
      <c r="Q2435">
        <v>0.15027449999999901</v>
      </c>
      <c r="R2435">
        <v>-3.060094E-2</v>
      </c>
      <c r="S2435">
        <v>3.074341</v>
      </c>
      <c r="T2435">
        <v>-0.2292351</v>
      </c>
      <c r="U2435">
        <v>0.1407166</v>
      </c>
      <c r="V2435">
        <v>-4.054191E-2</v>
      </c>
      <c r="W2435">
        <v>0.16211909999999999</v>
      </c>
      <c r="X2435">
        <v>0.98593799999999898</v>
      </c>
      <c r="Y2435">
        <v>-0.11533779999999901</v>
      </c>
      <c r="Z2435">
        <v>9.5236969999999994E-3</v>
      </c>
      <c r="AA2435">
        <v>0.99328059999999996</v>
      </c>
      <c r="AB2435">
        <v>30</v>
      </c>
      <c r="AC2435">
        <v>14.6747</v>
      </c>
      <c r="AD2435">
        <v>-1.1074178896853</v>
      </c>
      <c r="AE2435">
        <v>0.68998000000000503</v>
      </c>
      <c r="AF2435">
        <v>-1.7104127464572001</v>
      </c>
      <c r="AG2435">
        <v>-1.1074178896853</v>
      </c>
      <c r="AH2435">
        <v>14.507425017432199</v>
      </c>
      <c r="AI2435">
        <v>94.335271665849604</v>
      </c>
      <c r="AJ2435">
        <v>96.7240816743452</v>
      </c>
      <c r="AK2435">
        <v>14.649821390790301</v>
      </c>
    </row>
    <row r="2436" spans="1:37" x14ac:dyDescent="0.2">
      <c r="A2436" t="str">
        <f>"20200111150642110"</f>
        <v>20200111150642110</v>
      </c>
      <c r="B2436" t="str">
        <f>"1578726402098748"</f>
        <v>1578726402098748</v>
      </c>
      <c r="C2436" t="s">
        <v>37</v>
      </c>
      <c r="D2436">
        <v>4.8010929999999998</v>
      </c>
      <c r="E2436">
        <v>0.47017709999999902</v>
      </c>
      <c r="F2436" t="s">
        <v>101</v>
      </c>
      <c r="G2436">
        <v>-250.3492</v>
      </c>
      <c r="H2436" s="1">
        <v>4.1355279999999999E-7</v>
      </c>
      <c r="I2436">
        <v>-61.735030000000002</v>
      </c>
      <c r="J2436">
        <v>-265.54469999999998</v>
      </c>
      <c r="K2436">
        <v>1.10737</v>
      </c>
      <c r="L2436">
        <v>-62.47495</v>
      </c>
      <c r="M2436">
        <v>0.99763029999999997</v>
      </c>
      <c r="N2436">
        <v>0</v>
      </c>
      <c r="O2436">
        <v>-6.7677080000000001E-2</v>
      </c>
      <c r="P2436">
        <v>0.98805309999999902</v>
      </c>
      <c r="Q2436">
        <v>0.15153759999999999</v>
      </c>
      <c r="R2436">
        <v>-2.8066440000000002E-2</v>
      </c>
      <c r="S2436">
        <v>3.0741879999999999</v>
      </c>
      <c r="T2436">
        <v>-0.22163569999999999</v>
      </c>
      <c r="U2436">
        <v>0.14627079999999901</v>
      </c>
      <c r="V2436">
        <v>-4.0447329999999997E-2</v>
      </c>
      <c r="W2436">
        <v>0.16338279999999999</v>
      </c>
      <c r="X2436">
        <v>0.98573330000000003</v>
      </c>
      <c r="Y2436">
        <v>-0.11455119999999901</v>
      </c>
      <c r="Z2436">
        <v>8.9913419999999994E-3</v>
      </c>
      <c r="AA2436">
        <v>0.9933767</v>
      </c>
      <c r="AB2436">
        <v>30</v>
      </c>
      <c r="AC2436">
        <v>15.1954999999999</v>
      </c>
      <c r="AD2436">
        <v>-1.1073695864472</v>
      </c>
      <c r="AE2436">
        <v>0.73991999999999702</v>
      </c>
      <c r="AF2436">
        <v>-1.75737845853682</v>
      </c>
      <c r="AG2436">
        <v>-1.1073695864472</v>
      </c>
      <c r="AH2436">
        <v>15.0309394975909</v>
      </c>
      <c r="AI2436">
        <v>94.185116220737996</v>
      </c>
      <c r="AJ2436">
        <v>96.668598036942896</v>
      </c>
      <c r="AK2436">
        <v>15.173786232438999</v>
      </c>
    </row>
    <row r="2437" spans="1:37" x14ac:dyDescent="0.2">
      <c r="A2437" t="str">
        <f>"20200111150642123"</f>
        <v>20200111150642123</v>
      </c>
      <c r="B2437" t="str">
        <f>"1578726402119243"</f>
        <v>1578726402119243</v>
      </c>
      <c r="C2437" t="s">
        <v>37</v>
      </c>
      <c r="D2437">
        <v>4.7225129999999904</v>
      </c>
      <c r="E2437">
        <v>0.47041529999999998</v>
      </c>
      <c r="F2437" t="s">
        <v>102</v>
      </c>
      <c r="G2437">
        <v>-249.90719999999999</v>
      </c>
      <c r="H2437" s="1">
        <v>-3.4790780000000001E-6</v>
      </c>
      <c r="I2437">
        <v>-61.700209999999998</v>
      </c>
      <c r="J2437">
        <v>-265.3802</v>
      </c>
      <c r="K2437">
        <v>1.1073059999999999</v>
      </c>
      <c r="L2437">
        <v>-62.483400000000003</v>
      </c>
      <c r="M2437">
        <v>0.99780079999999904</v>
      </c>
      <c r="N2437">
        <v>0</v>
      </c>
      <c r="O2437">
        <v>-6.5116179999999996E-2</v>
      </c>
      <c r="P2437">
        <v>0.98801079999999997</v>
      </c>
      <c r="Q2437">
        <v>0.15225079999999999</v>
      </c>
      <c r="R2437">
        <v>-2.558707E-2</v>
      </c>
      <c r="S2437">
        <v>3.0739749999999999</v>
      </c>
      <c r="T2437">
        <v>-0.2176843</v>
      </c>
      <c r="U2437">
        <v>0.15228269999999999</v>
      </c>
      <c r="V2437">
        <v>-4.0364919999999999E-2</v>
      </c>
      <c r="W2437">
        <v>0.16409689999999999</v>
      </c>
      <c r="X2437">
        <v>0.98561799999999999</v>
      </c>
      <c r="Y2437">
        <v>-0.1139675</v>
      </c>
      <c r="Z2437">
        <v>8.6302110000000005E-3</v>
      </c>
      <c r="AA2437">
        <v>0.99344699999999997</v>
      </c>
      <c r="AB2437">
        <v>30</v>
      </c>
      <c r="AC2437">
        <v>15.473000000000001</v>
      </c>
      <c r="AD2437">
        <v>-1.10730947907799</v>
      </c>
      <c r="AE2437">
        <v>0.78319000000000405</v>
      </c>
      <c r="AF2437">
        <v>-1.78005445615896</v>
      </c>
      <c r="AG2437">
        <v>-1.10730947907799</v>
      </c>
      <c r="AH2437">
        <v>15.310941068928299</v>
      </c>
      <c r="AI2437">
        <v>94.108931957306396</v>
      </c>
      <c r="AJ2437">
        <v>96.631452992777</v>
      </c>
      <c r="AK2437">
        <v>15.4537906212535</v>
      </c>
    </row>
    <row r="2438" spans="1:37" x14ac:dyDescent="0.2">
      <c r="A2438" t="str">
        <f>"20200111150642135"</f>
        <v>20200111150642135</v>
      </c>
      <c r="B2438" t="str">
        <f>"1578726402129003"</f>
        <v>1578726402129003</v>
      </c>
      <c r="C2438" t="s">
        <v>37</v>
      </c>
      <c r="D2438">
        <v>4.7128350000000001</v>
      </c>
      <c r="E2438">
        <v>0.4706227</v>
      </c>
      <c r="F2438" t="s">
        <v>102</v>
      </c>
      <c r="G2438">
        <v>-249.4023</v>
      </c>
      <c r="H2438" s="1">
        <v>-3.300953E-6</v>
      </c>
      <c r="I2438">
        <v>-61.664669999999902</v>
      </c>
      <c r="J2438">
        <v>-265.20679999999999</v>
      </c>
      <c r="K2438">
        <v>1.1072229999999901</v>
      </c>
      <c r="L2438">
        <v>-62.492069999999998</v>
      </c>
      <c r="M2438">
        <v>0.99797049999999998</v>
      </c>
      <c r="N2438">
        <v>0</v>
      </c>
      <c r="O2438">
        <v>-6.2463539999999998E-2</v>
      </c>
      <c r="P2438">
        <v>0.98807929999999999</v>
      </c>
      <c r="Q2438">
        <v>0.15223970000000001</v>
      </c>
      <c r="R2438">
        <v>-2.2868070000000001E-2</v>
      </c>
      <c r="S2438">
        <v>3.073334</v>
      </c>
      <c r="T2438">
        <v>-0.21299079999999901</v>
      </c>
      <c r="U2438">
        <v>0.15747069999999999</v>
      </c>
      <c r="V2438">
        <v>-4.0427030000000003E-2</v>
      </c>
      <c r="W2438">
        <v>0.1640875</v>
      </c>
      <c r="X2438">
        <v>0.98561699999999997</v>
      </c>
      <c r="Y2438">
        <v>-0.1130371</v>
      </c>
      <c r="Z2438">
        <v>8.2304860000000004E-3</v>
      </c>
      <c r="AA2438">
        <v>0.99355669999999996</v>
      </c>
      <c r="AB2438">
        <v>30</v>
      </c>
      <c r="AC2438">
        <v>15.8044999999999</v>
      </c>
      <c r="AD2438">
        <v>-1.1072263009529999</v>
      </c>
      <c r="AE2438">
        <v>0.82740000000000402</v>
      </c>
      <c r="AF2438">
        <v>-1.8042335728480401</v>
      </c>
      <c r="AG2438">
        <v>-1.1072263009529999</v>
      </c>
      <c r="AH2438">
        <v>15.6453679126376</v>
      </c>
      <c r="AI2438">
        <v>94.021522206480697</v>
      </c>
      <c r="AJ2438">
        <v>96.578326301293203</v>
      </c>
      <c r="AK2438">
        <v>15.7879303896585</v>
      </c>
    </row>
    <row r="2439" spans="1:37" x14ac:dyDescent="0.2">
      <c r="A2439" t="str">
        <f>"20200111150642150"</f>
        <v>20200111150642150</v>
      </c>
      <c r="B2439" t="str">
        <f>"1578726402138763"</f>
        <v>1578726402138763</v>
      </c>
      <c r="C2439" t="s">
        <v>37</v>
      </c>
      <c r="D2439">
        <v>4.7780019999999999</v>
      </c>
      <c r="E2439">
        <v>0.47071160000000001</v>
      </c>
      <c r="F2439" t="s">
        <v>102</v>
      </c>
      <c r="G2439">
        <v>-249.1926</v>
      </c>
      <c r="H2439" s="1">
        <v>-3.2253529999999998E-6</v>
      </c>
      <c r="I2439">
        <v>-61.64076</v>
      </c>
      <c r="J2439">
        <v>-265.01089999999999</v>
      </c>
      <c r="K2439">
        <v>1.1071</v>
      </c>
      <c r="L2439">
        <v>-62.501369999999902</v>
      </c>
      <c r="M2439">
        <v>0.99814799999999904</v>
      </c>
      <c r="N2439">
        <v>0</v>
      </c>
      <c r="O2439">
        <v>-5.95626E-2</v>
      </c>
      <c r="P2439">
        <v>0.98848029999999998</v>
      </c>
      <c r="Q2439">
        <v>0.150065</v>
      </c>
      <c r="R2439">
        <v>-1.9692830000000001E-2</v>
      </c>
      <c r="S2439">
        <v>3.0726930000000001</v>
      </c>
      <c r="T2439">
        <v>-0.21244749999999901</v>
      </c>
      <c r="U2439">
        <v>0.16333010000000001</v>
      </c>
      <c r="V2439">
        <v>-4.0687599999999997E-2</v>
      </c>
      <c r="W2439">
        <v>0.16191820000000001</v>
      </c>
      <c r="X2439">
        <v>0.98596499999999998</v>
      </c>
      <c r="Y2439">
        <v>-0.1120606</v>
      </c>
      <c r="Z2439">
        <v>7.9771219999999997E-3</v>
      </c>
      <c r="AA2439">
        <v>0.99366929999999998</v>
      </c>
      <c r="AB2439">
        <v>30</v>
      </c>
      <c r="AC2439">
        <v>15.818299999999899</v>
      </c>
      <c r="AD2439">
        <v>-1.107103225353</v>
      </c>
      <c r="AE2439">
        <v>0.86060999999999399</v>
      </c>
      <c r="AF2439">
        <v>-1.7925780156159901</v>
      </c>
      <c r="AG2439">
        <v>-1.107103225353</v>
      </c>
      <c r="AH2439">
        <v>15.6624524165005</v>
      </c>
      <c r="AI2439">
        <v>94.017099800869403</v>
      </c>
      <c r="AJ2439">
        <v>96.529130422675294</v>
      </c>
      <c r="AK2439">
        <v>15.8035258468735</v>
      </c>
    </row>
    <row r="2440" spans="1:37" x14ac:dyDescent="0.2">
      <c r="A2440" t="str">
        <f>"20200111150642163"</f>
        <v>20200111150642163</v>
      </c>
      <c r="B2440" t="str">
        <f>"1578726402159259"</f>
        <v>1578726402159259</v>
      </c>
      <c r="C2440" t="s">
        <v>37</v>
      </c>
      <c r="D2440">
        <v>4.736631</v>
      </c>
      <c r="E2440">
        <v>0.4707614</v>
      </c>
      <c r="F2440" t="s">
        <v>102</v>
      </c>
      <c r="G2440">
        <v>-249.44099999999901</v>
      </c>
      <c r="H2440" s="1">
        <v>-3.30890699999999E-6</v>
      </c>
      <c r="I2440">
        <v>-61.635319999999901</v>
      </c>
      <c r="J2440">
        <v>-264.8546</v>
      </c>
      <c r="K2440">
        <v>1.1069899999999999</v>
      </c>
      <c r="L2440">
        <v>-62.508389999999999</v>
      </c>
      <c r="M2440">
        <v>0.99827749999999904</v>
      </c>
      <c r="N2440">
        <v>0</v>
      </c>
      <c r="O2440">
        <v>-5.735034E-2</v>
      </c>
      <c r="P2440">
        <v>0.98873849999999996</v>
      </c>
      <c r="Q2440">
        <v>0.14870249999999999</v>
      </c>
      <c r="R2440">
        <v>-1.6840620000000001E-2</v>
      </c>
      <c r="S2440">
        <v>3.0715330000000001</v>
      </c>
      <c r="T2440">
        <v>-0.2184024</v>
      </c>
      <c r="U2440">
        <v>0.1708374</v>
      </c>
      <c r="V2440">
        <v>-4.1308099999999903E-2</v>
      </c>
      <c r="W2440">
        <v>0.1605558</v>
      </c>
      <c r="X2440">
        <v>0.98616199999999998</v>
      </c>
      <c r="Y2440">
        <v>-0.112281399999999</v>
      </c>
      <c r="Z2440">
        <v>8.0536979999999998E-3</v>
      </c>
      <c r="AA2440">
        <v>0.99364379999999997</v>
      </c>
      <c r="AB2440">
        <v>30</v>
      </c>
      <c r="AC2440">
        <v>15.413600000000001</v>
      </c>
      <c r="AD2440">
        <v>-1.1069933089069901</v>
      </c>
      <c r="AE2440">
        <v>0.873070000000012</v>
      </c>
      <c r="AF2440">
        <v>-1.74669497770007</v>
      </c>
      <c r="AG2440">
        <v>-1.1069933089069901</v>
      </c>
      <c r="AH2440">
        <v>15.259694540282499</v>
      </c>
      <c r="AI2440">
        <v>94.122350117408999</v>
      </c>
      <c r="AJ2440">
        <v>96.529919341308499</v>
      </c>
      <c r="AK2440">
        <v>15.3991770882023</v>
      </c>
    </row>
    <row r="2441" spans="1:37" x14ac:dyDescent="0.2">
      <c r="A2441" t="str">
        <f>"20200111150642174"</f>
        <v>20200111150642174</v>
      </c>
      <c r="B2441" t="str">
        <f>"1578726402169019"</f>
        <v>1578726402169019</v>
      </c>
      <c r="C2441" t="s">
        <v>37</v>
      </c>
      <c r="D2441">
        <v>4.776548</v>
      </c>
      <c r="E2441">
        <v>0.4708852</v>
      </c>
      <c r="F2441" t="s">
        <v>102</v>
      </c>
      <c r="G2441">
        <v>-249.59119999999999</v>
      </c>
      <c r="H2441" s="1">
        <v>-3.3570889999999999E-6</v>
      </c>
      <c r="I2441">
        <v>-61.6188</v>
      </c>
      <c r="J2441">
        <v>-264.69529999999997</v>
      </c>
      <c r="K2441">
        <v>1.1068739999999999</v>
      </c>
      <c r="L2441">
        <v>-62.51538</v>
      </c>
      <c r="M2441">
        <v>0.99840209999999996</v>
      </c>
      <c r="N2441">
        <v>0</v>
      </c>
      <c r="O2441">
        <v>-5.5141379999999997E-2</v>
      </c>
      <c r="P2441">
        <v>0.98894309999999996</v>
      </c>
      <c r="Q2441">
        <v>0.14762819999999999</v>
      </c>
      <c r="R2441">
        <v>-1.405489E-2</v>
      </c>
      <c r="S2441">
        <v>3.0706790000000002</v>
      </c>
      <c r="T2441">
        <v>-0.22270470000000001</v>
      </c>
      <c r="U2441">
        <v>0.17895510000000001</v>
      </c>
      <c r="V2441">
        <v>-4.186235E-2</v>
      </c>
      <c r="W2441">
        <v>0.15948309999999999</v>
      </c>
      <c r="X2441">
        <v>0.98631270000000004</v>
      </c>
      <c r="Y2441">
        <v>-0.112704</v>
      </c>
      <c r="Z2441">
        <v>8.0691530000000008E-3</v>
      </c>
      <c r="AA2441">
        <v>0.99359580000000003</v>
      </c>
      <c r="AB2441">
        <v>30</v>
      </c>
      <c r="AC2441">
        <v>15.104099999999899</v>
      </c>
      <c r="AD2441">
        <v>-1.10687735708899</v>
      </c>
      <c r="AE2441">
        <v>0.89658000000000704</v>
      </c>
      <c r="AF2441">
        <v>-1.7189411549489599</v>
      </c>
      <c r="AG2441">
        <v>-1.10687735708899</v>
      </c>
      <c r="AH2441">
        <v>14.9516590823974</v>
      </c>
      <c r="AI2441">
        <v>94.206299994462299</v>
      </c>
      <c r="AJ2441">
        <v>96.558306731369598</v>
      </c>
      <c r="AK2441">
        <v>15.0907934017416</v>
      </c>
    </row>
    <row r="2442" spans="1:37" x14ac:dyDescent="0.2">
      <c r="A2442" t="str">
        <f>"20200111150642186"</f>
        <v>20200111150642186</v>
      </c>
      <c r="B2442" t="str">
        <f>"1578726402178779"</f>
        <v>1578726402178779</v>
      </c>
      <c r="C2442" t="s">
        <v>37</v>
      </c>
      <c r="D2442">
        <v>4.7902230000000001</v>
      </c>
      <c r="E2442">
        <v>0.47105089999999999</v>
      </c>
      <c r="F2442" t="s">
        <v>102</v>
      </c>
      <c r="G2442">
        <v>-249.5772</v>
      </c>
      <c r="H2442" s="1">
        <v>-3.34813699999999E-6</v>
      </c>
      <c r="I2442">
        <v>-61.595209999999902</v>
      </c>
      <c r="J2442">
        <v>-264.52530000000002</v>
      </c>
      <c r="K2442">
        <v>1.106722</v>
      </c>
      <c r="L2442">
        <v>-62.52243</v>
      </c>
      <c r="M2442">
        <v>0.99852199999999902</v>
      </c>
      <c r="N2442">
        <v>0</v>
      </c>
      <c r="O2442">
        <v>-5.292496E-2</v>
      </c>
      <c r="P2442">
        <v>0.9891624</v>
      </c>
      <c r="Q2442">
        <v>0.1464009</v>
      </c>
      <c r="R2442">
        <v>-1.11646E-2</v>
      </c>
      <c r="S2442">
        <v>3.0697329999999998</v>
      </c>
      <c r="T2442">
        <v>-0.22475139999999999</v>
      </c>
      <c r="U2442">
        <v>0.18682860000000001</v>
      </c>
      <c r="V2442">
        <v>-4.2501509999999999E-2</v>
      </c>
      <c r="W2442">
        <v>0.1582586</v>
      </c>
      <c r="X2442">
        <v>0.98648259999999899</v>
      </c>
      <c r="Y2442">
        <v>-0.11305229999999999</v>
      </c>
      <c r="Z2442">
        <v>7.9959100000000002E-3</v>
      </c>
      <c r="AA2442">
        <v>0.99355689999999997</v>
      </c>
      <c r="AB2442">
        <v>30</v>
      </c>
      <c r="AC2442">
        <v>14.9481</v>
      </c>
      <c r="AD2442">
        <v>-1.1067253481370001</v>
      </c>
      <c r="AE2442">
        <v>0.92722000000001203</v>
      </c>
      <c r="AF2442">
        <v>-1.70778281528371</v>
      </c>
      <c r="AG2442">
        <v>-1.1067253481370001</v>
      </c>
      <c r="AH2442">
        <v>14.7972682067586</v>
      </c>
      <c r="AI2442">
        <v>94.249231540448804</v>
      </c>
      <c r="AJ2442">
        <v>96.583494957468801</v>
      </c>
      <c r="AK2442">
        <v>14.9365494517019</v>
      </c>
    </row>
    <row r="2443" spans="1:37" x14ac:dyDescent="0.2">
      <c r="A2443" t="str">
        <f>"20200111150642197"</f>
        <v>20200111150642197</v>
      </c>
      <c r="B2443" t="str">
        <f>"1578726402189515"</f>
        <v>1578726402189515</v>
      </c>
      <c r="C2443" t="s">
        <v>37</v>
      </c>
      <c r="D2443">
        <v>4.8582269999999896</v>
      </c>
      <c r="E2443">
        <v>0.47105089999999999</v>
      </c>
      <c r="F2443" t="s">
        <v>102</v>
      </c>
      <c r="G2443">
        <v>-249.6353</v>
      </c>
      <c r="H2443" s="1">
        <v>-3.365131E-6</v>
      </c>
      <c r="I2443">
        <v>-61.579439999999998</v>
      </c>
      <c r="J2443">
        <v>-264.3888</v>
      </c>
      <c r="K2443">
        <v>1.1065989999999899</v>
      </c>
      <c r="L2443">
        <v>-62.527949999999997</v>
      </c>
      <c r="M2443">
        <v>0.99861109999999897</v>
      </c>
      <c r="N2443">
        <v>0</v>
      </c>
      <c r="O2443">
        <v>-5.1218350000000003E-2</v>
      </c>
      <c r="P2443">
        <v>0.98931469999999899</v>
      </c>
      <c r="Q2443">
        <v>0.1455322</v>
      </c>
      <c r="R2443">
        <v>-8.7691169999999999E-3</v>
      </c>
      <c r="S2443">
        <v>3.0687869999999999</v>
      </c>
      <c r="T2443">
        <v>-0.22809369999999901</v>
      </c>
      <c r="U2443">
        <v>0.19433590000000001</v>
      </c>
      <c r="V2443">
        <v>-4.3159999999999997E-2</v>
      </c>
      <c r="W2443">
        <v>0.1573918</v>
      </c>
      <c r="X2443">
        <v>0.98659269999999999</v>
      </c>
      <c r="Y2443">
        <v>-0.1137833</v>
      </c>
      <c r="Z2443">
        <v>8.0170090000000003E-3</v>
      </c>
      <c r="AA2443">
        <v>0.99347319999999995</v>
      </c>
      <c r="AB2443">
        <v>30</v>
      </c>
      <c r="AC2443">
        <v>14.753500000000001</v>
      </c>
      <c r="AD2443">
        <v>-1.106602365131</v>
      </c>
      <c r="AE2443">
        <v>0.94850999999999097</v>
      </c>
      <c r="AF2443">
        <v>-1.6934842625897899</v>
      </c>
      <c r="AG2443">
        <v>-1.106602365131</v>
      </c>
      <c r="AH2443">
        <v>14.6037268230561</v>
      </c>
      <c r="AI2443">
        <v>94.304589607349598</v>
      </c>
      <c r="AJ2443">
        <v>96.614616240799407</v>
      </c>
      <c r="AK2443">
        <v>14.7431779092773</v>
      </c>
    </row>
    <row r="2444" spans="1:37" x14ac:dyDescent="0.2">
      <c r="A2444" t="str">
        <f>"20200111150642208"</f>
        <v>20200111150642208</v>
      </c>
      <c r="B2444" t="str">
        <f>"1578726402199275"</f>
        <v>1578726402199275</v>
      </c>
      <c r="C2444" t="s">
        <v>37</v>
      </c>
      <c r="D2444">
        <v>4.9920549999999997</v>
      </c>
      <c r="E2444">
        <v>0.49937389999999998</v>
      </c>
      <c r="F2444" t="s">
        <v>102</v>
      </c>
      <c r="G2444">
        <v>-249.68020000000001</v>
      </c>
      <c r="H2444" s="1">
        <v>-3.37709099999999E-6</v>
      </c>
      <c r="I2444">
        <v>-61.560839999999999</v>
      </c>
      <c r="J2444">
        <v>-264.238</v>
      </c>
      <c r="K2444">
        <v>1.106457</v>
      </c>
      <c r="L2444">
        <v>-62.533869999999901</v>
      </c>
      <c r="M2444">
        <v>0.99870219999999899</v>
      </c>
      <c r="N2444">
        <v>0</v>
      </c>
      <c r="O2444">
        <v>-4.9412230000000001E-2</v>
      </c>
      <c r="P2444">
        <v>0.98949519999999902</v>
      </c>
      <c r="Q2444">
        <v>0.1444365</v>
      </c>
      <c r="R2444">
        <v>-6.0952790000000003E-3</v>
      </c>
      <c r="S2444">
        <v>3.068146</v>
      </c>
      <c r="T2444">
        <v>-0.23083139999999999</v>
      </c>
      <c r="U2444">
        <v>0.20172119999999999</v>
      </c>
      <c r="V2444">
        <v>-4.3990050000000003E-2</v>
      </c>
      <c r="W2444">
        <v>0.15629870000000001</v>
      </c>
      <c r="X2444">
        <v>0.98672969999999904</v>
      </c>
      <c r="Y2444">
        <v>-0.114373499999999</v>
      </c>
      <c r="Z2444">
        <v>8.0006899999999995E-3</v>
      </c>
      <c r="AA2444">
        <v>0.9934056</v>
      </c>
      <c r="AB2444">
        <v>30</v>
      </c>
      <c r="AC2444">
        <v>14.557799999999901</v>
      </c>
      <c r="AD2444">
        <v>-1.106460377091</v>
      </c>
      <c r="AE2444">
        <v>0.97302999999999396</v>
      </c>
      <c r="AF2444">
        <v>-1.6815587291449301</v>
      </c>
      <c r="AG2444">
        <v>-1.106460377091</v>
      </c>
      <c r="AH2444">
        <v>14.4090645301208</v>
      </c>
      <c r="AI2444">
        <v>94.361594228835401</v>
      </c>
      <c r="AJ2444">
        <v>96.6563912354206</v>
      </c>
      <c r="AK2444">
        <v>14.548987420395299</v>
      </c>
    </row>
    <row r="2445" spans="1:37" x14ac:dyDescent="0.2">
      <c r="A2445" t="str">
        <f>"20200111150642219"</f>
        <v>20200111150642219</v>
      </c>
      <c r="B2445" t="str">
        <f>"1578726402209036"</f>
        <v>1578726402209036</v>
      </c>
      <c r="C2445" t="s">
        <v>37</v>
      </c>
      <c r="D2445">
        <v>4.825494</v>
      </c>
      <c r="E2445">
        <v>0.5024788</v>
      </c>
      <c r="F2445" t="s">
        <v>102</v>
      </c>
      <c r="G2445">
        <v>-246.49860000000001</v>
      </c>
      <c r="H2445" s="1">
        <v>-2.3716190000000002E-6</v>
      </c>
      <c r="I2445">
        <v>-62.625819999999997</v>
      </c>
      <c r="J2445">
        <v>-264.09379999999999</v>
      </c>
      <c r="K2445">
        <v>1.106312</v>
      </c>
      <c r="L2445">
        <v>-62.539340000000003</v>
      </c>
      <c r="M2445">
        <v>0.99878040000000001</v>
      </c>
      <c r="N2445">
        <v>0</v>
      </c>
      <c r="O2445">
        <v>-4.7808370000000003E-2</v>
      </c>
      <c r="P2445">
        <v>0.98966160000000003</v>
      </c>
      <c r="Q2445">
        <v>0.14336499999999999</v>
      </c>
      <c r="R2445">
        <v>-4.0483539999999997E-3</v>
      </c>
      <c r="S2445">
        <v>3.0596009999999998</v>
      </c>
      <c r="T2445">
        <v>-0.19083629999999999</v>
      </c>
      <c r="U2445">
        <v>-1.586914E-2</v>
      </c>
      <c r="V2445">
        <v>-4.4392809999999998E-2</v>
      </c>
      <c r="W2445">
        <v>0.1552337</v>
      </c>
      <c r="X2445">
        <v>0.98687979999999997</v>
      </c>
      <c r="Y2445">
        <v>-4.2455340000000001E-2</v>
      </c>
      <c r="Z2445">
        <v>4.301053E-3</v>
      </c>
      <c r="AA2445">
        <v>0.99908909999999995</v>
      </c>
      <c r="AB2445">
        <v>30</v>
      </c>
      <c r="AC2445">
        <v>17.595199999999899</v>
      </c>
      <c r="AD2445">
        <v>-1.106314371619</v>
      </c>
      <c r="AE2445">
        <v>-8.6479999999994506E-2</v>
      </c>
      <c r="AF2445">
        <v>-0.75190819533147901</v>
      </c>
      <c r="AG2445">
        <v>-1.106314371619</v>
      </c>
      <c r="AH2445">
        <v>17.509990075230501</v>
      </c>
      <c r="AI2445">
        <v>93.611930637760295</v>
      </c>
      <c r="AJ2445">
        <v>92.458865760570106</v>
      </c>
      <c r="AK2445">
        <v>17.561009363294801</v>
      </c>
    </row>
    <row r="2446" spans="1:37" x14ac:dyDescent="0.2">
      <c r="A2446" t="str">
        <f>"20200111150642230"</f>
        <v>20200111150642230</v>
      </c>
      <c r="B2446" t="str">
        <f>"1578726402218794"</f>
        <v>1578726402218794</v>
      </c>
      <c r="C2446" t="s">
        <v>37</v>
      </c>
      <c r="D2446">
        <v>4.9300660000000001</v>
      </c>
      <c r="E2446">
        <v>0.50465799999999905</v>
      </c>
      <c r="F2446" t="s">
        <v>102</v>
      </c>
      <c r="G2446">
        <v>-246.10890000000001</v>
      </c>
      <c r="H2446" s="1">
        <v>-2.2349080000000002E-6</v>
      </c>
      <c r="I2446">
        <v>-62.740450000000003</v>
      </c>
      <c r="J2446">
        <v>-263.94110000000001</v>
      </c>
      <c r="K2446">
        <v>1.106149</v>
      </c>
      <c r="L2446">
        <v>-62.545069999999903</v>
      </c>
      <c r="M2446">
        <v>0.99885759999999901</v>
      </c>
      <c r="N2446">
        <v>0</v>
      </c>
      <c r="O2446">
        <v>-4.6172959999999999E-2</v>
      </c>
      <c r="P2446">
        <v>0.98983480000000001</v>
      </c>
      <c r="Q2446">
        <v>0.14220650000000001</v>
      </c>
      <c r="R2446">
        <v>-2.1271720000000001E-3</v>
      </c>
      <c r="S2446">
        <v>3.0584410000000002</v>
      </c>
      <c r="T2446">
        <v>-0.18813479999999999</v>
      </c>
      <c r="U2446">
        <v>-3.4210209999999998E-2</v>
      </c>
      <c r="V2446">
        <v>-4.4633880000000001E-2</v>
      </c>
      <c r="W2446">
        <v>0.15408520000000001</v>
      </c>
      <c r="X2446">
        <v>0.98704890000000001</v>
      </c>
      <c r="Y2446">
        <v>-3.4847629999999997E-2</v>
      </c>
      <c r="Z2446">
        <v>3.9075059999999998E-3</v>
      </c>
      <c r="AA2446">
        <v>0.99938499999999997</v>
      </c>
      <c r="AB2446">
        <v>30</v>
      </c>
      <c r="AC2446">
        <v>17.8322</v>
      </c>
      <c r="AD2446">
        <v>-1.1061512349079901</v>
      </c>
      <c r="AE2446">
        <v>-0.19538000000000699</v>
      </c>
      <c r="AF2446">
        <v>-0.62584838084298799</v>
      </c>
      <c r="AG2446">
        <v>-1.1061512349079901</v>
      </c>
      <c r="AH2446">
        <v>17.753894036661301</v>
      </c>
      <c r="AI2446">
        <v>93.5629811482479</v>
      </c>
      <c r="AJ2446">
        <v>92.0189164459766</v>
      </c>
      <c r="AK2446">
        <v>17.7993261168868</v>
      </c>
    </row>
    <row r="2447" spans="1:37" x14ac:dyDescent="0.2">
      <c r="A2447" t="str">
        <f>"20200111150642242"</f>
        <v>20200111150642242</v>
      </c>
      <c r="B2447" t="str">
        <f>"1578726402239291"</f>
        <v>1578726402239291</v>
      </c>
      <c r="C2447" t="s">
        <v>37</v>
      </c>
      <c r="D2447">
        <v>4.8258070000000002</v>
      </c>
      <c r="E2447">
        <v>0.50829749999999996</v>
      </c>
      <c r="F2447" t="s">
        <v>102</v>
      </c>
      <c r="G2447">
        <v>-244.73330000000001</v>
      </c>
      <c r="H2447" s="1">
        <v>-1.667979E-6</v>
      </c>
      <c r="I2447">
        <v>-62.827550000000002</v>
      </c>
      <c r="J2447">
        <v>-263.79509999999999</v>
      </c>
      <c r="K2447">
        <v>1.105985</v>
      </c>
      <c r="L2447">
        <v>-62.5503199999999</v>
      </c>
      <c r="M2447">
        <v>0.99892099999999995</v>
      </c>
      <c r="N2447">
        <v>0</v>
      </c>
      <c r="O2447">
        <v>-4.4778310000000002E-2</v>
      </c>
      <c r="P2447">
        <v>0.98998929999999996</v>
      </c>
      <c r="Q2447">
        <v>0.14114160000000001</v>
      </c>
      <c r="R2447">
        <v>-4.5919E-4</v>
      </c>
      <c r="S2447">
        <v>3.056</v>
      </c>
      <c r="T2447">
        <v>-0.1759906</v>
      </c>
      <c r="U2447">
        <v>-4.4952390000000002E-2</v>
      </c>
      <c r="V2447">
        <v>-4.4859699999999898E-2</v>
      </c>
      <c r="W2447">
        <v>0.15303020000000001</v>
      </c>
      <c r="X2447">
        <v>0.98720280000000005</v>
      </c>
      <c r="Y2447">
        <v>-2.99598999999999E-2</v>
      </c>
      <c r="Z2447">
        <v>3.4376939999999998E-3</v>
      </c>
      <c r="AA2447">
        <v>0.99954519999999902</v>
      </c>
      <c r="AB2447">
        <v>30</v>
      </c>
      <c r="AC2447">
        <v>19.061799999999899</v>
      </c>
      <c r="AD2447">
        <v>-1.105986667979</v>
      </c>
      <c r="AE2447">
        <v>-0.27723000000001002</v>
      </c>
      <c r="AF2447">
        <v>-0.57473367171961698</v>
      </c>
      <c r="AG2447">
        <v>-1.105986667979</v>
      </c>
      <c r="AH2447">
        <v>18.991172677795799</v>
      </c>
      <c r="AI2447">
        <v>93.331441174173307</v>
      </c>
      <c r="AJ2447">
        <v>91.733424616017302</v>
      </c>
      <c r="AK2447">
        <v>19.032029975307701</v>
      </c>
    </row>
    <row r="2448" spans="1:37" x14ac:dyDescent="0.2">
      <c r="A2448" t="str">
        <f>"20200111150642263"</f>
        <v>20200111150642263</v>
      </c>
      <c r="B2448" t="str">
        <f>"1578726402258811"</f>
        <v>1578726402258811</v>
      </c>
      <c r="C2448" t="s">
        <v>37</v>
      </c>
      <c r="D2448">
        <v>4.8997650000000004</v>
      </c>
      <c r="E2448">
        <v>0.5109979</v>
      </c>
      <c r="F2448" t="s">
        <v>102</v>
      </c>
      <c r="G2448">
        <v>-247.88099999999901</v>
      </c>
      <c r="H2448" s="1">
        <v>-3.0030630000000001E-6</v>
      </c>
      <c r="I2448">
        <v>-62.903959999999998</v>
      </c>
      <c r="J2448">
        <v>-263.51490000000001</v>
      </c>
      <c r="K2448">
        <v>1.1056709999999901</v>
      </c>
      <c r="L2448">
        <v>-62.560180000000003</v>
      </c>
      <c r="M2448">
        <v>0.99902809999999898</v>
      </c>
      <c r="N2448">
        <v>0</v>
      </c>
      <c r="O2448">
        <v>-4.2323640000000003E-2</v>
      </c>
      <c r="P2448">
        <v>0.99016899999999997</v>
      </c>
      <c r="Q2448">
        <v>0.1398684</v>
      </c>
      <c r="R2448">
        <v>1.5817819999999999E-3</v>
      </c>
      <c r="S2448">
        <v>3.060638</v>
      </c>
      <c r="T2448">
        <v>-0.2127057</v>
      </c>
      <c r="U2448">
        <v>-6.8023680000000003E-2</v>
      </c>
      <c r="V2448">
        <v>-4.4355699999999998E-2</v>
      </c>
      <c r="W2448">
        <v>0.1517819</v>
      </c>
      <c r="X2448">
        <v>0.98741829999999997</v>
      </c>
      <c r="Y2448">
        <v>-1.9966379999999999E-2</v>
      </c>
      <c r="Z2448">
        <v>3.6295699999999999E-3</v>
      </c>
      <c r="AA2448">
        <v>0.99979409999999902</v>
      </c>
      <c r="AB2448">
        <v>30</v>
      </c>
      <c r="AC2448">
        <v>15.633900000000001</v>
      </c>
      <c r="AD2448">
        <v>-1.1056740030629999</v>
      </c>
      <c r="AE2448">
        <v>-0.34377999999999498</v>
      </c>
      <c r="AF2448">
        <v>-0.316678621883144</v>
      </c>
      <c r="AG2448">
        <v>-1.1056740030629999</v>
      </c>
      <c r="AH2448">
        <v>15.556667775034301</v>
      </c>
      <c r="AI2448">
        <v>94.064562504643007</v>
      </c>
      <c r="AJ2448">
        <v>91.166177945740202</v>
      </c>
      <c r="AK2448">
        <v>15.5991253797576</v>
      </c>
    </row>
    <row r="2449" spans="1:37" x14ac:dyDescent="0.2">
      <c r="A2449" t="str">
        <f>"20200111150642276"</f>
        <v>20200111150642276</v>
      </c>
      <c r="B2449" t="str">
        <f>"1578726402268571"</f>
        <v>1578726402268571</v>
      </c>
      <c r="C2449" t="s">
        <v>37</v>
      </c>
      <c r="D2449">
        <v>4.8772339999999996</v>
      </c>
      <c r="E2449">
        <v>0.51199359999999905</v>
      </c>
      <c r="F2449" t="s">
        <v>102</v>
      </c>
      <c r="G2449">
        <v>-249.13399999999999</v>
      </c>
      <c r="H2449" s="1">
        <v>-3.4361180000000001E-6</v>
      </c>
      <c r="I2449">
        <v>-62.941510000000001</v>
      </c>
      <c r="J2449">
        <v>-263.34219999999999</v>
      </c>
      <c r="K2449">
        <v>1.1054870000000001</v>
      </c>
      <c r="L2449">
        <v>-62.566099999999999</v>
      </c>
      <c r="M2449">
        <v>0.9990848</v>
      </c>
      <c r="N2449">
        <v>0</v>
      </c>
      <c r="O2449">
        <v>-4.0971149999999998E-2</v>
      </c>
      <c r="P2449">
        <v>0.99021269999999995</v>
      </c>
      <c r="Q2449">
        <v>0.13954220000000001</v>
      </c>
      <c r="R2449">
        <v>2.6213009999999999E-3</v>
      </c>
      <c r="S2449">
        <v>3.0631710000000001</v>
      </c>
      <c r="T2449">
        <v>-0.2355112</v>
      </c>
      <c r="U2449">
        <v>-8.1237790000000004E-2</v>
      </c>
      <c r="V2449">
        <v>-4.3987739999999997E-2</v>
      </c>
      <c r="W2449">
        <v>0.1514703</v>
      </c>
      <c r="X2449">
        <v>0.98748250000000004</v>
      </c>
      <c r="Y2449">
        <v>-1.430767E-2</v>
      </c>
      <c r="Z2449">
        <v>3.6931300000000002E-3</v>
      </c>
      <c r="AA2449">
        <v>0.99989079999999997</v>
      </c>
      <c r="AB2449">
        <v>30</v>
      </c>
      <c r="AC2449">
        <v>14.2081999999999</v>
      </c>
      <c r="AD2449">
        <v>-1.105490436118</v>
      </c>
      <c r="AE2449">
        <v>-0.37541000000000202</v>
      </c>
      <c r="AF2449">
        <v>-0.20583029889717699</v>
      </c>
      <c r="AG2449">
        <v>-1.105490436118</v>
      </c>
      <c r="AH2449">
        <v>14.1261919123657</v>
      </c>
      <c r="AI2449">
        <v>94.474271811856596</v>
      </c>
      <c r="AJ2449">
        <v>90.834787818317906</v>
      </c>
      <c r="AK2449">
        <v>14.170877642590799</v>
      </c>
    </row>
    <row r="2450" spans="1:37" x14ac:dyDescent="0.2">
      <c r="A2450" t="str">
        <f>"20200111150642288"</f>
        <v>20200111150642288</v>
      </c>
      <c r="B2450" t="str">
        <f>"1578726402279307"</f>
        <v>1578726402279307</v>
      </c>
      <c r="C2450" t="s">
        <v>37</v>
      </c>
      <c r="D2450">
        <v>4.8850339999999903</v>
      </c>
      <c r="E2450">
        <v>0.51300879999999904</v>
      </c>
      <c r="F2450" t="s">
        <v>38</v>
      </c>
      <c r="G2450">
        <v>-262.40350000000001</v>
      </c>
      <c r="H2450">
        <v>1.032338</v>
      </c>
      <c r="I2450">
        <v>-62.592419999999997</v>
      </c>
      <c r="J2450">
        <v>-263.16789999999997</v>
      </c>
      <c r="K2450">
        <v>1.1053170000000001</v>
      </c>
      <c r="L2450">
        <v>-62.571930000000002</v>
      </c>
      <c r="M2450">
        <v>0.99913439999999998</v>
      </c>
      <c r="N2450">
        <v>0</v>
      </c>
      <c r="O2450">
        <v>-3.9743349999999997E-2</v>
      </c>
      <c r="P2450">
        <v>0.99019559999999995</v>
      </c>
      <c r="Q2450">
        <v>0.13964670000000001</v>
      </c>
      <c r="R2450">
        <v>3.4032099999999998E-3</v>
      </c>
      <c r="S2450">
        <v>3.0635379999999999</v>
      </c>
      <c r="T2450">
        <v>-0.238794799999999</v>
      </c>
      <c r="U2450">
        <v>-8.5205080000000002E-2</v>
      </c>
      <c r="V2450">
        <v>-4.348925E-2</v>
      </c>
      <c r="W2450">
        <v>0.15158769999999999</v>
      </c>
      <c r="X2450">
        <v>0.98748670000000005</v>
      </c>
      <c r="Y2450">
        <v>-1.179494E-2</v>
      </c>
      <c r="Z2450">
        <v>3.5507070000000002E-3</v>
      </c>
      <c r="AA2450">
        <v>0.99992409999999998</v>
      </c>
      <c r="AB2450">
        <v>30</v>
      </c>
      <c r="AC2450">
        <v>0.764399999999966</v>
      </c>
      <c r="AD2450">
        <v>-7.2979000000000099E-2</v>
      </c>
      <c r="AE2450">
        <v>-2.04899999999952E-2</v>
      </c>
      <c r="AF2450">
        <v>-9.8188663274848698E-3</v>
      </c>
      <c r="AG2450">
        <v>-7.2979000000000099E-2</v>
      </c>
      <c r="AH2450">
        <v>0.75770885300963797</v>
      </c>
      <c r="AI2450">
        <v>95.501034600546504</v>
      </c>
      <c r="AJ2450">
        <v>90.742433073763394</v>
      </c>
      <c r="AK2450">
        <v>0.76127856301496999</v>
      </c>
    </row>
    <row r="2451" spans="1:37" x14ac:dyDescent="0.2">
      <c r="A2451" t="str">
        <f>"20200111150642299"</f>
        <v>20200111150642299</v>
      </c>
      <c r="B2451" t="str">
        <f>"1578726402289068"</f>
        <v>1578726402289068</v>
      </c>
      <c r="C2451" t="s">
        <v>37</v>
      </c>
      <c r="D2451">
        <v>4.8345789999999997</v>
      </c>
      <c r="E2451">
        <v>0.51380009999999998</v>
      </c>
      <c r="F2451" t="s">
        <v>102</v>
      </c>
      <c r="G2451">
        <v>-249.10310000000001</v>
      </c>
      <c r="H2451" s="1">
        <v>-3.4334399999999999E-6</v>
      </c>
      <c r="I2451">
        <v>-62.985689999999998</v>
      </c>
      <c r="J2451">
        <v>-263.02409999999998</v>
      </c>
      <c r="K2451">
        <v>1.1051869999999999</v>
      </c>
      <c r="L2451">
        <v>-62.576689999999999</v>
      </c>
      <c r="M2451">
        <v>0.99917049999999996</v>
      </c>
      <c r="N2451">
        <v>0</v>
      </c>
      <c r="O2451">
        <v>-3.8824589999999999E-2</v>
      </c>
      <c r="P2451">
        <v>0.99020140000000001</v>
      </c>
      <c r="Q2451">
        <v>0.13960159999999999</v>
      </c>
      <c r="R2451">
        <v>3.58536099999999E-3</v>
      </c>
      <c r="S2451">
        <v>3.063965</v>
      </c>
      <c r="T2451">
        <v>-0.24078930000000001</v>
      </c>
      <c r="U2451">
        <v>-9.0148930000000002E-2</v>
      </c>
      <c r="V2451">
        <v>-4.2714410000000001E-2</v>
      </c>
      <c r="W2451">
        <v>0.15155370000000001</v>
      </c>
      <c r="X2451">
        <v>0.987525599999999</v>
      </c>
      <c r="Y2451">
        <v>-9.2752169999999901E-3</v>
      </c>
      <c r="Z2451">
        <v>3.4088129999999901E-3</v>
      </c>
      <c r="AA2451">
        <v>0.99995119999999904</v>
      </c>
      <c r="AB2451">
        <v>30</v>
      </c>
      <c r="AC2451">
        <v>13.9209999999999</v>
      </c>
      <c r="AD2451">
        <v>-1.10519043344</v>
      </c>
      <c r="AE2451">
        <v>-0.40900000000000603</v>
      </c>
      <c r="AF2451">
        <v>-0.13100137068672399</v>
      </c>
      <c r="AG2451">
        <v>-1.10519043344</v>
      </c>
      <c r="AH2451">
        <v>13.839232358491699</v>
      </c>
      <c r="AI2451">
        <v>94.565703224445201</v>
      </c>
      <c r="AJ2451">
        <v>90.5423423268184</v>
      </c>
      <c r="AK2451">
        <v>13.8839100949845</v>
      </c>
    </row>
    <row r="2452" spans="1:37" x14ac:dyDescent="0.2">
      <c r="A2452" t="str">
        <f>"20200111150642311"</f>
        <v>20200111150642311</v>
      </c>
      <c r="B2452" t="str">
        <f>"1578726402309563"</f>
        <v>1578726402309563</v>
      </c>
      <c r="C2452" t="s">
        <v>37</v>
      </c>
      <c r="D2452">
        <v>4.8395299999999999</v>
      </c>
      <c r="E2452">
        <v>0.5152177</v>
      </c>
      <c r="F2452" t="s">
        <v>38</v>
      </c>
      <c r="G2452">
        <v>-262.13470000000001</v>
      </c>
      <c r="H2452">
        <v>1.03484</v>
      </c>
      <c r="I2452">
        <v>-62.6044699999999</v>
      </c>
      <c r="J2452">
        <v>-262.86579999999998</v>
      </c>
      <c r="K2452">
        <v>1.105051</v>
      </c>
      <c r="L2452">
        <v>-62.581879999999998</v>
      </c>
      <c r="M2452">
        <v>0.99920769999999903</v>
      </c>
      <c r="N2452">
        <v>0</v>
      </c>
      <c r="O2452">
        <v>-3.7861230000000003E-2</v>
      </c>
      <c r="P2452">
        <v>0.99022359999999898</v>
      </c>
      <c r="Q2452">
        <v>0.1394405</v>
      </c>
      <c r="R2452">
        <v>3.7409499999999998E-3</v>
      </c>
      <c r="S2452">
        <v>3.064209</v>
      </c>
      <c r="T2452">
        <v>-0.24239530000000001</v>
      </c>
      <c r="U2452">
        <v>-9.4970700000000005E-2</v>
      </c>
      <c r="V2452">
        <v>-4.1865869999999999E-2</v>
      </c>
      <c r="W2452">
        <v>0.15140429999999999</v>
      </c>
      <c r="X2452">
        <v>0.98758489999999999</v>
      </c>
      <c r="Y2452">
        <v>-6.7502969999999997E-3</v>
      </c>
      <c r="Z2452">
        <v>3.2554039999999999E-3</v>
      </c>
      <c r="AA2452">
        <v>0.99997190000000002</v>
      </c>
      <c r="AB2452">
        <v>30</v>
      </c>
      <c r="AC2452">
        <v>0.731099999999969</v>
      </c>
      <c r="AD2452">
        <v>-7.0210999999999996E-2</v>
      </c>
      <c r="AE2452">
        <v>-2.2589999999986701E-2</v>
      </c>
      <c r="AF2452">
        <v>-5.0619872300374704E-3</v>
      </c>
      <c r="AG2452">
        <v>-7.0210999999999996E-2</v>
      </c>
      <c r="AH2452">
        <v>0.72475329053457105</v>
      </c>
      <c r="AI2452">
        <v>95.533169286506407</v>
      </c>
      <c r="AJ2452">
        <v>90.400171744018195</v>
      </c>
      <c r="AK2452">
        <v>0.728163814245397</v>
      </c>
    </row>
    <row r="2453" spans="1:37" x14ac:dyDescent="0.2">
      <c r="A2453" t="str">
        <f>"20200111150642323"</f>
        <v>20200111150642323</v>
      </c>
      <c r="B2453" t="str">
        <f>"1578726402319323"</f>
        <v>1578726402319323</v>
      </c>
      <c r="C2453" t="s">
        <v>37</v>
      </c>
      <c r="D2453">
        <v>4.2287109999999997</v>
      </c>
      <c r="E2453">
        <v>0.5152177</v>
      </c>
      <c r="F2453" t="s">
        <v>102</v>
      </c>
      <c r="G2453">
        <v>-249.05260000000001</v>
      </c>
      <c r="H2453" s="1">
        <v>-3.4284449999999998E-6</v>
      </c>
      <c r="I2453">
        <v>-63.054450000000003</v>
      </c>
      <c r="J2453">
        <v>-262.71710000000002</v>
      </c>
      <c r="K2453">
        <v>1.1049420000000001</v>
      </c>
      <c r="L2453">
        <v>-62.58661</v>
      </c>
      <c r="M2453">
        <v>0.99923739999999905</v>
      </c>
      <c r="N2453">
        <v>0</v>
      </c>
      <c r="O2453">
        <v>-3.7065840000000003E-2</v>
      </c>
      <c r="P2453">
        <v>0.99025059999999998</v>
      </c>
      <c r="Q2453">
        <v>0.1392475</v>
      </c>
      <c r="R2453">
        <v>3.7150220000000001E-3</v>
      </c>
      <c r="S2453">
        <v>3.064575</v>
      </c>
      <c r="T2453">
        <v>-0.24516389999999999</v>
      </c>
      <c r="U2453">
        <v>-0.10485839999999901</v>
      </c>
      <c r="V2453">
        <v>-4.1013729999999998E-2</v>
      </c>
      <c r="W2453">
        <v>0.15122049999999901</v>
      </c>
      <c r="X2453">
        <v>0.98764879999999999</v>
      </c>
      <c r="Y2453">
        <v>-2.7472029999999902E-3</v>
      </c>
      <c r="Z2453">
        <v>3.0685769999999998E-3</v>
      </c>
      <c r="AA2453">
        <v>0.99999150000000003</v>
      </c>
      <c r="AB2453">
        <v>30</v>
      </c>
      <c r="AC2453">
        <v>13.6645</v>
      </c>
      <c r="AD2453">
        <v>-1.104945428445</v>
      </c>
      <c r="AE2453">
        <v>-0.46784000000000198</v>
      </c>
      <c r="AF2453">
        <v>-3.8752787709843403E-2</v>
      </c>
      <c r="AG2453">
        <v>-1.104945428445</v>
      </c>
      <c r="AH2453">
        <v>13.583734346907301</v>
      </c>
      <c r="AI2453">
        <v>94.650368716980196</v>
      </c>
      <c r="AJ2453">
        <v>90.163457639824699</v>
      </c>
      <c r="AK2453">
        <v>13.6286552889764</v>
      </c>
    </row>
    <row r="2454" spans="1:37" x14ac:dyDescent="0.2">
      <c r="A2454" t="str">
        <f>"20200111150642333"</f>
        <v>20200111150642333</v>
      </c>
      <c r="B2454" t="str">
        <f>"1578726402329083"</f>
        <v>1578726402329083</v>
      </c>
      <c r="C2454" t="s">
        <v>37</v>
      </c>
      <c r="D2454">
        <v>4.8616729999999997</v>
      </c>
      <c r="E2454">
        <v>0.51603529999999997</v>
      </c>
      <c r="F2454" t="s">
        <v>38</v>
      </c>
      <c r="G2454">
        <v>-261.86630000000002</v>
      </c>
      <c r="H2454">
        <v>1.0366709999999999</v>
      </c>
      <c r="I2454">
        <v>-62.615679999999998</v>
      </c>
      <c r="J2454">
        <v>-262.56670000000003</v>
      </c>
      <c r="K2454">
        <v>1.1048370000000001</v>
      </c>
      <c r="L2454">
        <v>-62.5914</v>
      </c>
      <c r="M2454">
        <v>0.9992664</v>
      </c>
      <c r="N2454">
        <v>0</v>
      </c>
      <c r="O2454">
        <v>-3.6281300000000002E-2</v>
      </c>
      <c r="P2454">
        <v>0.99028989999999995</v>
      </c>
      <c r="Q2454">
        <v>0.13895940000000001</v>
      </c>
      <c r="R2454">
        <v>4.064224E-3</v>
      </c>
      <c r="S2454">
        <v>3.0644840000000002</v>
      </c>
      <c r="T2454">
        <v>-0.24593019999999999</v>
      </c>
      <c r="U2454">
        <v>-0.1040039</v>
      </c>
      <c r="V2454">
        <v>-4.0548309999999997E-2</v>
      </c>
      <c r="W2454">
        <v>0.15093960000000001</v>
      </c>
      <c r="X2454">
        <v>0.98771100000000001</v>
      </c>
      <c r="Y2454">
        <v>-2.2428840000000001E-3</v>
      </c>
      <c r="Z2454">
        <v>2.9952529999999998E-3</v>
      </c>
      <c r="AA2454">
        <v>0.99999300000000002</v>
      </c>
      <c r="AB2454">
        <v>30</v>
      </c>
      <c r="AC2454">
        <v>0.70040000000000102</v>
      </c>
      <c r="AD2454">
        <v>-6.8166000000000102E-2</v>
      </c>
      <c r="AE2454">
        <v>-2.4280000000004499E-2</v>
      </c>
      <c r="AF2454">
        <v>-1.1385492837775301E-3</v>
      </c>
      <c r="AG2454">
        <v>-6.8166000000000102E-2</v>
      </c>
      <c r="AH2454">
        <v>0.69425169124024799</v>
      </c>
      <c r="AI2454">
        <v>95.607678410351198</v>
      </c>
      <c r="AJ2454">
        <v>90.093963055573596</v>
      </c>
      <c r="AK2454">
        <v>0.69759107695011102</v>
      </c>
    </row>
    <row r="2455" spans="1:37" x14ac:dyDescent="0.2">
      <c r="A2455" t="str">
        <f>"20200111150642346"</f>
        <v>20200111150642346</v>
      </c>
      <c r="B2455" t="str">
        <f>"1578726402338843"</f>
        <v>1578726402338843</v>
      </c>
      <c r="C2455" t="s">
        <v>37</v>
      </c>
      <c r="D2455">
        <v>4.9023079999999997</v>
      </c>
      <c r="E2455">
        <v>0.51690059999999904</v>
      </c>
      <c r="F2455" t="s">
        <v>38</v>
      </c>
      <c r="G2455">
        <v>-261.60550000000001</v>
      </c>
      <c r="H2455">
        <v>1.0268489999999999</v>
      </c>
      <c r="I2455">
        <v>-62.62574</v>
      </c>
      <c r="J2455">
        <v>-262.39510000000001</v>
      </c>
      <c r="K2455">
        <v>1.1047450000000001</v>
      </c>
      <c r="L2455">
        <v>-62.596679999999999</v>
      </c>
      <c r="M2455">
        <v>0.99929579999999996</v>
      </c>
      <c r="N2455">
        <v>0</v>
      </c>
      <c r="O2455">
        <v>-3.5467350000000002E-2</v>
      </c>
      <c r="P2455">
        <v>0.99037199999999903</v>
      </c>
      <c r="Q2455">
        <v>0.1383586</v>
      </c>
      <c r="R2455">
        <v>4.5332289999999997E-3</v>
      </c>
      <c r="S2455">
        <v>3.0647579999999999</v>
      </c>
      <c r="T2455">
        <v>-0.24871989999999999</v>
      </c>
      <c r="U2455">
        <v>-0.1086121</v>
      </c>
      <c r="V2455">
        <v>-4.0178030000000003E-2</v>
      </c>
      <c r="W2455">
        <v>0.1503437</v>
      </c>
      <c r="X2455">
        <v>0.98781699999999995</v>
      </c>
      <c r="Y2455" s="1">
        <v>6.2942159999999897E-5</v>
      </c>
      <c r="Z2455">
        <v>2.8694879999999999E-3</v>
      </c>
      <c r="AA2455">
        <v>0.99999590000000005</v>
      </c>
      <c r="AB2455">
        <v>30</v>
      </c>
      <c r="AC2455">
        <v>0.78960000000000696</v>
      </c>
      <c r="AD2455">
        <v>-7.7896000000000104E-2</v>
      </c>
      <c r="AE2455">
        <v>-2.9059999999994E-2</v>
      </c>
      <c r="AF2455">
        <v>1.0246353878363599E-3</v>
      </c>
      <c r="AG2455">
        <v>-7.7896000000000104E-2</v>
      </c>
      <c r="AH2455">
        <v>0.78252838675370695</v>
      </c>
      <c r="AI2455">
        <v>95.6847185209554</v>
      </c>
      <c r="AJ2455">
        <v>89.924977482344005</v>
      </c>
      <c r="AK2455">
        <v>0.78639653659527098</v>
      </c>
    </row>
    <row r="2456" spans="1:37" x14ac:dyDescent="0.2">
      <c r="A2456" t="str">
        <f>"20200111150642357"</f>
        <v>20200111150642357</v>
      </c>
      <c r="B2456" t="str">
        <f>"1578726402348605"</f>
        <v>1578726402348605</v>
      </c>
      <c r="C2456" t="s">
        <v>37</v>
      </c>
      <c r="D2456">
        <v>4.9235480000000003</v>
      </c>
      <c r="E2456">
        <v>0.51727900000000004</v>
      </c>
      <c r="F2456" t="s">
        <v>38</v>
      </c>
      <c r="G2456">
        <v>-261.59769999999997</v>
      </c>
      <c r="H2456">
        <v>1.0385229999999901</v>
      </c>
      <c r="I2456">
        <v>-62.626480000000001</v>
      </c>
      <c r="J2456">
        <v>-262.25540000000001</v>
      </c>
      <c r="K2456">
        <v>1.104681</v>
      </c>
      <c r="L2456">
        <v>-62.600949999999997</v>
      </c>
      <c r="M2456">
        <v>0.99931840000000005</v>
      </c>
      <c r="N2456">
        <v>0</v>
      </c>
      <c r="O2456">
        <v>-3.4824540000000001E-2</v>
      </c>
      <c r="P2456">
        <v>0.99040450000000002</v>
      </c>
      <c r="Q2456">
        <v>0.13811679999999901</v>
      </c>
      <c r="R2456">
        <v>4.7784050000000003E-3</v>
      </c>
      <c r="S2456">
        <v>3.0652159999999999</v>
      </c>
      <c r="T2456">
        <v>-0.25461109999999998</v>
      </c>
      <c r="U2456">
        <v>-0.11346440000000001</v>
      </c>
      <c r="V2456">
        <v>-3.9763099999999899E-2</v>
      </c>
      <c r="W2456">
        <v>0.15010519999999999</v>
      </c>
      <c r="X2456">
        <v>0.98787009999999897</v>
      </c>
      <c r="Y2456">
        <v>2.2775429999999999E-3</v>
      </c>
      <c r="Z2456">
        <v>2.7916490000000002E-3</v>
      </c>
      <c r="AA2456">
        <v>0.99999349999999998</v>
      </c>
      <c r="AB2456">
        <v>30</v>
      </c>
      <c r="AC2456">
        <v>0.65770000000003304</v>
      </c>
      <c r="AD2456">
        <v>-6.6158000000000106E-2</v>
      </c>
      <c r="AE2456">
        <v>-2.5530000000010399E-2</v>
      </c>
      <c r="AF2456">
        <v>2.58260211802198E-3</v>
      </c>
      <c r="AG2456">
        <v>-6.6158000000000106E-2</v>
      </c>
      <c r="AH2456">
        <v>0.65160688666385003</v>
      </c>
      <c r="AI2456">
        <v>95.797360002123696</v>
      </c>
      <c r="AJ2456">
        <v>89.772913040459002</v>
      </c>
      <c r="AK2456">
        <v>0.65496189625462597</v>
      </c>
    </row>
    <row r="2457" spans="1:37" x14ac:dyDescent="0.2">
      <c r="A2457" t="str">
        <f>"20200111150642369"</f>
        <v>20200111150642369</v>
      </c>
      <c r="B2457" t="str">
        <f>"1578726402359339"</f>
        <v>1578726402359339</v>
      </c>
      <c r="C2457" t="s">
        <v>37</v>
      </c>
      <c r="D2457">
        <v>4.9490809999999996</v>
      </c>
      <c r="E2457">
        <v>0.51762039999999998</v>
      </c>
      <c r="F2457" t="s">
        <v>38</v>
      </c>
      <c r="G2457">
        <v>-261.33760000000001</v>
      </c>
      <c r="H2457">
        <v>1.0278969999999901</v>
      </c>
      <c r="I2457">
        <v>-62.635459999999902</v>
      </c>
      <c r="J2457">
        <v>-262.0933</v>
      </c>
      <c r="K2457">
        <v>1.104622</v>
      </c>
      <c r="L2457">
        <v>-62.605829999999997</v>
      </c>
      <c r="M2457">
        <v>0.99934310000000004</v>
      </c>
      <c r="N2457">
        <v>0</v>
      </c>
      <c r="O2457">
        <v>-3.4104570000000001E-2</v>
      </c>
      <c r="P2457">
        <v>0.99045069999999902</v>
      </c>
      <c r="Q2457">
        <v>0.13775979999999999</v>
      </c>
      <c r="R2457">
        <v>5.4479150000000002E-3</v>
      </c>
      <c r="S2457">
        <v>3.065369</v>
      </c>
      <c r="T2457">
        <v>-0.25644289999999997</v>
      </c>
      <c r="U2457">
        <v>-0.1149597</v>
      </c>
      <c r="V2457">
        <v>-3.9697429999999999E-2</v>
      </c>
      <c r="W2457">
        <v>0.14974970000000001</v>
      </c>
      <c r="X2457">
        <v>0.98792669999999905</v>
      </c>
      <c r="Y2457">
        <v>3.478185E-3</v>
      </c>
      <c r="Z2457">
        <v>2.7013129999999999E-3</v>
      </c>
      <c r="AA2457">
        <v>0.9999903</v>
      </c>
      <c r="AB2457">
        <v>30</v>
      </c>
      <c r="AC2457">
        <v>0.75569999999999005</v>
      </c>
      <c r="AD2457">
        <v>-7.6725000000000099E-2</v>
      </c>
      <c r="AE2457">
        <v>-2.9629999999990199E-2</v>
      </c>
      <c r="AF2457">
        <v>3.7989018175851098E-3</v>
      </c>
      <c r="AG2457">
        <v>-7.6725000000000099E-2</v>
      </c>
      <c r="AH2457">
        <v>0.74856652562895398</v>
      </c>
      <c r="AI2457">
        <v>95.852071701661004</v>
      </c>
      <c r="AJ2457">
        <v>89.709232025590595</v>
      </c>
      <c r="AK2457">
        <v>0.75249784090867899</v>
      </c>
    </row>
    <row r="2458" spans="1:37" x14ac:dyDescent="0.2">
      <c r="A2458" t="str">
        <f>"20200111150642383"</f>
        <v>20200111150642383</v>
      </c>
      <c r="B2458" t="str">
        <f>"1578726402378859"</f>
        <v>1578726402378859</v>
      </c>
      <c r="C2458" t="s">
        <v>37</v>
      </c>
      <c r="D2458">
        <v>4.9658739999999897</v>
      </c>
      <c r="E2458">
        <v>0.51853349999999998</v>
      </c>
      <c r="F2458" t="s">
        <v>38</v>
      </c>
      <c r="G2458">
        <v>-261.32850000000002</v>
      </c>
      <c r="H2458">
        <v>1.0406309999999901</v>
      </c>
      <c r="I2458">
        <v>-62.634609999999903</v>
      </c>
      <c r="J2458">
        <v>-261.91219999999998</v>
      </c>
      <c r="K2458">
        <v>1.1045719999999899</v>
      </c>
      <c r="L2458">
        <v>-62.611109999999996</v>
      </c>
      <c r="M2458">
        <v>0.99936959999999997</v>
      </c>
      <c r="N2458">
        <v>0</v>
      </c>
      <c r="O2458">
        <v>-3.3322030000000002E-2</v>
      </c>
      <c r="P2458">
        <v>0.99038359999999903</v>
      </c>
      <c r="Q2458">
        <v>0.1382302</v>
      </c>
      <c r="R2458">
        <v>5.705735E-3</v>
      </c>
      <c r="S2458">
        <v>3.0652469999999998</v>
      </c>
      <c r="T2458">
        <v>-0.2564729</v>
      </c>
      <c r="U2458">
        <v>-0.1149597</v>
      </c>
      <c r="V2458">
        <v>-3.9161799999999997E-2</v>
      </c>
      <c r="W2458">
        <v>0.15022070000000001</v>
      </c>
      <c r="X2458">
        <v>0.98787649999999905</v>
      </c>
      <c r="Y2458">
        <v>4.2573100000000003E-3</v>
      </c>
      <c r="Z2458">
        <v>2.6039129999999998E-3</v>
      </c>
      <c r="AA2458">
        <v>0.99998750000000003</v>
      </c>
      <c r="AB2458">
        <v>30</v>
      </c>
      <c r="AC2458">
        <v>0.58369999999996403</v>
      </c>
      <c r="AD2458">
        <v>-6.3940999999999998E-2</v>
      </c>
      <c r="AE2458">
        <v>-2.3499999999998501E-2</v>
      </c>
      <c r="AF2458">
        <v>3.9876453370837903E-3</v>
      </c>
      <c r="AG2458">
        <v>-6.3940999999999998E-2</v>
      </c>
      <c r="AH2458">
        <v>0.57724324901064294</v>
      </c>
      <c r="AI2458">
        <v>96.320712533452195</v>
      </c>
      <c r="AJ2458">
        <v>89.604202190148797</v>
      </c>
      <c r="AK2458">
        <v>0.58078750100591703</v>
      </c>
    </row>
    <row r="2459" spans="1:37" x14ac:dyDescent="0.2">
      <c r="A2459" t="str">
        <f>"20200111150642398"</f>
        <v>20200111150642398</v>
      </c>
      <c r="B2459" t="str">
        <f>"1578726402388619"</f>
        <v>1578726402388619</v>
      </c>
      <c r="C2459" t="s">
        <v>37</v>
      </c>
      <c r="D2459">
        <v>4.8071589999999897</v>
      </c>
      <c r="E2459">
        <v>0.5182409</v>
      </c>
      <c r="F2459" t="s">
        <v>38</v>
      </c>
      <c r="G2459">
        <v>-261.06729999999999</v>
      </c>
      <c r="H2459">
        <v>1.03366</v>
      </c>
      <c r="I2459">
        <v>-62.644649999999999</v>
      </c>
      <c r="J2459">
        <v>-261.70830000000001</v>
      </c>
      <c r="K2459">
        <v>1.104536</v>
      </c>
      <c r="L2459">
        <v>-62.61694</v>
      </c>
      <c r="M2459">
        <v>0.99939849999999997</v>
      </c>
      <c r="N2459">
        <v>0</v>
      </c>
      <c r="O2459">
        <v>-3.2448930000000001E-2</v>
      </c>
      <c r="P2459">
        <v>0.99031970000000002</v>
      </c>
      <c r="Q2459">
        <v>0.1386955</v>
      </c>
      <c r="R2459">
        <v>5.5203269999999898E-3</v>
      </c>
      <c r="S2459">
        <v>3.0657349999999899</v>
      </c>
      <c r="T2459">
        <v>-0.25733829999999902</v>
      </c>
      <c r="U2459">
        <v>-0.1208801</v>
      </c>
      <c r="V2459">
        <v>-3.8095869999999997E-2</v>
      </c>
      <c r="W2459">
        <v>0.1506874</v>
      </c>
      <c r="X2459">
        <v>0.98784709999999998</v>
      </c>
      <c r="Y2459">
        <v>7.0410569999999999E-3</v>
      </c>
      <c r="Z2459">
        <v>2.4224679999999901E-3</v>
      </c>
      <c r="AA2459">
        <v>0.99997230000000004</v>
      </c>
      <c r="AB2459">
        <v>30</v>
      </c>
      <c r="AC2459">
        <v>0.641000000000019</v>
      </c>
      <c r="AD2459">
        <v>-7.0875999999999897E-2</v>
      </c>
      <c r="AE2459">
        <v>-2.7709999999998999E-2</v>
      </c>
      <c r="AF2459">
        <v>6.8109691720917099E-3</v>
      </c>
      <c r="AG2459">
        <v>-7.0875999999999897E-2</v>
      </c>
      <c r="AH2459">
        <v>0.63382694542586104</v>
      </c>
      <c r="AI2459">
        <v>96.3800756544954</v>
      </c>
      <c r="AJ2459">
        <v>89.3843354700671</v>
      </c>
      <c r="AK2459">
        <v>0.63781376076793805</v>
      </c>
    </row>
    <row r="2460" spans="1:37" x14ac:dyDescent="0.2">
      <c r="A2460" t="str">
        <f>"20200111150642411"</f>
        <v>20200111150642411</v>
      </c>
      <c r="B2460" t="str">
        <f>"1578726402409115"</f>
        <v>1578726402409115</v>
      </c>
      <c r="C2460" t="s">
        <v>37</v>
      </c>
      <c r="D2460">
        <v>5.0279480000000003</v>
      </c>
      <c r="E2460">
        <v>0.51890309999999995</v>
      </c>
      <c r="F2460" t="s">
        <v>38</v>
      </c>
      <c r="G2460">
        <v>-260.80250000000001</v>
      </c>
      <c r="H2460">
        <v>1.0280450000000001</v>
      </c>
      <c r="I2460">
        <v>-62.652259999999998</v>
      </c>
      <c r="J2460">
        <v>-261.52859999999998</v>
      </c>
      <c r="K2460">
        <v>1.104514</v>
      </c>
      <c r="L2460">
        <v>-62.621949999999998</v>
      </c>
      <c r="M2460">
        <v>0.99942310000000001</v>
      </c>
      <c r="N2460">
        <v>0</v>
      </c>
      <c r="O2460">
        <v>-3.1680899999999998E-2</v>
      </c>
      <c r="P2460">
        <v>0.99024179999999995</v>
      </c>
      <c r="Q2460">
        <v>0.13924320000000001</v>
      </c>
      <c r="R2460">
        <v>5.7218700000000004E-3</v>
      </c>
      <c r="S2460">
        <v>3.0662539999999998</v>
      </c>
      <c r="T2460">
        <v>-0.25895580000000001</v>
      </c>
      <c r="U2460">
        <v>-0.118988</v>
      </c>
      <c r="V2460">
        <v>-3.7527449999999997E-2</v>
      </c>
      <c r="W2460">
        <v>0.1512337</v>
      </c>
      <c r="X2460">
        <v>0.98778549999999998</v>
      </c>
      <c r="Y2460">
        <v>7.1846000000000002E-3</v>
      </c>
      <c r="Z2460">
        <v>2.3665349999999999E-3</v>
      </c>
      <c r="AA2460">
        <v>0.99997139999999995</v>
      </c>
      <c r="AB2460">
        <v>30</v>
      </c>
      <c r="AC2460">
        <v>0.72609999999997399</v>
      </c>
      <c r="AD2460">
        <v>-7.6468999999999898E-2</v>
      </c>
      <c r="AE2460">
        <v>-3.031E-2</v>
      </c>
      <c r="AF2460">
        <v>7.2097332474661399E-3</v>
      </c>
      <c r="AG2460">
        <v>-7.6468999999999898E-2</v>
      </c>
      <c r="AH2460">
        <v>0.71873799865227594</v>
      </c>
      <c r="AI2460">
        <v>96.072745206688396</v>
      </c>
      <c r="AJ2460">
        <v>89.425279541713607</v>
      </c>
      <c r="AK2460">
        <v>0.722830408132626</v>
      </c>
    </row>
    <row r="2461" spans="1:37" x14ac:dyDescent="0.2">
      <c r="A2461" t="str">
        <f>"20200111150642424"</f>
        <v>20200111150642424</v>
      </c>
      <c r="B2461" t="str">
        <f>"1578726402418875"</f>
        <v>1578726402418875</v>
      </c>
      <c r="C2461" t="s">
        <v>37</v>
      </c>
      <c r="D2461">
        <v>6.8585509999999896</v>
      </c>
      <c r="E2461">
        <v>0.51890309999999995</v>
      </c>
      <c r="F2461" t="s">
        <v>38</v>
      </c>
      <c r="G2461">
        <v>-260.79320000000001</v>
      </c>
      <c r="H2461">
        <v>1.041628</v>
      </c>
      <c r="I2461">
        <v>-62.651789999999998</v>
      </c>
      <c r="J2461">
        <v>-261.3528</v>
      </c>
      <c r="K2461">
        <v>1.104508</v>
      </c>
      <c r="L2461">
        <v>-62.626649999999998</v>
      </c>
      <c r="M2461">
        <v>0.99944730000000004</v>
      </c>
      <c r="N2461">
        <v>0</v>
      </c>
      <c r="O2461">
        <v>-3.0916929999999999E-2</v>
      </c>
      <c r="P2461">
        <v>0.99015109999999995</v>
      </c>
      <c r="Q2461">
        <v>0.13989740000000001</v>
      </c>
      <c r="R2461">
        <v>5.477633E-3</v>
      </c>
      <c r="S2461">
        <v>3.0671390000000001</v>
      </c>
      <c r="T2461">
        <v>-0.26234089999999999</v>
      </c>
      <c r="U2461">
        <v>-0.1238098</v>
      </c>
      <c r="V2461">
        <v>-3.6521400000000002E-2</v>
      </c>
      <c r="W2461">
        <v>0.15188699999999999</v>
      </c>
      <c r="X2461">
        <v>0.98772289999999996</v>
      </c>
      <c r="Y2461">
        <v>9.4983819999999997E-3</v>
      </c>
      <c r="Z2461">
        <v>2.2326870000000001E-3</v>
      </c>
      <c r="AA2461">
        <v>0.99995239999999996</v>
      </c>
      <c r="AB2461">
        <v>30</v>
      </c>
      <c r="AC2461">
        <v>0.559599999999989</v>
      </c>
      <c r="AD2461">
        <v>-6.2880000000000005E-2</v>
      </c>
      <c r="AE2461">
        <v>-2.5140000000007399E-2</v>
      </c>
      <c r="AF2461">
        <v>7.7281945369346502E-3</v>
      </c>
      <c r="AG2461">
        <v>-6.2880000000000005E-2</v>
      </c>
      <c r="AH2461">
        <v>0.553139818588399</v>
      </c>
      <c r="AI2461">
        <v>96.484818910520104</v>
      </c>
      <c r="AJ2461">
        <v>89.199543935853995</v>
      </c>
      <c r="AK2461">
        <v>0.55675603121906803</v>
      </c>
    </row>
    <row r="2462" spans="1:37" x14ac:dyDescent="0.2">
      <c r="A2462" t="str">
        <f>"20200111150642438"</f>
        <v>20200111150642438</v>
      </c>
      <c r="B2462" t="str">
        <f>"1578726402428636"</f>
        <v>1578726402428636</v>
      </c>
      <c r="C2462" t="s">
        <v>37</v>
      </c>
      <c r="D2462">
        <v>4.708742</v>
      </c>
      <c r="E2462">
        <v>0.51850299999999905</v>
      </c>
      <c r="F2462" t="s">
        <v>38</v>
      </c>
      <c r="G2462">
        <v>-260.53160000000003</v>
      </c>
      <c r="H2462">
        <v>1.0348379999999999</v>
      </c>
      <c r="I2462">
        <v>-62.660269999999997</v>
      </c>
      <c r="J2462">
        <v>-261.17540000000002</v>
      </c>
      <c r="K2462">
        <v>1.1045020000000001</v>
      </c>
      <c r="L2462">
        <v>-62.63129</v>
      </c>
      <c r="M2462">
        <v>0.99947109999999995</v>
      </c>
      <c r="N2462">
        <v>0</v>
      </c>
      <c r="O2462">
        <v>-3.0133940000000001E-2</v>
      </c>
      <c r="P2462">
        <v>0.99003099999999999</v>
      </c>
      <c r="Q2462">
        <v>0.14075460000000001</v>
      </c>
      <c r="R2462">
        <v>5.18534099999999E-3</v>
      </c>
      <c r="S2462">
        <v>3.0673219999999999</v>
      </c>
      <c r="T2462">
        <v>-0.26030370000000003</v>
      </c>
      <c r="U2462">
        <v>-0.1246338</v>
      </c>
      <c r="V2462">
        <v>-3.5449399999999999E-2</v>
      </c>
      <c r="W2462">
        <v>0.15274370000000001</v>
      </c>
      <c r="X2462">
        <v>0.9876298</v>
      </c>
      <c r="Y2462">
        <v>1.053976E-2</v>
      </c>
      <c r="Z2462">
        <v>2.1049129999999999E-3</v>
      </c>
      <c r="AA2462">
        <v>0.999942199999999</v>
      </c>
      <c r="AB2462">
        <v>30</v>
      </c>
      <c r="AC2462">
        <v>0.64379999999999804</v>
      </c>
      <c r="AD2462">
        <v>-6.9664000000000101E-2</v>
      </c>
      <c r="AE2462">
        <v>-2.8979999999997098E-2</v>
      </c>
      <c r="AF2462">
        <v>9.4546770700127299E-3</v>
      </c>
      <c r="AG2462">
        <v>-6.9664000000000101E-2</v>
      </c>
      <c r="AH2462">
        <v>0.63693819046851496</v>
      </c>
      <c r="AI2462">
        <v>96.241133140675004</v>
      </c>
      <c r="AJ2462">
        <v>89.149566914633894</v>
      </c>
      <c r="AK2462">
        <v>0.64080630637643099</v>
      </c>
    </row>
    <row r="2463" spans="1:37" x14ac:dyDescent="0.2">
      <c r="A2463" t="str">
        <f>"20200111150642453"</f>
        <v>20200111150642453</v>
      </c>
      <c r="B2463" t="str">
        <f>"1578726402449131"</f>
        <v>1578726402449131</v>
      </c>
      <c r="C2463" t="s">
        <v>37</v>
      </c>
      <c r="D2463">
        <v>5.0056849999999997</v>
      </c>
      <c r="E2463">
        <v>0.51880079999999995</v>
      </c>
      <c r="F2463" t="s">
        <v>38</v>
      </c>
      <c r="G2463">
        <v>-260.26859999999999</v>
      </c>
      <c r="H2463">
        <v>1.0259370000000001</v>
      </c>
      <c r="I2463">
        <v>-62.667450000000002</v>
      </c>
      <c r="J2463">
        <v>-260.9769</v>
      </c>
      <c r="K2463">
        <v>1.104508</v>
      </c>
      <c r="L2463">
        <v>-62.636319999999998</v>
      </c>
      <c r="M2463">
        <v>0.99949769999999905</v>
      </c>
      <c r="N2463">
        <v>0</v>
      </c>
      <c r="O2463">
        <v>-2.9239439999999998E-2</v>
      </c>
      <c r="P2463">
        <v>0.98987069999999999</v>
      </c>
      <c r="Q2463">
        <v>0.14193269999999999</v>
      </c>
      <c r="R2463">
        <v>3.323019E-3</v>
      </c>
      <c r="S2463">
        <v>3.0686339999999999</v>
      </c>
      <c r="T2463">
        <v>-0.26586599999999999</v>
      </c>
      <c r="U2463">
        <v>-0.12219239999999899</v>
      </c>
      <c r="V2463">
        <v>-3.2699979999999997E-2</v>
      </c>
      <c r="W2463">
        <v>0.15392449999999999</v>
      </c>
      <c r="X2463">
        <v>0.98754140000000001</v>
      </c>
      <c r="Y2463">
        <v>1.0622380000000001E-2</v>
      </c>
      <c r="Z2463">
        <v>2.0680009999999999E-3</v>
      </c>
      <c r="AA2463">
        <v>0.99994150000000004</v>
      </c>
      <c r="AB2463">
        <v>30</v>
      </c>
      <c r="AC2463">
        <v>0.70830000000000803</v>
      </c>
      <c r="AD2463">
        <v>-7.8570999999999905E-2</v>
      </c>
      <c r="AE2463">
        <v>-3.1130000000004501E-2</v>
      </c>
      <c r="AF2463">
        <v>1.0278608437157199E-2</v>
      </c>
      <c r="AG2463">
        <v>-7.8570999999999905E-2</v>
      </c>
      <c r="AH2463">
        <v>0.70030657637546601</v>
      </c>
      <c r="AI2463">
        <v>96.400854029532695</v>
      </c>
      <c r="AJ2463">
        <v>89.159113138449698</v>
      </c>
      <c r="AK2463">
        <v>0.70477539170088199</v>
      </c>
    </row>
    <row r="2464" spans="1:37" x14ac:dyDescent="0.2">
      <c r="A2464" t="str">
        <f>"20200111150642463"</f>
        <v>20200111150642463</v>
      </c>
      <c r="B2464" t="str">
        <f>"1578726402458891"</f>
        <v>1578726402458891</v>
      </c>
      <c r="C2464" t="s">
        <v>37</v>
      </c>
      <c r="D2464">
        <v>5.0343099999999996</v>
      </c>
      <c r="E2464">
        <v>0.51941689999999996</v>
      </c>
      <c r="F2464" t="s">
        <v>38</v>
      </c>
      <c r="G2464">
        <v>-260.00420000000003</v>
      </c>
      <c r="H2464">
        <v>1.0201229999999999</v>
      </c>
      <c r="I2464">
        <v>-62.677959999999999</v>
      </c>
      <c r="J2464">
        <v>-260.8211</v>
      </c>
      <c r="K2464">
        <v>1.1045129999999901</v>
      </c>
      <c r="L2464">
        <v>-62.64011</v>
      </c>
      <c r="M2464">
        <v>0.99951869999999998</v>
      </c>
      <c r="N2464">
        <v>0</v>
      </c>
      <c r="O2464">
        <v>-2.8514520000000002E-2</v>
      </c>
      <c r="P2464">
        <v>0.98984919999999998</v>
      </c>
      <c r="Q2464">
        <v>0.14209649999999999</v>
      </c>
      <c r="R2464">
        <v>2.7209129999999902E-3</v>
      </c>
      <c r="S2464">
        <v>3.0693049999999999</v>
      </c>
      <c r="T2464">
        <v>-0.2662795</v>
      </c>
      <c r="U2464">
        <v>-0.130889899999999</v>
      </c>
      <c r="V2464">
        <v>-3.1381579999999999E-2</v>
      </c>
      <c r="W2464">
        <v>0.1540899</v>
      </c>
      <c r="X2464">
        <v>0.98755839999999995</v>
      </c>
      <c r="Y2464">
        <v>1.4151820000000001E-2</v>
      </c>
      <c r="Z2464">
        <v>1.85515299999999E-3</v>
      </c>
      <c r="AA2464">
        <v>0.99989810000000001</v>
      </c>
      <c r="AB2464">
        <v>30</v>
      </c>
      <c r="AC2464">
        <v>0.81689999999997498</v>
      </c>
      <c r="AD2464">
        <v>-8.4389999999999896E-2</v>
      </c>
      <c r="AE2464">
        <v>-3.7849999999998801E-2</v>
      </c>
      <c r="AF2464">
        <v>1.43861571410913E-2</v>
      </c>
      <c r="AG2464">
        <v>-8.4389999999999896E-2</v>
      </c>
      <c r="AH2464">
        <v>0.80903167856070601</v>
      </c>
      <c r="AI2464">
        <v>95.954046072719393</v>
      </c>
      <c r="AJ2464">
        <v>88.981276940156604</v>
      </c>
      <c r="AK2464">
        <v>0.81354833324888698</v>
      </c>
    </row>
    <row r="2465" spans="1:37" x14ac:dyDescent="0.2">
      <c r="A2465" t="str">
        <f>"20200111150642475"</f>
        <v>20200111150642475</v>
      </c>
      <c r="B2465" t="str">
        <f>"1578726402468651"</f>
        <v>1578726402468651</v>
      </c>
      <c r="C2465" t="s">
        <v>37</v>
      </c>
      <c r="D2465">
        <v>9.2812470000000005</v>
      </c>
      <c r="E2465">
        <v>0.51941689999999996</v>
      </c>
      <c r="F2465" t="s">
        <v>38</v>
      </c>
      <c r="G2465">
        <v>-259.99799999999999</v>
      </c>
      <c r="H2465">
        <v>1.0326090000000001</v>
      </c>
      <c r="I2465">
        <v>-62.677309999999999</v>
      </c>
      <c r="J2465">
        <v>-260.67270000000002</v>
      </c>
      <c r="K2465">
        <v>1.1045180000000001</v>
      </c>
      <c r="L2465">
        <v>-62.643619999999999</v>
      </c>
      <c r="M2465">
        <v>0.99953840000000005</v>
      </c>
      <c r="N2465">
        <v>0</v>
      </c>
      <c r="O2465">
        <v>-2.7817720000000001E-2</v>
      </c>
      <c r="P2465">
        <v>0.98982729999999997</v>
      </c>
      <c r="Q2465">
        <v>0.14225379999999899</v>
      </c>
      <c r="R2465">
        <v>2.411037E-3</v>
      </c>
      <c r="S2465">
        <v>3.0696409999999998</v>
      </c>
      <c r="T2465">
        <v>-0.26817779999999902</v>
      </c>
      <c r="U2465">
        <v>-0.13818359999999999</v>
      </c>
      <c r="V2465">
        <v>-3.0382949999999999E-2</v>
      </c>
      <c r="W2465">
        <v>0.15424769999999999</v>
      </c>
      <c r="X2465">
        <v>0.98756489999999997</v>
      </c>
      <c r="Y2465">
        <v>1.7201939999999999E-2</v>
      </c>
      <c r="Z2465">
        <v>1.6743960000000001E-3</v>
      </c>
      <c r="AA2465">
        <v>0.99985059999999903</v>
      </c>
      <c r="AB2465">
        <v>30</v>
      </c>
      <c r="AC2465">
        <v>0.67470000000002905</v>
      </c>
      <c r="AD2465">
        <v>-7.1909000000000001E-2</v>
      </c>
      <c r="AE2465">
        <v>-3.3689999999999998E-2</v>
      </c>
      <c r="AF2465">
        <v>1.4739928484257399E-2</v>
      </c>
      <c r="AG2465">
        <v>-7.1909000000000001E-2</v>
      </c>
      <c r="AH2465">
        <v>0.66780924392661101</v>
      </c>
      <c r="AI2465">
        <v>96.144384182737397</v>
      </c>
      <c r="AJ2465">
        <v>88.735569184790805</v>
      </c>
      <c r="AK2465">
        <v>0.67183134494198204</v>
      </c>
    </row>
    <row r="2466" spans="1:37" x14ac:dyDescent="0.2">
      <c r="A2466" t="str">
        <f>"20200111150642487"</f>
        <v>20200111150642487</v>
      </c>
      <c r="B2466" t="str">
        <f>"1578726402479387"</f>
        <v>1578726402479387</v>
      </c>
      <c r="C2466" t="s">
        <v>37</v>
      </c>
      <c r="D2466">
        <v>6.8378379999999996</v>
      </c>
      <c r="E2466">
        <v>0.51931939999999999</v>
      </c>
      <c r="F2466" t="s">
        <v>38</v>
      </c>
      <c r="G2466">
        <v>-259.7355</v>
      </c>
      <c r="H2466">
        <v>1.0228170000000001</v>
      </c>
      <c r="I2466">
        <v>-62.686169999999997</v>
      </c>
      <c r="J2466">
        <v>-260.51749999999998</v>
      </c>
      <c r="K2466">
        <v>1.1045259999999999</v>
      </c>
      <c r="L2466">
        <v>-62.64716</v>
      </c>
      <c r="M2466">
        <v>0.99955879999999997</v>
      </c>
      <c r="N2466">
        <v>0</v>
      </c>
      <c r="O2466">
        <v>-2.7074529999999999E-2</v>
      </c>
      <c r="P2466">
        <v>0.98978869999999897</v>
      </c>
      <c r="Q2466">
        <v>0.1425274</v>
      </c>
      <c r="R2466">
        <v>2.1351310000000002E-3</v>
      </c>
      <c r="S2466">
        <v>3.06957999999999</v>
      </c>
      <c r="T2466">
        <v>-0.267594</v>
      </c>
      <c r="U2466">
        <v>-0.13955689999999901</v>
      </c>
      <c r="V2466">
        <v>-2.937298E-2</v>
      </c>
      <c r="W2466">
        <v>0.15452199999999999</v>
      </c>
      <c r="X2466">
        <v>0.9875526</v>
      </c>
      <c r="Y2466">
        <v>1.8385180000000001E-2</v>
      </c>
      <c r="Z2466">
        <v>1.5547270000000001E-3</v>
      </c>
      <c r="AA2466">
        <v>0.99982979999999999</v>
      </c>
      <c r="AB2466">
        <v>30</v>
      </c>
      <c r="AC2466">
        <v>0.78199999999998204</v>
      </c>
      <c r="AD2466">
        <v>-8.1709000000000004E-2</v>
      </c>
      <c r="AE2466">
        <v>-3.9009999999997498E-2</v>
      </c>
      <c r="AF2466">
        <v>1.7629838324707301E-2</v>
      </c>
      <c r="AG2466">
        <v>-8.1709000000000004E-2</v>
      </c>
      <c r="AH2466">
        <v>0.77433665095720705</v>
      </c>
      <c r="AI2466">
        <v>96.022084045993594</v>
      </c>
      <c r="AJ2466">
        <v>88.695734154091895</v>
      </c>
      <c r="AK2466">
        <v>0.77883529766952597</v>
      </c>
    </row>
    <row r="2467" spans="1:37" x14ac:dyDescent="0.2">
      <c r="A2467" t="str">
        <f>"20200111150642498"</f>
        <v>20200111150642498</v>
      </c>
      <c r="B2467" t="str">
        <f>"1578726402489147"</f>
        <v>1578726402489147</v>
      </c>
      <c r="C2467" t="s">
        <v>37</v>
      </c>
      <c r="D2467">
        <v>5.1919779999999998</v>
      </c>
      <c r="E2467">
        <v>0.51970819999999995</v>
      </c>
      <c r="F2467" t="s">
        <v>38</v>
      </c>
      <c r="G2467">
        <v>-259.726</v>
      </c>
      <c r="H2467">
        <v>1.0403260000000001</v>
      </c>
      <c r="I2467">
        <v>-62.683269999999901</v>
      </c>
      <c r="J2467">
        <v>-260.36599999999999</v>
      </c>
      <c r="K2467">
        <v>1.1045309999999999</v>
      </c>
      <c r="L2467">
        <v>-62.650509999999997</v>
      </c>
      <c r="M2467">
        <v>0.99957850000000004</v>
      </c>
      <c r="N2467">
        <v>0</v>
      </c>
      <c r="O2467">
        <v>-2.6339810000000002E-2</v>
      </c>
      <c r="P2467">
        <v>0.98980330000000005</v>
      </c>
      <c r="Q2467">
        <v>0.14242630000000001</v>
      </c>
      <c r="R2467">
        <v>2.1026059999999999E-3</v>
      </c>
      <c r="S2467">
        <v>3.0670470000000001</v>
      </c>
      <c r="T2467">
        <v>-0.24876519999999999</v>
      </c>
      <c r="U2467">
        <v>-0.1401367</v>
      </c>
      <c r="V2467">
        <v>-2.8614799999999899E-2</v>
      </c>
      <c r="W2467">
        <v>0.15442159999999999</v>
      </c>
      <c r="X2467">
        <v>0.98759059999999899</v>
      </c>
      <c r="Y2467">
        <v>1.9336249999999999E-2</v>
      </c>
      <c r="Z2467">
        <v>1.3489610000000001E-3</v>
      </c>
      <c r="AA2467">
        <v>0.99981209999999898</v>
      </c>
      <c r="AB2467">
        <v>30</v>
      </c>
      <c r="AC2467">
        <v>0.63999999999998602</v>
      </c>
      <c r="AD2467">
        <v>-6.4204999999999804E-2</v>
      </c>
      <c r="AE2467">
        <v>-3.2759999999996098E-2</v>
      </c>
      <c r="AF2467">
        <v>1.5731981894190401E-2</v>
      </c>
      <c r="AG2467">
        <v>-6.4204999999999804E-2</v>
      </c>
      <c r="AH2467">
        <v>0.63427411597276595</v>
      </c>
      <c r="AI2467">
        <v>95.778365858376603</v>
      </c>
      <c r="AJ2467">
        <v>88.579176777563205</v>
      </c>
      <c r="AK2467">
        <v>0.63770951966577405</v>
      </c>
    </row>
    <row r="2468" spans="1:37" x14ac:dyDescent="0.2">
      <c r="A2468" t="str">
        <f>"20200111150642508"</f>
        <v>20200111150642508</v>
      </c>
      <c r="B2468" t="str">
        <f>"1578726402498908"</f>
        <v>1578726402498908</v>
      </c>
      <c r="C2468" t="s">
        <v>37</v>
      </c>
      <c r="D2468">
        <v>5.0745209999999998</v>
      </c>
      <c r="E2468">
        <v>0.51997439999999995</v>
      </c>
      <c r="F2468" t="s">
        <v>38</v>
      </c>
      <c r="G2468">
        <v>-259.46289999999999</v>
      </c>
      <c r="H2468">
        <v>1.033488</v>
      </c>
      <c r="I2468">
        <v>-62.693010000000001</v>
      </c>
      <c r="J2468">
        <v>-260.22210000000001</v>
      </c>
      <c r="K2468">
        <v>1.104535</v>
      </c>
      <c r="L2468">
        <v>-62.653559999999999</v>
      </c>
      <c r="M2468">
        <v>0.99959690000000001</v>
      </c>
      <c r="N2468">
        <v>0</v>
      </c>
      <c r="O2468">
        <v>-2.5635729999999999E-2</v>
      </c>
      <c r="P2468">
        <v>0.98980360000000001</v>
      </c>
      <c r="Q2468">
        <v>0.142425</v>
      </c>
      <c r="R2468">
        <v>2.0816609999999998E-3</v>
      </c>
      <c r="S2468">
        <v>3.065887</v>
      </c>
      <c r="T2468">
        <v>-0.241201</v>
      </c>
      <c r="U2468">
        <v>-0.1434021</v>
      </c>
      <c r="V2468">
        <v>-2.7899E-2</v>
      </c>
      <c r="W2468">
        <v>0.15442020000000001</v>
      </c>
      <c r="X2468">
        <v>0.98761129999999997</v>
      </c>
      <c r="Y2468">
        <v>2.1111310000000001E-2</v>
      </c>
      <c r="Z2468">
        <v>1.1835960000000001E-3</v>
      </c>
      <c r="AA2468">
        <v>0.99977640000000001</v>
      </c>
      <c r="AB2468">
        <v>30</v>
      </c>
      <c r="AC2468">
        <v>0.75920000000002097</v>
      </c>
      <c r="AD2468">
        <v>-7.1046999999999999E-2</v>
      </c>
      <c r="AE2468">
        <v>-3.9450000000002199E-2</v>
      </c>
      <c r="AF2468">
        <v>1.9800006794491402E-2</v>
      </c>
      <c r="AG2468">
        <v>-7.1046999999999999E-2</v>
      </c>
      <c r="AH2468">
        <v>0.753381897796498</v>
      </c>
      <c r="AI2468">
        <v>95.385445622274304</v>
      </c>
      <c r="AJ2468">
        <v>88.494527491490899</v>
      </c>
      <c r="AK2468">
        <v>0.75698348753821298</v>
      </c>
    </row>
    <row r="2469" spans="1:37" x14ac:dyDescent="0.2">
      <c r="A2469" t="str">
        <f>"20200111150642520"</f>
        <v>20200111150642520</v>
      </c>
      <c r="B2469" t="str">
        <f>"1578726402508668"</f>
        <v>1578726402508668</v>
      </c>
      <c r="C2469" t="s">
        <v>37</v>
      </c>
      <c r="D2469">
        <v>5.0303820000000004</v>
      </c>
      <c r="E2469">
        <v>0.5200766</v>
      </c>
      <c r="F2469" t="s">
        <v>38</v>
      </c>
      <c r="G2469">
        <v>-259.45359999999999</v>
      </c>
      <c r="H2469">
        <v>1.0461940000000001</v>
      </c>
      <c r="I2469">
        <v>-62.690339999999999</v>
      </c>
      <c r="J2469">
        <v>-260.08179999999999</v>
      </c>
      <c r="K2469">
        <v>1.1045399999999901</v>
      </c>
      <c r="L2469">
        <v>-62.656459999999903</v>
      </c>
      <c r="M2469">
        <v>0.99961440000000001</v>
      </c>
      <c r="N2469">
        <v>0</v>
      </c>
      <c r="O2469">
        <v>-2.4941310000000001E-2</v>
      </c>
      <c r="P2469">
        <v>0.98983650000000001</v>
      </c>
      <c r="Q2469">
        <v>0.14218929999999999</v>
      </c>
      <c r="R2469">
        <v>2.428978E-3</v>
      </c>
      <c r="S2469">
        <v>3.064667</v>
      </c>
      <c r="T2469">
        <v>-0.23265459999999999</v>
      </c>
      <c r="U2469">
        <v>-0.14559939999999999</v>
      </c>
      <c r="V2469">
        <v>-2.7560020000000001E-2</v>
      </c>
      <c r="W2469">
        <v>0.1541846</v>
      </c>
      <c r="X2469">
        <v>0.98765759999999903</v>
      </c>
      <c r="Y2469">
        <v>2.2532590000000002E-2</v>
      </c>
      <c r="Z2469">
        <v>1.0357809999999999E-3</v>
      </c>
      <c r="AA2469">
        <v>0.99974549999999995</v>
      </c>
      <c r="AB2469">
        <v>30</v>
      </c>
      <c r="AC2469">
        <v>0.62819999999999199</v>
      </c>
      <c r="AD2469">
        <v>-5.8345999999999697E-2</v>
      </c>
      <c r="AE2469">
        <v>-3.38800000000034E-2</v>
      </c>
      <c r="AF2469">
        <v>1.8044950399869801E-2</v>
      </c>
      <c r="AG2469">
        <v>-5.8345999999999697E-2</v>
      </c>
      <c r="AH2469">
        <v>0.623486815638021</v>
      </c>
      <c r="AI2469">
        <v>95.343954204729599</v>
      </c>
      <c r="AJ2469">
        <v>88.3422087839499</v>
      </c>
      <c r="AK2469">
        <v>0.62647081753691702</v>
      </c>
    </row>
    <row r="2470" spans="1:37" x14ac:dyDescent="0.2">
      <c r="A2470" t="str">
        <f>"20200111150642531"</f>
        <v>20200111150642531</v>
      </c>
      <c r="B2470" t="str">
        <f>"1578726402519403"</f>
        <v>1578726402519403</v>
      </c>
      <c r="C2470" t="s">
        <v>37</v>
      </c>
      <c r="D2470">
        <v>5.0084799999999996</v>
      </c>
      <c r="E2470">
        <v>0.52024250000000005</v>
      </c>
      <c r="F2470" t="s">
        <v>38</v>
      </c>
      <c r="G2470">
        <v>-259.1927</v>
      </c>
      <c r="H2470">
        <v>1.039118</v>
      </c>
      <c r="I2470">
        <v>-62.69876</v>
      </c>
      <c r="J2470">
        <v>-259.92930000000001</v>
      </c>
      <c r="K2470">
        <v>1.1045450000000001</v>
      </c>
      <c r="L2470">
        <v>-62.659550000000003</v>
      </c>
      <c r="M2470">
        <v>0.99963310000000005</v>
      </c>
      <c r="N2470">
        <v>0</v>
      </c>
      <c r="O2470">
        <v>-2.4183949999999999E-2</v>
      </c>
      <c r="P2470">
        <v>0.98983759999999998</v>
      </c>
      <c r="Q2470">
        <v>0.1421666</v>
      </c>
      <c r="R2470">
        <v>3.2245500000000001E-3</v>
      </c>
      <c r="S2470">
        <v>3.0635379999999999</v>
      </c>
      <c r="T2470">
        <v>-0.22543199999999999</v>
      </c>
      <c r="U2470">
        <v>-0.14523320000000001</v>
      </c>
      <c r="V2470">
        <v>-2.7606749999999999E-2</v>
      </c>
      <c r="W2470">
        <v>0.15415970000000001</v>
      </c>
      <c r="X2470">
        <v>0.98766019999999899</v>
      </c>
      <c r="Y2470">
        <v>2.3184050000000001E-2</v>
      </c>
      <c r="Z2470">
        <v>9.2456310000000002E-4</v>
      </c>
      <c r="AA2470">
        <v>0.99973080000000003</v>
      </c>
      <c r="AB2470">
        <v>30</v>
      </c>
      <c r="AC2470">
        <v>0.73660000000000903</v>
      </c>
      <c r="AD2470">
        <v>-6.5427000000000096E-2</v>
      </c>
      <c r="AE2470">
        <v>-3.9209999999996997E-2</v>
      </c>
      <c r="AF2470">
        <v>2.1216393079069699E-2</v>
      </c>
      <c r="AG2470">
        <v>-6.5427000000000096E-2</v>
      </c>
      <c r="AH2470">
        <v>0.73157736856298206</v>
      </c>
      <c r="AI2470">
        <v>95.108388526114894</v>
      </c>
      <c r="AJ2470">
        <v>88.338837138472101</v>
      </c>
      <c r="AK2470">
        <v>0.73480356140796099</v>
      </c>
    </row>
    <row r="2471" spans="1:37" x14ac:dyDescent="0.2">
      <c r="A2471" t="str">
        <f>"20200111150642542"</f>
        <v>20200111150642542</v>
      </c>
      <c r="B2471" t="str">
        <f>"1578726402538923"</f>
        <v>1578726402538923</v>
      </c>
      <c r="C2471" t="s">
        <v>37</v>
      </c>
      <c r="D2471">
        <v>5.1341469999999996</v>
      </c>
      <c r="E2471">
        <v>0.52088080000000003</v>
      </c>
      <c r="F2471" t="s">
        <v>102</v>
      </c>
      <c r="G2471">
        <v>-244.27350000000001</v>
      </c>
      <c r="H2471" s="1">
        <v>-1.621911E-6</v>
      </c>
      <c r="I2471">
        <v>-63.395740000000004</v>
      </c>
      <c r="J2471">
        <v>-259.78019999999998</v>
      </c>
      <c r="K2471">
        <v>1.1045479999999901</v>
      </c>
      <c r="L2471">
        <v>-62.662350000000004</v>
      </c>
      <c r="M2471">
        <v>0.99965079999999995</v>
      </c>
      <c r="N2471">
        <v>0</v>
      </c>
      <c r="O2471">
        <v>-2.3436970000000001E-2</v>
      </c>
      <c r="P2471">
        <v>0.98982130000000002</v>
      </c>
      <c r="Q2471">
        <v>0.14226329999999901</v>
      </c>
      <c r="R2471">
        <v>3.8956009999999998E-3</v>
      </c>
      <c r="S2471">
        <v>3.0622859999999998</v>
      </c>
      <c r="T2471">
        <v>-0.21604999999999999</v>
      </c>
      <c r="U2471">
        <v>-0.14401249999999999</v>
      </c>
      <c r="V2471">
        <v>-2.7539930000000001E-2</v>
      </c>
      <c r="W2471">
        <v>0.15425529999999901</v>
      </c>
      <c r="X2471">
        <v>0.9876471</v>
      </c>
      <c r="Y2471">
        <v>2.3549799999999999E-2</v>
      </c>
      <c r="Z2471">
        <v>8.2108959999999999E-4</v>
      </c>
      <c r="AA2471">
        <v>0.99972229999999995</v>
      </c>
      <c r="AB2471">
        <v>30</v>
      </c>
      <c r="AC2471">
        <v>15.506699999999899</v>
      </c>
      <c r="AD2471">
        <v>-1.10454962191099</v>
      </c>
      <c r="AE2471">
        <v>-0.73338999999999999</v>
      </c>
      <c r="AF2471">
        <v>0.36786905977072498</v>
      </c>
      <c r="AG2471">
        <v>-1.10454962191099</v>
      </c>
      <c r="AH2471">
        <v>15.441457935213499</v>
      </c>
      <c r="AI2471">
        <v>94.090323743309199</v>
      </c>
      <c r="AJ2471">
        <v>88.635274049341902</v>
      </c>
      <c r="AK2471">
        <v>15.4852827122196</v>
      </c>
    </row>
    <row r="2472" spans="1:37" x14ac:dyDescent="0.2">
      <c r="A2472" t="str">
        <f>"20200111150642555"</f>
        <v>20200111150642555</v>
      </c>
      <c r="B2472" t="str">
        <f>"1578726402548683"</f>
        <v>1578726402548683</v>
      </c>
      <c r="C2472" t="s">
        <v>37</v>
      </c>
      <c r="D2472">
        <v>4.6965750000000002</v>
      </c>
      <c r="E2472">
        <v>0.52118370000000003</v>
      </c>
      <c r="F2472" t="s">
        <v>38</v>
      </c>
      <c r="G2472">
        <v>-258.91950000000003</v>
      </c>
      <c r="H2472">
        <v>1.0458829999999999</v>
      </c>
      <c r="I2472">
        <v>-62.70373</v>
      </c>
      <c r="J2472">
        <v>-259.61900000000003</v>
      </c>
      <c r="K2472">
        <v>1.1045559999999901</v>
      </c>
      <c r="L2472">
        <v>-62.66534</v>
      </c>
      <c r="M2472">
        <v>0.99966949999999999</v>
      </c>
      <c r="N2472">
        <v>0</v>
      </c>
      <c r="O2472">
        <v>-2.2627890000000001E-2</v>
      </c>
      <c r="P2472">
        <v>0.98978120000000003</v>
      </c>
      <c r="Q2472">
        <v>0.14251610000000001</v>
      </c>
      <c r="R2472">
        <v>4.7642079999999998E-3</v>
      </c>
      <c r="S2472">
        <v>3.061401</v>
      </c>
      <c r="T2472">
        <v>-0.208664399999999</v>
      </c>
      <c r="U2472">
        <v>-0.146698</v>
      </c>
      <c r="V2472">
        <v>-2.7608069999999998E-2</v>
      </c>
      <c r="W2472">
        <v>0.15450549999999999</v>
      </c>
      <c r="X2472">
        <v>0.98760609999999904</v>
      </c>
      <c r="Y2472">
        <v>2.5241710000000001E-2</v>
      </c>
      <c r="Z2472">
        <v>6.8070509999999904E-4</v>
      </c>
      <c r="AA2472">
        <v>0.99968119999999905</v>
      </c>
      <c r="AB2472">
        <v>30</v>
      </c>
      <c r="AC2472">
        <v>0.69950000000000001</v>
      </c>
      <c r="AD2472">
        <v>-5.8672999999999899E-2</v>
      </c>
      <c r="AE2472">
        <v>-3.8390000000006801E-2</v>
      </c>
      <c r="AF2472">
        <v>2.23937016724346E-2</v>
      </c>
      <c r="AG2472">
        <v>-5.8672999999999899E-2</v>
      </c>
      <c r="AH2472">
        <v>0.695312370905807</v>
      </c>
      <c r="AI2472">
        <v>94.820912653141306</v>
      </c>
      <c r="AJ2472">
        <v>88.155330906103103</v>
      </c>
      <c r="AK2472">
        <v>0.69814274467206805</v>
      </c>
    </row>
    <row r="2473" spans="1:37" x14ac:dyDescent="0.2">
      <c r="A2473" t="str">
        <f>"20200111150642566"</f>
        <v>20200111150642566</v>
      </c>
      <c r="B2473" t="str">
        <f>"1578726402559419"</f>
        <v>1578726402559419</v>
      </c>
      <c r="C2473" t="s">
        <v>37</v>
      </c>
      <c r="D2473">
        <v>5.1290250000000004</v>
      </c>
      <c r="E2473">
        <v>0.52150379999999996</v>
      </c>
      <c r="F2473" t="s">
        <v>38</v>
      </c>
      <c r="G2473">
        <v>-258.65719999999999</v>
      </c>
      <c r="H2473">
        <v>1.040511</v>
      </c>
      <c r="I2473">
        <v>-62.711280000000002</v>
      </c>
      <c r="J2473">
        <v>-259.4597</v>
      </c>
      <c r="K2473">
        <v>1.10456</v>
      </c>
      <c r="L2473">
        <v>-62.668089999999999</v>
      </c>
      <c r="M2473">
        <v>0.99968729999999995</v>
      </c>
      <c r="N2473">
        <v>0</v>
      </c>
      <c r="O2473">
        <v>-2.1825850000000001E-2</v>
      </c>
      <c r="P2473">
        <v>0.98976209999999898</v>
      </c>
      <c r="Q2473">
        <v>0.1426211</v>
      </c>
      <c r="R2473">
        <v>5.4795099999999999E-3</v>
      </c>
      <c r="S2473">
        <v>3.06100499999999</v>
      </c>
      <c r="T2473">
        <v>-0.2038394</v>
      </c>
      <c r="U2473">
        <v>-0.1461182</v>
      </c>
      <c r="V2473">
        <v>-2.7529910000000001E-2</v>
      </c>
      <c r="W2473">
        <v>0.1546091</v>
      </c>
      <c r="X2473">
        <v>0.98759209999999997</v>
      </c>
      <c r="Y2473">
        <v>2.585815E-2</v>
      </c>
      <c r="Z2473">
        <v>5.9129899999999999E-4</v>
      </c>
      <c r="AA2473">
        <v>0.99966540000000004</v>
      </c>
      <c r="AB2473">
        <v>30</v>
      </c>
      <c r="AC2473">
        <v>0.80250000000000898</v>
      </c>
      <c r="AD2473">
        <v>-6.4048999999999995E-2</v>
      </c>
      <c r="AE2473">
        <v>-4.3190000000002698E-2</v>
      </c>
      <c r="AF2473">
        <v>2.5501189373776101E-2</v>
      </c>
      <c r="AG2473">
        <v>-6.4048999999999995E-2</v>
      </c>
      <c r="AH2473">
        <v>0.798181857136953</v>
      </c>
      <c r="AI2473">
        <v>94.585460796245002</v>
      </c>
      <c r="AJ2473">
        <v>88.170074056987602</v>
      </c>
      <c r="AK2473">
        <v>0.80115345728709897</v>
      </c>
    </row>
    <row r="2474" spans="1:37" x14ac:dyDescent="0.2">
      <c r="A2474" t="str">
        <f>"20200111150642576"</f>
        <v>20200111150642576</v>
      </c>
      <c r="B2474" t="str">
        <f>"1578726402569179"</f>
        <v>1578726402569179</v>
      </c>
      <c r="C2474" t="s">
        <v>37</v>
      </c>
      <c r="D2474">
        <v>9.9517360000000004</v>
      </c>
      <c r="E2474">
        <v>0.52224250000000005</v>
      </c>
      <c r="F2474" t="s">
        <v>102</v>
      </c>
      <c r="G2474">
        <v>-242.59899999999999</v>
      </c>
      <c r="H2474" s="1">
        <v>-9.2409099999999898E-7</v>
      </c>
      <c r="I2474">
        <v>-63.472949999999997</v>
      </c>
      <c r="J2474">
        <v>-259.31650000000002</v>
      </c>
      <c r="K2474">
        <v>1.104565</v>
      </c>
      <c r="L2474">
        <v>-62.670529999999999</v>
      </c>
      <c r="M2474">
        <v>0.99970289999999995</v>
      </c>
      <c r="N2474">
        <v>0</v>
      </c>
      <c r="O2474">
        <v>-2.110393E-2</v>
      </c>
      <c r="P2474">
        <v>0.98974509999999905</v>
      </c>
      <c r="Q2474">
        <v>0.14270389999999999</v>
      </c>
      <c r="R2474">
        <v>6.3612969999999897E-3</v>
      </c>
      <c r="S2474">
        <v>3.0607599999999899</v>
      </c>
      <c r="T2474">
        <v>-0.2005132</v>
      </c>
      <c r="U2474">
        <v>-0.1461182</v>
      </c>
      <c r="V2474">
        <v>-2.7697199999999901E-2</v>
      </c>
      <c r="W2474">
        <v>0.1546901</v>
      </c>
      <c r="X2474">
        <v>0.98757469999999903</v>
      </c>
      <c r="Y2474">
        <v>2.658104E-2</v>
      </c>
      <c r="Z2474">
        <v>5.1087750000000003E-4</v>
      </c>
      <c r="AA2474">
        <v>0.99964649999999999</v>
      </c>
      <c r="AB2474">
        <v>30</v>
      </c>
      <c r="AC2474">
        <v>16.717500000000001</v>
      </c>
      <c r="AD2474">
        <v>-1.104565924091</v>
      </c>
      <c r="AE2474">
        <v>-0.80241999999999003</v>
      </c>
      <c r="AF2474">
        <v>0.44746114287728</v>
      </c>
      <c r="AG2474">
        <v>-1.104565924091</v>
      </c>
      <c r="AH2474">
        <v>16.6581565876333</v>
      </c>
      <c r="AI2474">
        <v>93.792240622167</v>
      </c>
      <c r="AJ2474">
        <v>88.461326055209199</v>
      </c>
      <c r="AK2474">
        <v>16.700732566362401</v>
      </c>
    </row>
    <row r="2475" spans="1:37" x14ac:dyDescent="0.2">
      <c r="A2475" t="str">
        <f>"20200111150642588"</f>
        <v>20200111150642588</v>
      </c>
      <c r="B2475" t="str">
        <f>"1578726402578940"</f>
        <v>1578726402578940</v>
      </c>
      <c r="C2475" t="s">
        <v>37</v>
      </c>
      <c r="D2475">
        <v>4.7110820000000002</v>
      </c>
      <c r="E2475">
        <v>0.52217329999999995</v>
      </c>
      <c r="F2475" t="s">
        <v>38</v>
      </c>
      <c r="G2475">
        <v>-258.38780000000003</v>
      </c>
      <c r="H2475">
        <v>1.042999</v>
      </c>
      <c r="I2475">
        <v>-62.715919999999997</v>
      </c>
      <c r="J2475">
        <v>-259.16039999999998</v>
      </c>
      <c r="K2475">
        <v>1.1045639999999901</v>
      </c>
      <c r="L2475">
        <v>-62.673029999999997</v>
      </c>
      <c r="M2475">
        <v>0.99971919999999903</v>
      </c>
      <c r="N2475">
        <v>0</v>
      </c>
      <c r="O2475">
        <v>-2.0316560000000001E-2</v>
      </c>
      <c r="P2475">
        <v>0.98969689999999999</v>
      </c>
      <c r="Q2475">
        <v>0.1430131</v>
      </c>
      <c r="R2475">
        <v>6.9000110000000002E-3</v>
      </c>
      <c r="S2475">
        <v>3.06134</v>
      </c>
      <c r="T2475">
        <v>-0.2029975</v>
      </c>
      <c r="U2475">
        <v>-0.14865110000000001</v>
      </c>
      <c r="V2475">
        <v>-2.745711E-2</v>
      </c>
      <c r="W2475">
        <v>0.1549982</v>
      </c>
      <c r="X2475">
        <v>0.98753310000000005</v>
      </c>
      <c r="Y2475">
        <v>2.8178999999999999E-2</v>
      </c>
      <c r="Z2475">
        <v>4.1208610000000002E-4</v>
      </c>
      <c r="AA2475">
        <v>0.99960280000000001</v>
      </c>
      <c r="AB2475">
        <v>30</v>
      </c>
      <c r="AC2475">
        <v>0.77259999999995399</v>
      </c>
      <c r="AD2475">
        <v>-6.15649999999998E-2</v>
      </c>
      <c r="AE2475">
        <v>-4.2889999999992698E-2</v>
      </c>
      <c r="AF2475">
        <v>2.7012408436526102E-2</v>
      </c>
      <c r="AG2475">
        <v>-6.15649999999998E-2</v>
      </c>
      <c r="AH2475">
        <v>0.76844747415964398</v>
      </c>
      <c r="AI2475">
        <v>94.577714505201996</v>
      </c>
      <c r="AJ2475">
        <v>87.986771968856104</v>
      </c>
      <c r="AK2475">
        <v>0.77138281026794897</v>
      </c>
    </row>
    <row r="2476" spans="1:37" x14ac:dyDescent="0.2">
      <c r="A2476" t="str">
        <f>"20200111150642599"</f>
        <v>20200111150642599</v>
      </c>
      <c r="B2476" t="str">
        <f>"1578726402588700"</f>
        <v>1578726402588700</v>
      </c>
      <c r="C2476" t="s">
        <v>37</v>
      </c>
      <c r="D2476">
        <v>8.5557949999999998</v>
      </c>
      <c r="E2476">
        <v>0.52217329999999995</v>
      </c>
      <c r="F2476" t="s">
        <v>102</v>
      </c>
      <c r="G2476">
        <v>-243.18809999999999</v>
      </c>
      <c r="H2476" s="1">
        <v>-1.166417E-6</v>
      </c>
      <c r="I2476">
        <v>-63.433839999999996</v>
      </c>
      <c r="J2476">
        <v>-259.01940000000002</v>
      </c>
      <c r="K2476">
        <v>1.104568</v>
      </c>
      <c r="L2476">
        <v>-62.675169999999902</v>
      </c>
      <c r="M2476">
        <v>0.99973339999999999</v>
      </c>
      <c r="N2476">
        <v>0</v>
      </c>
      <c r="O2476">
        <v>-1.9606080000000001E-2</v>
      </c>
      <c r="P2476">
        <v>0.98963330000000005</v>
      </c>
      <c r="Q2476">
        <v>0.14343689999999901</v>
      </c>
      <c r="R2476">
        <v>7.1957599999999998E-3</v>
      </c>
      <c r="S2476">
        <v>3.0628660000000001</v>
      </c>
      <c r="T2476">
        <v>-0.21181329999999901</v>
      </c>
      <c r="U2476">
        <v>-0.14590449999999999</v>
      </c>
      <c r="V2476">
        <v>-2.704985E-2</v>
      </c>
      <c r="W2476">
        <v>0.1554217</v>
      </c>
      <c r="X2476">
        <v>0.98747779999999996</v>
      </c>
      <c r="Y2476">
        <v>2.796825E-2</v>
      </c>
      <c r="Z2476">
        <v>3.8798239999999898E-4</v>
      </c>
      <c r="AA2476">
        <v>0.99960879999999996</v>
      </c>
      <c r="AB2476">
        <v>30</v>
      </c>
      <c r="AC2476">
        <v>15.831300000000001</v>
      </c>
      <c r="AD2476">
        <v>-1.1045691664170001</v>
      </c>
      <c r="AE2476">
        <v>-0.75867000000000895</v>
      </c>
      <c r="AF2476">
        <v>0.44594543061664299</v>
      </c>
      <c r="AG2476">
        <v>-1.1045691664170001</v>
      </c>
      <c r="AH2476">
        <v>15.766556035638001</v>
      </c>
      <c r="AI2476">
        <v>94.005867823903102</v>
      </c>
      <c r="AJ2476">
        <v>88.3798630000326</v>
      </c>
      <c r="AK2476">
        <v>15.8114904292859</v>
      </c>
    </row>
    <row r="2477" spans="1:37" x14ac:dyDescent="0.2">
      <c r="A2477" t="str">
        <f>"20200111150642631"</f>
        <v>20200111150642631</v>
      </c>
      <c r="B2477" t="str">
        <f>"1578726402628715"</f>
        <v>1578726402628715</v>
      </c>
      <c r="C2477" t="s">
        <v>37</v>
      </c>
      <c r="D2477">
        <v>5.1347949999999898</v>
      </c>
      <c r="E2477">
        <v>0.50770559999999998</v>
      </c>
      <c r="F2477" t="s">
        <v>38</v>
      </c>
      <c r="G2477">
        <v>-258.12049999999999</v>
      </c>
      <c r="H2477">
        <v>1.0427599999999999</v>
      </c>
      <c r="I2477">
        <v>-62.717610000000001</v>
      </c>
      <c r="J2477">
        <v>-258.5908</v>
      </c>
      <c r="K2477">
        <v>1.1045860000000001</v>
      </c>
      <c r="L2477">
        <v>-62.681089999999998</v>
      </c>
      <c r="M2477">
        <v>0.99977329999999998</v>
      </c>
      <c r="N2477">
        <v>0</v>
      </c>
      <c r="O2477">
        <v>-1.744795E-2</v>
      </c>
      <c r="P2477">
        <v>0.98941429999999997</v>
      </c>
      <c r="Q2477">
        <v>0.14486689999999999</v>
      </c>
      <c r="R2477">
        <v>8.5536759999999996E-3</v>
      </c>
      <c r="S2477">
        <v>3.0629729999999999</v>
      </c>
      <c r="T2477">
        <v>-0.21061869999999999</v>
      </c>
      <c r="U2477">
        <v>-0.144531299999999</v>
      </c>
      <c r="V2477">
        <v>-2.6273029999999999E-2</v>
      </c>
      <c r="W2477">
        <v>0.1568483</v>
      </c>
      <c r="X2477">
        <v>0.98727319999999996</v>
      </c>
      <c r="Y2477">
        <v>2.966833E-2</v>
      </c>
      <c r="Z2477">
        <v>1.793404E-4</v>
      </c>
      <c r="AA2477">
        <v>0.9995598</v>
      </c>
      <c r="AB2477">
        <v>30</v>
      </c>
      <c r="AC2477">
        <v>0.47030000000000799</v>
      </c>
      <c r="AD2477">
        <v>-6.1825999999999902E-2</v>
      </c>
      <c r="AE2477">
        <v>-3.6519999999995799E-2</v>
      </c>
      <c r="AF2477">
        <v>2.7829984679824501E-2</v>
      </c>
      <c r="AG2477">
        <v>-6.1825999999999902E-2</v>
      </c>
      <c r="AH2477">
        <v>0.462913552555406</v>
      </c>
      <c r="AI2477">
        <v>97.593763589912598</v>
      </c>
      <c r="AJ2477">
        <v>86.559565485847102</v>
      </c>
      <c r="AK2477">
        <v>0.46785245480038401</v>
      </c>
    </row>
    <row r="2478" spans="1:37" x14ac:dyDescent="0.2">
      <c r="A2478" t="str">
        <f>"20200111150642642"</f>
        <v>20200111150642642</v>
      </c>
      <c r="B2478" t="str">
        <f>"1578726402639452"</f>
        <v>1578726402639452</v>
      </c>
      <c r="C2478" t="s">
        <v>37</v>
      </c>
      <c r="D2478">
        <v>5.5449000000000002</v>
      </c>
      <c r="E2478">
        <v>0.50468000000000002</v>
      </c>
      <c r="F2478" t="s">
        <v>38</v>
      </c>
      <c r="G2478">
        <v>-257.91180000000003</v>
      </c>
      <c r="H2478">
        <v>0.91747780000000001</v>
      </c>
      <c r="I2478">
        <v>-62.683990000000001</v>
      </c>
      <c r="J2478">
        <v>-258.44409999999999</v>
      </c>
      <c r="K2478">
        <v>1.1045909999999901</v>
      </c>
      <c r="L2478">
        <v>-62.68289</v>
      </c>
      <c r="M2478">
        <v>0.99978599999999995</v>
      </c>
      <c r="N2478">
        <v>0</v>
      </c>
      <c r="O2478">
        <v>-1.6711009999999998E-2</v>
      </c>
      <c r="P2478">
        <v>0.98934069999999996</v>
      </c>
      <c r="Q2478">
        <v>0.1453306</v>
      </c>
      <c r="R2478">
        <v>9.1947680000000007E-3</v>
      </c>
      <c r="S2478">
        <v>3.1596679999999999</v>
      </c>
      <c r="T2478">
        <v>-0.87077680000000002</v>
      </c>
      <c r="U2478">
        <v>-1.254272E-2</v>
      </c>
      <c r="V2478">
        <v>-2.6185400000000001E-2</v>
      </c>
      <c r="W2478">
        <v>0.1573108</v>
      </c>
      <c r="X2478">
        <v>0.98720189999999997</v>
      </c>
      <c r="Y2478">
        <v>-1.168451E-2</v>
      </c>
      <c r="Z2478">
        <v>6.10186199999999E-3</v>
      </c>
      <c r="AA2478">
        <v>0.999913099999999</v>
      </c>
      <c r="AB2478">
        <v>30</v>
      </c>
      <c r="AC2478">
        <v>0.53229999999996302</v>
      </c>
      <c r="AD2478">
        <v>-0.18711319999999901</v>
      </c>
      <c r="AE2478">
        <v>-1.10000000000098E-3</v>
      </c>
      <c r="AF2478">
        <v>-6.9387071058912902E-3</v>
      </c>
      <c r="AG2478">
        <v>-0.18711319999999901</v>
      </c>
      <c r="AH2478">
        <v>0.47371022820888498</v>
      </c>
      <c r="AI2478">
        <v>111.551675236999</v>
      </c>
      <c r="AJ2478">
        <v>90.839184337096796</v>
      </c>
      <c r="AK2478">
        <v>0.50937302203812795</v>
      </c>
    </row>
    <row r="2479" spans="1:37" x14ac:dyDescent="0.2">
      <c r="A2479" t="str">
        <f>"20200111150642654"</f>
        <v>20200111150642654</v>
      </c>
      <c r="B2479" t="str">
        <f>"1578726402649210"</f>
        <v>1578726402649210</v>
      </c>
      <c r="C2479" t="s">
        <v>37</v>
      </c>
      <c r="D2479">
        <v>8.99758999999999</v>
      </c>
      <c r="E2479">
        <v>0.502861</v>
      </c>
      <c r="F2479" t="s">
        <v>38</v>
      </c>
      <c r="G2479">
        <v>-257.64839999999998</v>
      </c>
      <c r="H2479">
        <v>0.90720900000000004</v>
      </c>
      <c r="I2479">
        <v>-62.680030000000002</v>
      </c>
      <c r="J2479">
        <v>-258.28649999999999</v>
      </c>
      <c r="K2479">
        <v>1.104595</v>
      </c>
      <c r="L2479">
        <v>-62.684750000000001</v>
      </c>
      <c r="M2479">
        <v>0.99979889999999905</v>
      </c>
      <c r="N2479">
        <v>0</v>
      </c>
      <c r="O2479">
        <v>-1.5919599999999999E-2</v>
      </c>
      <c r="P2479">
        <v>0.98921369999999897</v>
      </c>
      <c r="Q2479">
        <v>0.146137299999999</v>
      </c>
      <c r="R2479">
        <v>1.0014830000000001E-2</v>
      </c>
      <c r="S2479">
        <v>3.1468959999999999</v>
      </c>
      <c r="T2479">
        <v>-0.78066230000000003</v>
      </c>
      <c r="U2479">
        <v>1.1810299999999999E-2</v>
      </c>
      <c r="V2479">
        <v>-2.622294E-2</v>
      </c>
      <c r="W2479">
        <v>0.15811500000000001</v>
      </c>
      <c r="X2479">
        <v>0.98707250000000002</v>
      </c>
      <c r="Y2479">
        <v>-1.8626050000000002E-2</v>
      </c>
      <c r="Z2479">
        <v>6.1662740000000002E-3</v>
      </c>
      <c r="AA2479">
        <v>0.99980749999999996</v>
      </c>
      <c r="AB2479">
        <v>30</v>
      </c>
      <c r="AC2479">
        <v>0.63810000000000799</v>
      </c>
      <c r="AD2479">
        <v>-0.19738599999999901</v>
      </c>
      <c r="AE2479">
        <v>4.7199999999989403E-3</v>
      </c>
      <c r="AF2479">
        <v>-1.3579168439720001E-2</v>
      </c>
      <c r="AG2479">
        <v>-0.19738599999999901</v>
      </c>
      <c r="AH2479">
        <v>0.58223446695014502</v>
      </c>
      <c r="AI2479">
        <v>108.722674084742</v>
      </c>
      <c r="AJ2479">
        <v>91.336039111704196</v>
      </c>
      <c r="AK2479">
        <v>0.61493300555120201</v>
      </c>
    </row>
    <row r="2480" spans="1:37" x14ac:dyDescent="0.2">
      <c r="A2480" t="str">
        <f>"20200111150642665"</f>
        <v>20200111150642665</v>
      </c>
      <c r="B2480" t="str">
        <f>"1578726402658971"</f>
        <v>1578726402658971</v>
      </c>
      <c r="C2480" t="s">
        <v>37</v>
      </c>
      <c r="D2480">
        <v>7.712866</v>
      </c>
      <c r="E2480">
        <v>0.4951392</v>
      </c>
      <c r="F2480" t="s">
        <v>38</v>
      </c>
      <c r="G2480">
        <v>-257.38130000000001</v>
      </c>
      <c r="H2480">
        <v>0.90589140000000001</v>
      </c>
      <c r="I2480">
        <v>-62.676990000000004</v>
      </c>
      <c r="J2480">
        <v>-258.1268</v>
      </c>
      <c r="K2480">
        <v>1.1045969999999901</v>
      </c>
      <c r="L2480">
        <v>-62.686459999999997</v>
      </c>
      <c r="M2480">
        <v>0.99981139999999902</v>
      </c>
      <c r="N2480">
        <v>0</v>
      </c>
      <c r="O2480">
        <v>-1.512081E-2</v>
      </c>
      <c r="P2480">
        <v>0.98913169999999995</v>
      </c>
      <c r="Q2480">
        <v>0.14661009999999999</v>
      </c>
      <c r="R2480">
        <v>1.1150790000000001E-2</v>
      </c>
      <c r="S2480">
        <v>3.1340479999999999</v>
      </c>
      <c r="T2480">
        <v>-0.68805780000000005</v>
      </c>
      <c r="U2480">
        <v>2.7404789999999998E-2</v>
      </c>
      <c r="V2480">
        <v>-2.656874E-2</v>
      </c>
      <c r="W2480">
        <v>0.15858539999999999</v>
      </c>
      <c r="X2480">
        <v>0.98698770000000002</v>
      </c>
      <c r="Y2480">
        <v>-2.2957399999999999E-2</v>
      </c>
      <c r="Z2480">
        <v>5.7711059999999998E-3</v>
      </c>
      <c r="AA2480">
        <v>0.99971980000000005</v>
      </c>
      <c r="AB2480">
        <v>30</v>
      </c>
      <c r="AC2480">
        <v>0.74549999999999195</v>
      </c>
      <c r="AD2480">
        <v>-0.19870559999999901</v>
      </c>
      <c r="AE2480">
        <v>9.4699999999931991E-3</v>
      </c>
      <c r="AF2480">
        <v>-1.93666629135773E-2</v>
      </c>
      <c r="AG2480">
        <v>-0.19870559999999901</v>
      </c>
      <c r="AH2480">
        <v>0.69584425246336801</v>
      </c>
      <c r="AI2480">
        <v>105.931390933478</v>
      </c>
      <c r="AJ2480">
        <v>91.594238460859103</v>
      </c>
      <c r="AK2480">
        <v>0.72391864652740601</v>
      </c>
    </row>
    <row r="2481" spans="1:37" x14ac:dyDescent="0.2">
      <c r="A2481" t="str">
        <f>"20200111150642676"</f>
        <v>20200111150642676</v>
      </c>
      <c r="B2481" t="str">
        <f>"1578726402668733"</f>
        <v>1578726402668733</v>
      </c>
      <c r="C2481" t="s">
        <v>37</v>
      </c>
      <c r="D2481">
        <v>6.4314549999999997</v>
      </c>
      <c r="E2481">
        <v>0.49013420000000002</v>
      </c>
      <c r="F2481" t="s">
        <v>38</v>
      </c>
      <c r="G2481">
        <v>-257.35879999999997</v>
      </c>
      <c r="H2481">
        <v>0.9550978</v>
      </c>
      <c r="I2481">
        <v>-62.66413</v>
      </c>
      <c r="J2481">
        <v>-257.98009999999999</v>
      </c>
      <c r="K2481">
        <v>1.1045929999999999</v>
      </c>
      <c r="L2481">
        <v>-62.687930000000001</v>
      </c>
      <c r="M2481">
        <v>0.99982209999999905</v>
      </c>
      <c r="N2481">
        <v>0</v>
      </c>
      <c r="O2481">
        <v>-1.4388420000000001E-2</v>
      </c>
      <c r="P2481">
        <v>0.98900509999999997</v>
      </c>
      <c r="Q2481">
        <v>0.14736459999999901</v>
      </c>
      <c r="R2481">
        <v>1.235867E-2</v>
      </c>
      <c r="S2481">
        <v>3.1220249999999998</v>
      </c>
      <c r="T2481">
        <v>-0.60777429999999999</v>
      </c>
      <c r="U2481">
        <v>9.1400149999999999E-2</v>
      </c>
      <c r="V2481">
        <v>-2.7052059999999999E-2</v>
      </c>
      <c r="W2481">
        <v>0.1593358</v>
      </c>
      <c r="X2481">
        <v>0.98685369999999994</v>
      </c>
      <c r="Y2481">
        <v>-4.2575120000000001E-2</v>
      </c>
      <c r="Z2481">
        <v>6.8794190000000003E-3</v>
      </c>
      <c r="AA2481">
        <v>0.9990696</v>
      </c>
      <c r="AB2481">
        <v>30</v>
      </c>
      <c r="AC2481">
        <v>0.62130000000001895</v>
      </c>
      <c r="AD2481">
        <v>-0.149495199999999</v>
      </c>
      <c r="AE2481">
        <v>2.3799999999994201E-2</v>
      </c>
      <c r="AF2481">
        <v>-3.09485415277224E-2</v>
      </c>
      <c r="AG2481">
        <v>-0.149495199999999</v>
      </c>
      <c r="AH2481">
        <v>0.58696010325723202</v>
      </c>
      <c r="AI2481">
        <v>104.270075814441</v>
      </c>
      <c r="AJ2481">
        <v>93.018229489764195</v>
      </c>
      <c r="AK2481">
        <v>0.60648890332921501</v>
      </c>
    </row>
    <row r="2482" spans="1:37" x14ac:dyDescent="0.2">
      <c r="A2482" t="str">
        <f>"20200111150642687"</f>
        <v>20200111150642687</v>
      </c>
      <c r="B2482" t="str">
        <f>"1578726402679467"</f>
        <v>1578726402679467</v>
      </c>
      <c r="C2482" t="s">
        <v>37</v>
      </c>
      <c r="D2482">
        <v>5.5837940000000001</v>
      </c>
      <c r="E2482">
        <v>0.48970229999999998</v>
      </c>
      <c r="F2482" t="s">
        <v>38</v>
      </c>
      <c r="G2482">
        <v>-257.09199999999998</v>
      </c>
      <c r="H2482">
        <v>0.95205949999999995</v>
      </c>
      <c r="I2482">
        <v>-62.649839999999998</v>
      </c>
      <c r="J2482">
        <v>-257.83390000000003</v>
      </c>
      <c r="K2482">
        <v>1.10459</v>
      </c>
      <c r="L2482">
        <v>-62.689300000000003</v>
      </c>
      <c r="M2482">
        <v>0.99983230000000001</v>
      </c>
      <c r="N2482">
        <v>0</v>
      </c>
      <c r="O2482">
        <v>-1.366117E-2</v>
      </c>
      <c r="P2482">
        <v>0.98892530000000001</v>
      </c>
      <c r="Q2482">
        <v>0.1477945</v>
      </c>
      <c r="R2482">
        <v>1.354413E-2</v>
      </c>
      <c r="S2482">
        <v>3.1112980000000001</v>
      </c>
      <c r="T2482">
        <v>-0.53437570000000001</v>
      </c>
      <c r="U2482">
        <v>0.13381960000000001</v>
      </c>
      <c r="V2482">
        <v>-2.7517400000000001E-2</v>
      </c>
      <c r="W2482">
        <v>0.15976279999999901</v>
      </c>
      <c r="X2482">
        <v>0.98677179999999998</v>
      </c>
      <c r="Y2482">
        <v>-5.5604199999999902E-2</v>
      </c>
      <c r="Z2482">
        <v>7.0667880000000001E-3</v>
      </c>
      <c r="AA2482">
        <v>0.99842790000000003</v>
      </c>
      <c r="AB2482">
        <v>30</v>
      </c>
      <c r="AC2482">
        <v>0.74190000000004297</v>
      </c>
      <c r="AD2482">
        <v>-0.15253050000000001</v>
      </c>
      <c r="AE2482">
        <v>3.9459999999998198E-2</v>
      </c>
      <c r="AF2482">
        <v>-4.7586529074731099E-2</v>
      </c>
      <c r="AG2482">
        <v>-0.15253050000000001</v>
      </c>
      <c r="AH2482">
        <v>0.71131005205341402</v>
      </c>
      <c r="AI2482">
        <v>102.07679074153</v>
      </c>
      <c r="AJ2482">
        <v>93.827375393968794</v>
      </c>
      <c r="AK2482">
        <v>0.72903499321490794</v>
      </c>
    </row>
    <row r="2483" spans="1:37" x14ac:dyDescent="0.2">
      <c r="A2483" t="str">
        <f>"20200111150642698"</f>
        <v>20200111150642698</v>
      </c>
      <c r="B2483" t="str">
        <f>"1578726402689228"</f>
        <v>1578726402689228</v>
      </c>
      <c r="C2483" t="s">
        <v>37</v>
      </c>
      <c r="D2483">
        <v>8.6403920000000003</v>
      </c>
      <c r="E2483">
        <v>0.49033300000000002</v>
      </c>
      <c r="F2483" t="s">
        <v>38</v>
      </c>
      <c r="G2483">
        <v>-257.0745</v>
      </c>
      <c r="H2483">
        <v>0.98993609999999899</v>
      </c>
      <c r="I2483">
        <v>-62.655239999999999</v>
      </c>
      <c r="J2483">
        <v>-257.68470000000002</v>
      </c>
      <c r="K2483">
        <v>1.104587</v>
      </c>
      <c r="L2483">
        <v>-62.690550000000002</v>
      </c>
      <c r="M2483">
        <v>0.99984209999999996</v>
      </c>
      <c r="N2483">
        <v>0</v>
      </c>
      <c r="O2483">
        <v>-1.292369E-2</v>
      </c>
      <c r="P2483">
        <v>0.98892909999999901</v>
      </c>
      <c r="Q2483">
        <v>0.1476391</v>
      </c>
      <c r="R2483">
        <v>1.490413E-2</v>
      </c>
      <c r="S2483">
        <v>3.1016689999999998</v>
      </c>
      <c r="T2483">
        <v>-0.4682539</v>
      </c>
      <c r="U2483">
        <v>0.13955689999999901</v>
      </c>
      <c r="V2483">
        <v>-2.8146279999999999E-2</v>
      </c>
      <c r="W2483">
        <v>0.15960550000000001</v>
      </c>
      <c r="X2483">
        <v>0.98677959999999998</v>
      </c>
      <c r="Y2483">
        <v>-5.706489E-2</v>
      </c>
      <c r="Z2483">
        <v>6.2204540000000003E-3</v>
      </c>
      <c r="AA2483">
        <v>0.99835110000000005</v>
      </c>
      <c r="AB2483">
        <v>30</v>
      </c>
      <c r="AC2483">
        <v>0.61020000000001995</v>
      </c>
      <c r="AD2483">
        <v>-0.1146509</v>
      </c>
      <c r="AE2483">
        <v>3.5310000000002603E-2</v>
      </c>
      <c r="AF2483">
        <v>-4.1725555303056799E-2</v>
      </c>
      <c r="AG2483">
        <v>-0.1146509</v>
      </c>
      <c r="AH2483">
        <v>0.58896970769163903</v>
      </c>
      <c r="AI2483">
        <v>100.98876465261399</v>
      </c>
      <c r="AJ2483">
        <v>94.052348598750299</v>
      </c>
      <c r="AK2483">
        <v>0.60147416188439295</v>
      </c>
    </row>
    <row r="2484" spans="1:37" x14ac:dyDescent="0.2">
      <c r="A2484" t="str">
        <f>"20200111150642710"</f>
        <v>20200111150642710</v>
      </c>
      <c r="B2484" t="str">
        <f>"1578726402698988"</f>
        <v>1578726402698988</v>
      </c>
      <c r="C2484" t="s">
        <v>37</v>
      </c>
      <c r="D2484">
        <v>4.6784429999999997</v>
      </c>
      <c r="E2484">
        <v>0.49110929999999903</v>
      </c>
      <c r="F2484" t="s">
        <v>38</v>
      </c>
      <c r="G2484">
        <v>-256.80990000000003</v>
      </c>
      <c r="H2484">
        <v>0.98383690000000001</v>
      </c>
      <c r="I2484">
        <v>-62.652019999999901</v>
      </c>
      <c r="J2484">
        <v>-257.52800000000002</v>
      </c>
      <c r="K2484">
        <v>1.104581</v>
      </c>
      <c r="L2484">
        <v>-62.691800000000001</v>
      </c>
      <c r="M2484">
        <v>0.99985190000000002</v>
      </c>
      <c r="N2484">
        <v>0</v>
      </c>
      <c r="O2484">
        <v>-1.2152609999999999E-2</v>
      </c>
      <c r="P2484">
        <v>0.98886580000000002</v>
      </c>
      <c r="Q2484">
        <v>0.14792339999999901</v>
      </c>
      <c r="R2484">
        <v>1.623577E-2</v>
      </c>
      <c r="S2484">
        <v>3.0952759999999899</v>
      </c>
      <c r="T2484">
        <v>-0.42724620000000002</v>
      </c>
      <c r="U2484">
        <v>0.1373596</v>
      </c>
      <c r="V2484">
        <v>-2.871336E-2</v>
      </c>
      <c r="W2484">
        <v>0.15988649999999999</v>
      </c>
      <c r="X2484">
        <v>0.98671769999999903</v>
      </c>
      <c r="Y2484">
        <v>-5.5828450000000002E-2</v>
      </c>
      <c r="Z2484">
        <v>5.501934E-3</v>
      </c>
      <c r="AA2484">
        <v>0.99842520000000001</v>
      </c>
      <c r="AB2484">
        <v>30</v>
      </c>
      <c r="AC2484">
        <v>0.71809999999999197</v>
      </c>
      <c r="AD2484">
        <v>-0.12074409999999999</v>
      </c>
      <c r="AE2484">
        <v>3.97800000000074E-2</v>
      </c>
      <c r="AF2484">
        <v>-4.7174835908837198E-2</v>
      </c>
      <c r="AG2484">
        <v>-0.12074409999999999</v>
      </c>
      <c r="AH2484">
        <v>0.69789278844283598</v>
      </c>
      <c r="AI2484">
        <v>99.793795410103201</v>
      </c>
      <c r="AJ2484">
        <v>93.867088949495695</v>
      </c>
      <c r="AK2484">
        <v>0.70983022405949503</v>
      </c>
    </row>
    <row r="2485" spans="1:37" x14ac:dyDescent="0.2">
      <c r="A2485" t="str">
        <f>"20200111150642722"</f>
        <v>20200111150642722</v>
      </c>
      <c r="B2485" t="str">
        <f>"1578726402719485"</f>
        <v>1578726402719485</v>
      </c>
      <c r="C2485" t="s">
        <v>37</v>
      </c>
      <c r="D2485">
        <v>5.1829669999999997</v>
      </c>
      <c r="E2485">
        <v>0.51237619999999995</v>
      </c>
      <c r="F2485" t="s">
        <v>38</v>
      </c>
      <c r="G2485">
        <v>-256.7971</v>
      </c>
      <c r="H2485">
        <v>1.0104739999999901</v>
      </c>
      <c r="I2485">
        <v>-62.660429999999998</v>
      </c>
      <c r="J2485">
        <v>-257.37630000000001</v>
      </c>
      <c r="K2485">
        <v>1.104573</v>
      </c>
      <c r="L2485">
        <v>-62.6928699999999</v>
      </c>
      <c r="M2485">
        <v>0.99986049999999904</v>
      </c>
      <c r="N2485">
        <v>0</v>
      </c>
      <c r="O2485">
        <v>-1.141529E-2</v>
      </c>
      <c r="P2485">
        <v>0.98889490000000002</v>
      </c>
      <c r="Q2485">
        <v>0.14761469999999999</v>
      </c>
      <c r="R2485">
        <v>1.7226459999999999E-2</v>
      </c>
      <c r="S2485">
        <v>3.09111</v>
      </c>
      <c r="T2485">
        <v>-0.39795799999999998</v>
      </c>
      <c r="U2485">
        <v>0.13388059999999999</v>
      </c>
      <c r="V2485">
        <v>-2.8970780000000002E-2</v>
      </c>
      <c r="W2485">
        <v>0.1595782</v>
      </c>
      <c r="X2485">
        <v>0.98676010000000003</v>
      </c>
      <c r="Y2485">
        <v>-5.4133500000000001E-2</v>
      </c>
      <c r="Z2485">
        <v>4.931815E-3</v>
      </c>
      <c r="AA2485">
        <v>0.99852149999999995</v>
      </c>
      <c r="AB2485">
        <v>30</v>
      </c>
      <c r="AC2485">
        <v>0.57920000000001404</v>
      </c>
      <c r="AD2485">
        <v>-9.4099000000000099E-2</v>
      </c>
      <c r="AE2485">
        <v>3.2439999999986903E-2</v>
      </c>
      <c r="AF2485">
        <v>-3.8048971670935697E-2</v>
      </c>
      <c r="AG2485">
        <v>-9.4099000000000099E-2</v>
      </c>
      <c r="AH2485">
        <v>0.563953219015906</v>
      </c>
      <c r="AI2485">
        <v>99.451780152872502</v>
      </c>
      <c r="AJ2485">
        <v>93.859800045547402</v>
      </c>
      <c r="AK2485">
        <v>0.57301446690691704</v>
      </c>
    </row>
    <row r="2486" spans="1:37" x14ac:dyDescent="0.2">
      <c r="A2486" t="str">
        <f>"20200111150642734"</f>
        <v>20200111150642734</v>
      </c>
      <c r="B2486" t="str">
        <f>"1578726402729244"</f>
        <v>1578726402729244</v>
      </c>
      <c r="C2486" t="s">
        <v>37</v>
      </c>
      <c r="D2486">
        <v>5.1889279999999998</v>
      </c>
      <c r="E2486">
        <v>0.51022619999999996</v>
      </c>
      <c r="F2486" t="s">
        <v>76</v>
      </c>
      <c r="G2486">
        <v>-157.3501</v>
      </c>
      <c r="H2486">
        <v>0.75595089999999998</v>
      </c>
      <c r="I2486">
        <v>-64.000990000000002</v>
      </c>
      <c r="J2486">
        <v>-257.22649999999999</v>
      </c>
      <c r="K2486">
        <v>1.1045659999999999</v>
      </c>
      <c r="L2486">
        <v>-62.69388</v>
      </c>
      <c r="M2486">
        <v>0.99986849999999905</v>
      </c>
      <c r="N2486">
        <v>0</v>
      </c>
      <c r="O2486">
        <v>-1.06905E-2</v>
      </c>
      <c r="P2486">
        <v>0.98895619999999995</v>
      </c>
      <c r="Q2486">
        <v>0.14713019999999999</v>
      </c>
      <c r="R2486">
        <v>1.78430999999999E-2</v>
      </c>
      <c r="S2486">
        <v>3.0359340000000001</v>
      </c>
      <c r="T2486">
        <v>-1.0581729999999999E-2</v>
      </c>
      <c r="U2486">
        <v>-3.9703370000000002E-2</v>
      </c>
      <c r="V2486">
        <v>-2.8867190000000001E-2</v>
      </c>
      <c r="W2486">
        <v>0.15909479999999901</v>
      </c>
      <c r="X2486">
        <v>0.98684119999999997</v>
      </c>
      <c r="Y2486">
        <v>2.3856099999999998E-3</v>
      </c>
      <c r="Z2486" s="1">
        <v>3.3104239999999997E-5</v>
      </c>
      <c r="AA2486">
        <v>0.99999709999999997</v>
      </c>
      <c r="AB2486">
        <v>30</v>
      </c>
      <c r="AC2486">
        <v>99.876400000000004</v>
      </c>
      <c r="AD2486">
        <v>-0.34861510000000001</v>
      </c>
      <c r="AE2486">
        <v>-1.30710999999999</v>
      </c>
      <c r="AF2486">
        <v>0.23922433349969899</v>
      </c>
      <c r="AG2486">
        <v>-0.34861510000000001</v>
      </c>
      <c r="AH2486">
        <v>99.8834497036203</v>
      </c>
      <c r="AI2486">
        <v>90.1999734247416</v>
      </c>
      <c r="AJ2486">
        <v>89.862774879128196</v>
      </c>
      <c r="AK2486">
        <v>99.884344546406894</v>
      </c>
    </row>
    <row r="2487" spans="1:37" x14ac:dyDescent="0.2">
      <c r="A2487" t="str">
        <f>"20200111150642744"</f>
        <v>20200111150642744</v>
      </c>
      <c r="B2487" t="str">
        <f>"1578726402739004"</f>
        <v>1578726402739004</v>
      </c>
      <c r="C2487" t="s">
        <v>37</v>
      </c>
      <c r="D2487">
        <v>6.8674009999999903</v>
      </c>
      <c r="E2487">
        <v>0.51022619999999996</v>
      </c>
      <c r="F2487" t="s">
        <v>76</v>
      </c>
      <c r="G2487">
        <v>-157.3501</v>
      </c>
      <c r="H2487">
        <v>1.014921</v>
      </c>
      <c r="I2487">
        <v>-63.379959999999997</v>
      </c>
      <c r="J2487">
        <v>-257.07040000000001</v>
      </c>
      <c r="K2487">
        <v>1.104555</v>
      </c>
      <c r="L2487">
        <v>-62.69473</v>
      </c>
      <c r="M2487">
        <v>0.99987619999999899</v>
      </c>
      <c r="N2487">
        <v>0</v>
      </c>
      <c r="O2487">
        <v>-9.9477439999999997E-3</v>
      </c>
      <c r="P2487">
        <v>0.98897239999999997</v>
      </c>
      <c r="Q2487">
        <v>0.14700070000000001</v>
      </c>
      <c r="R2487">
        <v>1.8020850000000001E-2</v>
      </c>
      <c r="S2487">
        <v>3.0342859999999998</v>
      </c>
      <c r="T2487">
        <v>-2.7240509999999999E-3</v>
      </c>
      <c r="U2487">
        <v>-2.0843509999999999E-2</v>
      </c>
      <c r="V2487">
        <v>-2.830593E-2</v>
      </c>
      <c r="W2487">
        <v>0.1589672</v>
      </c>
      <c r="X2487">
        <v>0.98687800000000003</v>
      </c>
      <c r="Y2487">
        <v>-3.0794189999999999E-3</v>
      </c>
      <c r="Z2487" s="1">
        <v>1.0313289999999999E-5</v>
      </c>
      <c r="AA2487">
        <v>0.99999519999999997</v>
      </c>
      <c r="AB2487">
        <v>30</v>
      </c>
      <c r="AC2487">
        <v>99.720299999999995</v>
      </c>
      <c r="AD2487">
        <v>-8.9633999999999894E-2</v>
      </c>
      <c r="AE2487">
        <v>-0.68522999999999001</v>
      </c>
      <c r="AF2487">
        <v>-0.30686940497225601</v>
      </c>
      <c r="AG2487">
        <v>-8.9633999999999894E-2</v>
      </c>
      <c r="AH2487">
        <v>99.7221015368346</v>
      </c>
      <c r="AI2487">
        <v>90.051499357945801</v>
      </c>
      <c r="AJ2487">
        <v>90.176312632783507</v>
      </c>
      <c r="AK2487">
        <v>99.722613975007704</v>
      </c>
    </row>
    <row r="2488" spans="1:37" x14ac:dyDescent="0.2">
      <c r="A2488" t="str">
        <f>"20200111150642755"</f>
        <v>20200111150642755</v>
      </c>
      <c r="B2488" t="str">
        <f>"1578726402748763"</f>
        <v>1578726402748763</v>
      </c>
      <c r="C2488" t="s">
        <v>37</v>
      </c>
      <c r="D2488">
        <v>6.0096970000000001</v>
      </c>
      <c r="E2488">
        <v>0.50926919999999998</v>
      </c>
      <c r="F2488" t="s">
        <v>76</v>
      </c>
      <c r="G2488">
        <v>-157.3501</v>
      </c>
      <c r="H2488">
        <v>1.0030859999999999</v>
      </c>
      <c r="I2488">
        <v>-63.368699999999997</v>
      </c>
      <c r="J2488">
        <v>-256.93009999999998</v>
      </c>
      <c r="K2488">
        <v>1.104541</v>
      </c>
      <c r="L2488">
        <v>-62.695469999999901</v>
      </c>
      <c r="M2488">
        <v>0.99988269999999901</v>
      </c>
      <c r="N2488">
        <v>0</v>
      </c>
      <c r="O2488">
        <v>-9.2842500000000008E-3</v>
      </c>
      <c r="P2488">
        <v>0.98902679999999998</v>
      </c>
      <c r="Q2488">
        <v>0.14658019999999999</v>
      </c>
      <c r="R2488">
        <v>1.8455470000000002E-2</v>
      </c>
      <c r="S2488">
        <v>3.0343169999999899</v>
      </c>
      <c r="T2488">
        <v>-3.088117E-3</v>
      </c>
      <c r="U2488">
        <v>-2.0507810000000001E-2</v>
      </c>
      <c r="V2488">
        <v>-2.8079130000000001E-2</v>
      </c>
      <c r="W2488">
        <v>0.15854860000000001</v>
      </c>
      <c r="X2488">
        <v>0.98695180000000005</v>
      </c>
      <c r="Y2488">
        <v>-2.5265410000000002E-3</v>
      </c>
      <c r="Z2488" s="1">
        <v>1.073493E-5</v>
      </c>
      <c r="AA2488">
        <v>0.99999680000000002</v>
      </c>
      <c r="AB2488">
        <v>30</v>
      </c>
      <c r="AC2488">
        <v>99.579999999999899</v>
      </c>
      <c r="AD2488">
        <v>-0.101454999999999</v>
      </c>
      <c r="AE2488">
        <v>-0.67323000000000299</v>
      </c>
      <c r="AF2488">
        <v>-0.25139297662216398</v>
      </c>
      <c r="AG2488">
        <v>-0.101454999999999</v>
      </c>
      <c r="AH2488">
        <v>99.581855043989805</v>
      </c>
      <c r="AI2488">
        <v>90.058373312826703</v>
      </c>
      <c r="AJ2488">
        <v>90.144642073145903</v>
      </c>
      <c r="AK2488">
        <v>99.582224043992497</v>
      </c>
    </row>
    <row r="2489" spans="1:37" x14ac:dyDescent="0.2">
      <c r="A2489" t="str">
        <f>"20200111150642766"</f>
        <v>20200111150642766</v>
      </c>
      <c r="B2489" t="str">
        <f>"1578726402759499"</f>
        <v>1578726402759499</v>
      </c>
      <c r="C2489" t="s">
        <v>37</v>
      </c>
      <c r="D2489">
        <v>4.8178169999999998</v>
      </c>
      <c r="E2489">
        <v>0.50754949999999999</v>
      </c>
      <c r="F2489" t="s">
        <v>76</v>
      </c>
      <c r="G2489">
        <v>-157.3501</v>
      </c>
      <c r="H2489">
        <v>2.4159630000000001</v>
      </c>
      <c r="I2489">
        <v>-63.107990000000001</v>
      </c>
      <c r="J2489">
        <v>-256.77749999999997</v>
      </c>
      <c r="K2489">
        <v>1.1045259999999999</v>
      </c>
      <c r="L2489">
        <v>-62.69614</v>
      </c>
      <c r="M2489">
        <v>0.99988899999999903</v>
      </c>
      <c r="N2489">
        <v>0</v>
      </c>
      <c r="O2489">
        <v>-8.5717859999999996E-3</v>
      </c>
      <c r="P2489">
        <v>0.98903189999999996</v>
      </c>
      <c r="Q2489">
        <v>0.14649570000000001</v>
      </c>
      <c r="R2489">
        <v>1.8841199999999999E-2</v>
      </c>
      <c r="S2489">
        <v>3.0276179999999999</v>
      </c>
      <c r="T2489">
        <v>3.9871690000000001E-2</v>
      </c>
      <c r="U2489">
        <v>-1.254272E-2</v>
      </c>
      <c r="V2489">
        <v>-2.775526E-2</v>
      </c>
      <c r="W2489">
        <v>0.158465299999999</v>
      </c>
      <c r="X2489">
        <v>0.98697440000000003</v>
      </c>
      <c r="Y2489">
        <v>-4.4286400000000002E-3</v>
      </c>
      <c r="Z2489">
        <v>-1.4204579999999999E-4</v>
      </c>
      <c r="AA2489">
        <v>0.99999020000000005</v>
      </c>
      <c r="AB2489">
        <v>30</v>
      </c>
      <c r="AC2489">
        <v>99.427399999999906</v>
      </c>
      <c r="AD2489">
        <v>1.311437</v>
      </c>
      <c r="AE2489">
        <v>-0.41185000000000099</v>
      </c>
      <c r="AF2489">
        <v>-0.44042220121119702</v>
      </c>
      <c r="AG2489">
        <v>1.311437</v>
      </c>
      <c r="AH2489">
        <v>99.409982812928206</v>
      </c>
      <c r="AI2489">
        <v>89.244193517878898</v>
      </c>
      <c r="AJ2489">
        <v>90.253839378304306</v>
      </c>
      <c r="AK2489">
        <v>99.4196083355138</v>
      </c>
    </row>
    <row r="2490" spans="1:37" x14ac:dyDescent="0.2">
      <c r="A2490" t="str">
        <f>"20200111150642778"</f>
        <v>20200111150642778</v>
      </c>
      <c r="B2490" t="str">
        <f>"1578726402769259"</f>
        <v>1578726402769259</v>
      </c>
      <c r="C2490" t="s">
        <v>37</v>
      </c>
      <c r="D2490">
        <v>5.0496109999999996</v>
      </c>
      <c r="E2490">
        <v>0.50754949999999999</v>
      </c>
      <c r="F2490" t="s">
        <v>76</v>
      </c>
      <c r="G2490">
        <v>-157.3501</v>
      </c>
      <c r="H2490">
        <v>3.1083020000000001</v>
      </c>
      <c r="I2490">
        <v>-62.641950000000001</v>
      </c>
      <c r="J2490">
        <v>-256.62880000000001</v>
      </c>
      <c r="K2490">
        <v>1.1045149999999999</v>
      </c>
      <c r="L2490">
        <v>-62.696689999999997</v>
      </c>
      <c r="M2490">
        <v>0.99989470000000003</v>
      </c>
      <c r="N2490">
        <v>0</v>
      </c>
      <c r="O2490">
        <v>-7.8857830000000004E-3</v>
      </c>
      <c r="P2490">
        <v>0.98900589999999999</v>
      </c>
      <c r="Q2490">
        <v>0.1466064</v>
      </c>
      <c r="R2490">
        <v>1.934926E-2</v>
      </c>
      <c r="S2490">
        <v>3.024216</v>
      </c>
      <c r="T2490">
        <v>6.0946819999999999E-2</v>
      </c>
      <c r="U2490">
        <v>1.6479489999999999E-3</v>
      </c>
      <c r="V2490">
        <v>-2.7580150000000001E-2</v>
      </c>
      <c r="W2490">
        <v>0.15857639999999901</v>
      </c>
      <c r="X2490">
        <v>0.98696139999999999</v>
      </c>
      <c r="Y2490">
        <v>-8.4279560000000003E-3</v>
      </c>
      <c r="Z2490">
        <v>-2.4383160000000001E-4</v>
      </c>
      <c r="AA2490">
        <v>0.99996450000000003</v>
      </c>
      <c r="AB2490">
        <v>30</v>
      </c>
      <c r="AC2490">
        <v>99.278700000000001</v>
      </c>
      <c r="AD2490">
        <v>2.003787</v>
      </c>
      <c r="AE2490">
        <v>5.4740000000002398E-2</v>
      </c>
      <c r="AF2490">
        <v>-0.83734556980059405</v>
      </c>
      <c r="AG2490">
        <v>2.003787</v>
      </c>
      <c r="AH2490">
        <v>99.234755515382403</v>
      </c>
      <c r="AI2490">
        <v>88.843259578607601</v>
      </c>
      <c r="AJ2490">
        <v>90.483451874285905</v>
      </c>
      <c r="AK2490">
        <v>99.258516068609197</v>
      </c>
    </row>
    <row r="2491" spans="1:37" x14ac:dyDescent="0.2">
      <c r="A2491" t="str">
        <f>"20200111150642789"</f>
        <v>20200111150642789</v>
      </c>
      <c r="B2491" t="str">
        <f>"1578726402779020"</f>
        <v>1578726402779020</v>
      </c>
      <c r="C2491" t="s">
        <v>37</v>
      </c>
      <c r="D2491">
        <v>8.1752000000000002</v>
      </c>
      <c r="E2491">
        <v>0.50754949999999999</v>
      </c>
      <c r="F2491" t="s">
        <v>76</v>
      </c>
      <c r="G2491">
        <v>-157.3501</v>
      </c>
      <c r="H2491">
        <v>3.1186370000000001</v>
      </c>
      <c r="I2491">
        <v>-62.605509999999903</v>
      </c>
      <c r="J2491">
        <v>-256.47269999999997</v>
      </c>
      <c r="K2491">
        <v>1.104508</v>
      </c>
      <c r="L2491">
        <v>-62.697200000000002</v>
      </c>
      <c r="M2491">
        <v>0.99990000000000001</v>
      </c>
      <c r="N2491">
        <v>0</v>
      </c>
      <c r="O2491">
        <v>-7.1724930000000003E-3</v>
      </c>
      <c r="P2491">
        <v>0.98896659999999903</v>
      </c>
      <c r="Q2491">
        <v>0.14676359999999999</v>
      </c>
      <c r="R2491">
        <v>2.0139979999999998E-2</v>
      </c>
      <c r="S2491">
        <v>3.0242</v>
      </c>
      <c r="T2491">
        <v>6.135297E-2</v>
      </c>
      <c r="U2491">
        <v>2.7770999999999998E-3</v>
      </c>
      <c r="V2491">
        <v>-2.766039E-2</v>
      </c>
      <c r="W2491">
        <v>0.15873370000000001</v>
      </c>
      <c r="X2491">
        <v>0.98693390000000003</v>
      </c>
      <c r="Y2491">
        <v>-8.0881519999999995E-3</v>
      </c>
      <c r="Z2491">
        <v>-2.2754080000000001E-4</v>
      </c>
      <c r="AA2491">
        <v>0.9999673</v>
      </c>
      <c r="AB2491">
        <v>30</v>
      </c>
      <c r="AC2491">
        <v>99.122599999999906</v>
      </c>
      <c r="AD2491">
        <v>2.0141290000000001</v>
      </c>
      <c r="AE2491">
        <v>9.1690000000006905E-2</v>
      </c>
      <c r="AF2491">
        <v>-0.80236532188699705</v>
      </c>
      <c r="AG2491">
        <v>2.0141290000000001</v>
      </c>
      <c r="AH2491">
        <v>99.078484236245998</v>
      </c>
      <c r="AI2491">
        <v>88.835454367932201</v>
      </c>
      <c r="AJ2491">
        <v>90.463987130826197</v>
      </c>
      <c r="AK2491">
        <v>99.102202519875704</v>
      </c>
    </row>
    <row r="2492" spans="1:37" x14ac:dyDescent="0.2">
      <c r="A2492" t="str">
        <f>"20200111150642801"</f>
        <v>20200111150642801</v>
      </c>
      <c r="B2492" t="str">
        <f>"1578726402799515"</f>
        <v>1578726402799515</v>
      </c>
      <c r="C2492" t="s">
        <v>37</v>
      </c>
      <c r="D2492">
        <v>5.2671460000000003</v>
      </c>
      <c r="E2492">
        <v>0.50499050000000001</v>
      </c>
      <c r="F2492" t="s">
        <v>76</v>
      </c>
      <c r="G2492">
        <v>-157.3501</v>
      </c>
      <c r="H2492">
        <v>3.1331820000000001</v>
      </c>
      <c r="I2492">
        <v>-62.541159999999998</v>
      </c>
      <c r="J2492">
        <v>-256.31950000000001</v>
      </c>
      <c r="K2492">
        <v>1.1044989999999999</v>
      </c>
      <c r="L2492">
        <v>-62.697600000000001</v>
      </c>
      <c r="M2492">
        <v>0.99990480000000004</v>
      </c>
      <c r="N2492">
        <v>0</v>
      </c>
      <c r="O2492">
        <v>-6.4848269999999899E-3</v>
      </c>
      <c r="P2492">
        <v>0.98887250000000004</v>
      </c>
      <c r="Q2492">
        <v>0.1473496</v>
      </c>
      <c r="R2492">
        <v>2.0489609999999998E-2</v>
      </c>
      <c r="S2492">
        <v>3.0241849999999899</v>
      </c>
      <c r="T2492">
        <v>6.1893219999999999E-2</v>
      </c>
      <c r="U2492">
        <v>4.7607420000000001E-3</v>
      </c>
      <c r="V2492">
        <v>-2.7326E-2</v>
      </c>
      <c r="W2492">
        <v>0.1593193</v>
      </c>
      <c r="X2492">
        <v>0.98684879999999997</v>
      </c>
      <c r="Y2492">
        <v>-8.0564429999999999E-3</v>
      </c>
      <c r="Z2492">
        <v>-2.1514759999999999E-4</v>
      </c>
      <c r="AA2492">
        <v>0.99996749999999901</v>
      </c>
      <c r="AB2492">
        <v>30</v>
      </c>
      <c r="AC2492">
        <v>98.969399999999993</v>
      </c>
      <c r="AD2492">
        <v>2.028683</v>
      </c>
      <c r="AE2492">
        <v>0.15644000000000299</v>
      </c>
      <c r="AF2492">
        <v>-0.79794847998614205</v>
      </c>
      <c r="AG2492">
        <v>2.028683</v>
      </c>
      <c r="AH2492">
        <v>98.924738884798401</v>
      </c>
      <c r="AI2492">
        <v>88.825218995012605</v>
      </c>
      <c r="AJ2492">
        <v>90.462150208054894</v>
      </c>
      <c r="AK2492">
        <v>98.948755625913506</v>
      </c>
    </row>
    <row r="2493" spans="1:37" x14ac:dyDescent="0.2">
      <c r="A2493" t="str">
        <f>"20200111150642814"</f>
        <v>20200111150642814</v>
      </c>
      <c r="B2493" t="str">
        <f>"1578726402809276"</f>
        <v>1578726402809276</v>
      </c>
      <c r="C2493" t="s">
        <v>37</v>
      </c>
      <c r="D2493">
        <v>5.1701290000000002</v>
      </c>
      <c r="E2493">
        <v>0.50783900000000004</v>
      </c>
      <c r="F2493" t="s">
        <v>76</v>
      </c>
      <c r="G2493">
        <v>-157.3501</v>
      </c>
      <c r="H2493">
        <v>4.9952860000000001</v>
      </c>
      <c r="I2493">
        <v>-61.858280000000001</v>
      </c>
      <c r="J2493">
        <v>-256.14420000000001</v>
      </c>
      <c r="K2493">
        <v>1.1044860000000001</v>
      </c>
      <c r="L2493">
        <v>-62.697940000000003</v>
      </c>
      <c r="M2493">
        <v>0.99990939999999995</v>
      </c>
      <c r="N2493">
        <v>0</v>
      </c>
      <c r="O2493">
        <v>-5.7053959999999997E-3</v>
      </c>
      <c r="P2493">
        <v>0.98877219999999999</v>
      </c>
      <c r="Q2493">
        <v>0.14800459999999999</v>
      </c>
      <c r="R2493">
        <v>2.0593589999999998E-2</v>
      </c>
      <c r="S2493">
        <v>3.0155639999999999</v>
      </c>
      <c r="T2493">
        <v>0.1185503</v>
      </c>
      <c r="U2493">
        <v>2.5573729999999999E-2</v>
      </c>
      <c r="V2493">
        <v>-2.665445E-2</v>
      </c>
      <c r="W2493">
        <v>0.15997549999999999</v>
      </c>
      <c r="X2493">
        <v>0.986761</v>
      </c>
      <c r="Y2493">
        <v>-1.41704E-2</v>
      </c>
      <c r="Z2493">
        <v>-5.026481E-4</v>
      </c>
      <c r="AA2493">
        <v>0.99989939999999999</v>
      </c>
      <c r="AB2493">
        <v>30</v>
      </c>
      <c r="AC2493">
        <v>98.7941</v>
      </c>
      <c r="AD2493">
        <v>3.8908</v>
      </c>
      <c r="AE2493">
        <v>0.83965999999999497</v>
      </c>
      <c r="AF2493">
        <v>-1.4011746057693399</v>
      </c>
      <c r="AG2493">
        <v>3.8908</v>
      </c>
      <c r="AH2493">
        <v>98.634728027141094</v>
      </c>
      <c r="AI2493">
        <v>87.741277850886704</v>
      </c>
      <c r="AJ2493">
        <v>90.8138714753306</v>
      </c>
      <c r="AK2493">
        <v>98.721381614642894</v>
      </c>
    </row>
    <row r="2494" spans="1:37" x14ac:dyDescent="0.2">
      <c r="A2494" t="str">
        <f>"20200111150642825"</f>
        <v>20200111150642825</v>
      </c>
      <c r="B2494" t="str">
        <f>"1578726402818624"</f>
        <v>1578726402818624</v>
      </c>
      <c r="C2494" t="s">
        <v>37</v>
      </c>
      <c r="D2494">
        <v>4.7438180000000001</v>
      </c>
      <c r="E2494">
        <v>0.50783370000000005</v>
      </c>
      <c r="F2494" t="s">
        <v>76</v>
      </c>
      <c r="G2494">
        <v>-157.3501</v>
      </c>
      <c r="H2494">
        <v>5.5013930000000002</v>
      </c>
      <c r="I2494">
        <v>-62.591900000000003</v>
      </c>
      <c r="J2494">
        <v>-255.9888</v>
      </c>
      <c r="K2494">
        <v>1.104476</v>
      </c>
      <c r="L2494">
        <v>-62.698119999999903</v>
      </c>
      <c r="M2494">
        <v>0.99991299999999905</v>
      </c>
      <c r="N2494">
        <v>0</v>
      </c>
      <c r="O2494">
        <v>-5.0294149999999998E-3</v>
      </c>
      <c r="P2494">
        <v>0.98875119999999905</v>
      </c>
      <c r="Q2494">
        <v>0.14817629999999901</v>
      </c>
      <c r="R2494">
        <v>2.0366140000000001E-2</v>
      </c>
      <c r="S2494">
        <v>3.013916</v>
      </c>
      <c r="T2494">
        <v>0.13413599999999901</v>
      </c>
      <c r="U2494">
        <v>3.2348629999999902E-3</v>
      </c>
      <c r="V2494">
        <v>-2.5754059999999999E-2</v>
      </c>
      <c r="W2494">
        <v>0.1601496</v>
      </c>
      <c r="X2494">
        <v>0.98675669999999904</v>
      </c>
      <c r="Y2494">
        <v>-6.0920719999999996E-3</v>
      </c>
      <c r="Z2494">
        <v>-3.5924059999999899E-4</v>
      </c>
      <c r="AA2494">
        <v>0.99998140000000002</v>
      </c>
      <c r="AB2494">
        <v>30</v>
      </c>
      <c r="AC2494">
        <v>98.6387</v>
      </c>
      <c r="AD2494">
        <v>4.3969170000000002</v>
      </c>
      <c r="AE2494">
        <v>0.106219999999993</v>
      </c>
      <c r="AF2494">
        <v>-0.60115599531984998</v>
      </c>
      <c r="AG2494">
        <v>4.3969170000000002</v>
      </c>
      <c r="AH2494">
        <v>98.441313549183604</v>
      </c>
      <c r="AI2494">
        <v>87.442610620909704</v>
      </c>
      <c r="AJ2494">
        <v>90.349886363423806</v>
      </c>
      <c r="AK2494">
        <v>98.541293278119099</v>
      </c>
    </row>
    <row r="2495" spans="1:37" x14ac:dyDescent="0.2">
      <c r="A2495" t="str">
        <f>"20200111150642837"</f>
        <v>20200111150642837</v>
      </c>
      <c r="B2495" t="str">
        <f>"1578726402829355"</f>
        <v>1578726402829355</v>
      </c>
      <c r="C2495" t="s">
        <v>37</v>
      </c>
      <c r="D2495">
        <v>4.759118</v>
      </c>
      <c r="E2495">
        <v>0.50885340000000001</v>
      </c>
      <c r="F2495" t="s">
        <v>76</v>
      </c>
      <c r="G2495">
        <v>-157.3501</v>
      </c>
      <c r="H2495">
        <v>5.4735930000000002</v>
      </c>
      <c r="I2495">
        <v>-62.605229999999999</v>
      </c>
      <c r="J2495">
        <v>-255.84440000000001</v>
      </c>
      <c r="K2495">
        <v>1.104468</v>
      </c>
      <c r="L2495">
        <v>-62.698180000000001</v>
      </c>
      <c r="M2495">
        <v>0.99991609999999997</v>
      </c>
      <c r="N2495">
        <v>0</v>
      </c>
      <c r="O2495">
        <v>-4.4068270000000003E-3</v>
      </c>
      <c r="P2495">
        <v>0.9886779</v>
      </c>
      <c r="Q2495">
        <v>0.1487069</v>
      </c>
      <c r="R2495">
        <v>2.006689E-2</v>
      </c>
      <c r="S2495">
        <v>3.0140530000000001</v>
      </c>
      <c r="T2495">
        <v>0.13350419999999999</v>
      </c>
      <c r="U2495">
        <v>2.8381349999999999E-3</v>
      </c>
      <c r="V2495">
        <v>-2.483577E-2</v>
      </c>
      <c r="W2495">
        <v>0.16068199999999999</v>
      </c>
      <c r="X2495">
        <v>0.98669370000000001</v>
      </c>
      <c r="Y2495">
        <v>-5.3392200000000004E-3</v>
      </c>
      <c r="Z2495">
        <v>-3.1330339999999999E-4</v>
      </c>
      <c r="AA2495">
        <v>0.99998569999999998</v>
      </c>
      <c r="AB2495">
        <v>30</v>
      </c>
      <c r="AC2495">
        <v>98.494299999999996</v>
      </c>
      <c r="AD2495">
        <v>4.3691250000000004</v>
      </c>
      <c r="AE2495">
        <v>9.2950000000001795E-2</v>
      </c>
      <c r="AF2495">
        <v>-0.52599362643389402</v>
      </c>
      <c r="AG2495">
        <v>4.3691250000000004</v>
      </c>
      <c r="AH2495">
        <v>98.2995065559778</v>
      </c>
      <c r="AI2495">
        <v>87.455081897379998</v>
      </c>
      <c r="AJ2495">
        <v>90.306582690720504</v>
      </c>
      <c r="AK2495">
        <v>98.397961928636505</v>
      </c>
    </row>
    <row r="2496" spans="1:37" x14ac:dyDescent="0.2">
      <c r="A2496" t="str">
        <f>"20200111150642847"</f>
        <v>20200111150642847</v>
      </c>
      <c r="B2496" t="str">
        <f>"1578726402839113"</f>
        <v>1578726402839113</v>
      </c>
      <c r="C2496" t="s">
        <v>37</v>
      </c>
      <c r="D2496">
        <v>7.3830799999999996</v>
      </c>
      <c r="E2496">
        <v>0.50885340000000001</v>
      </c>
      <c r="F2496" t="s">
        <v>76</v>
      </c>
      <c r="G2496">
        <v>-157.3501</v>
      </c>
      <c r="H2496">
        <v>5.949516</v>
      </c>
      <c r="I2496">
        <v>-62.908729999999998</v>
      </c>
      <c r="J2496">
        <v>-255.69040000000001</v>
      </c>
      <c r="K2496">
        <v>1.10446</v>
      </c>
      <c r="L2496">
        <v>-62.698180000000001</v>
      </c>
      <c r="M2496">
        <v>0.99991869999999905</v>
      </c>
      <c r="N2496">
        <v>0</v>
      </c>
      <c r="O2496">
        <v>-3.7520600000000002E-3</v>
      </c>
      <c r="P2496">
        <v>0.98862589999999995</v>
      </c>
      <c r="Q2496">
        <v>0.1490657</v>
      </c>
      <c r="R2496">
        <v>1.995798E-2</v>
      </c>
      <c r="S2496">
        <v>3.01219199999999</v>
      </c>
      <c r="T2496">
        <v>0.14817249999999901</v>
      </c>
      <c r="U2496">
        <v>-6.4392090000000004E-3</v>
      </c>
      <c r="V2496">
        <v>-2.4074950000000001E-2</v>
      </c>
      <c r="W2496">
        <v>0.16104299999999999</v>
      </c>
      <c r="X2496">
        <v>0.98665369999999997</v>
      </c>
      <c r="Y2496">
        <v>-1.608153E-3</v>
      </c>
      <c r="Z2496">
        <v>-2.239981E-4</v>
      </c>
      <c r="AA2496">
        <v>0.99999869999999902</v>
      </c>
      <c r="AB2496">
        <v>30</v>
      </c>
      <c r="AC2496">
        <v>98.340299999999999</v>
      </c>
      <c r="AD2496">
        <v>4.8450559999999996</v>
      </c>
      <c r="AE2496">
        <v>-0.21054999999999699</v>
      </c>
      <c r="AF2496">
        <v>-0.15807389007780601</v>
      </c>
      <c r="AG2496">
        <v>4.8450559999999996</v>
      </c>
      <c r="AH2496">
        <v>98.1022691083582</v>
      </c>
      <c r="AI2496">
        <v>87.172588066991906</v>
      </c>
      <c r="AJ2496">
        <v>90.092321604756606</v>
      </c>
      <c r="AK2496">
        <v>98.2219667854731</v>
      </c>
    </row>
    <row r="2497" spans="1:37" x14ac:dyDescent="0.2">
      <c r="A2497" t="str">
        <f>"20200111150642858"</f>
        <v>20200111150642858</v>
      </c>
      <c r="B2497" t="str">
        <f>"1578726402848873"</f>
        <v>1578726402848873</v>
      </c>
      <c r="C2497" t="s">
        <v>37</v>
      </c>
      <c r="D2497">
        <v>4.7510659999999998</v>
      </c>
      <c r="E2497">
        <v>0.50894170000000005</v>
      </c>
      <c r="F2497" t="s">
        <v>76</v>
      </c>
      <c r="G2497">
        <v>-157.3501</v>
      </c>
      <c r="H2497">
        <v>5.9794409999999996</v>
      </c>
      <c r="I2497">
        <v>-62.927340000000001</v>
      </c>
      <c r="J2497">
        <v>-255.55539999999999</v>
      </c>
      <c r="K2497">
        <v>1.104455</v>
      </c>
      <c r="L2497">
        <v>-62.698119999999903</v>
      </c>
      <c r="M2497">
        <v>0.9999207</v>
      </c>
      <c r="N2497">
        <v>0</v>
      </c>
      <c r="O2497">
        <v>-3.1868040000000001E-3</v>
      </c>
      <c r="P2497">
        <v>0.988568</v>
      </c>
      <c r="Q2497">
        <v>0.1494317</v>
      </c>
      <c r="R2497">
        <v>2.0084330000000001E-2</v>
      </c>
      <c r="S2497">
        <v>3.012146</v>
      </c>
      <c r="T2497">
        <v>0.14931910000000001</v>
      </c>
      <c r="U2497">
        <v>-7.019043E-3</v>
      </c>
      <c r="V2497">
        <v>-2.3638329999999999E-2</v>
      </c>
      <c r="W2497">
        <v>0.1614091</v>
      </c>
      <c r="X2497">
        <v>0.9866045</v>
      </c>
      <c r="Y2497">
        <v>-8.5184409999999996E-4</v>
      </c>
      <c r="Z2497">
        <v>-1.789924E-4</v>
      </c>
      <c r="AA2497">
        <v>0.99999959999999899</v>
      </c>
      <c r="AB2497">
        <v>30</v>
      </c>
      <c r="AC2497">
        <v>98.205299999999994</v>
      </c>
      <c r="AD2497">
        <v>4.8749859999999998</v>
      </c>
      <c r="AE2497">
        <v>-0.229220000000005</v>
      </c>
      <c r="AF2497">
        <v>-8.3559530506031293E-2</v>
      </c>
      <c r="AG2497">
        <v>4.8749859999999998</v>
      </c>
      <c r="AH2497">
        <v>97.964129370956599</v>
      </c>
      <c r="AI2497">
        <v>87.151142937716898</v>
      </c>
      <c r="AJ2497">
        <v>90.048871023565098</v>
      </c>
      <c r="AK2497">
        <v>98.085386853011201</v>
      </c>
    </row>
    <row r="2498" spans="1:37" x14ac:dyDescent="0.2">
      <c r="A2498" t="str">
        <f>"20200111150642868"</f>
        <v>20200111150642868</v>
      </c>
      <c r="B2498" t="str">
        <f>"1578726402858633"</f>
        <v>1578726402858633</v>
      </c>
      <c r="C2498" t="s">
        <v>37</v>
      </c>
      <c r="D2498">
        <v>4.7464240000000002</v>
      </c>
      <c r="E2498">
        <v>0.50960909999999904</v>
      </c>
      <c r="F2498" t="s">
        <v>76</v>
      </c>
      <c r="G2498">
        <v>-158.5729</v>
      </c>
      <c r="H2498">
        <v>6.6740880000000002</v>
      </c>
      <c r="I2498">
        <v>-62.955829999999999</v>
      </c>
      <c r="J2498">
        <v>-255.41239999999999</v>
      </c>
      <c r="K2498">
        <v>1.10444599999999</v>
      </c>
      <c r="L2498">
        <v>-62.697969999999998</v>
      </c>
      <c r="M2498">
        <v>0.99992250000000005</v>
      </c>
      <c r="N2498">
        <v>0</v>
      </c>
      <c r="O2498">
        <v>-2.5947380000000001E-3</v>
      </c>
      <c r="P2498">
        <v>0.98851669999999903</v>
      </c>
      <c r="Q2498">
        <v>0.1497445</v>
      </c>
      <c r="R2498">
        <v>2.0283789999999999E-2</v>
      </c>
      <c r="S2498">
        <v>3.008759</v>
      </c>
      <c r="T2498">
        <v>0.1727901</v>
      </c>
      <c r="U2498">
        <v>-7.9956049999999994E-3</v>
      </c>
      <c r="V2498">
        <v>-2.3248060000000001E-2</v>
      </c>
      <c r="W2498">
        <v>0.1617229</v>
      </c>
      <c r="X2498">
        <v>0.9865623</v>
      </c>
      <c r="Y2498" s="1">
        <v>6.6669259999999999E-5</v>
      </c>
      <c r="Z2498">
        <v>-1.4698829999999999E-4</v>
      </c>
      <c r="AA2498">
        <v>1</v>
      </c>
      <c r="AB2498">
        <v>30</v>
      </c>
      <c r="AC2498">
        <v>96.839500000000001</v>
      </c>
      <c r="AD2498">
        <v>5.569642</v>
      </c>
      <c r="AE2498">
        <v>-0.25786000000000803</v>
      </c>
      <c r="AF2498">
        <v>6.5457198714146602E-3</v>
      </c>
      <c r="AG2498">
        <v>5.569642</v>
      </c>
      <c r="AH2498">
        <v>96.520567088278099</v>
      </c>
      <c r="AI2498">
        <v>86.697455278475502</v>
      </c>
      <c r="AJ2498">
        <v>89.996114381284201</v>
      </c>
      <c r="AK2498">
        <v>96.681129626713599</v>
      </c>
    </row>
    <row r="2499" spans="1:37" x14ac:dyDescent="0.2">
      <c r="A2499" t="str">
        <f>"20200111150642880"</f>
        <v>20200111150642880</v>
      </c>
      <c r="B2499" t="str">
        <f>"1578726402869369"</f>
        <v>1578726402869369</v>
      </c>
      <c r="C2499" t="s">
        <v>37</v>
      </c>
      <c r="D2499">
        <v>5.1730790000000004</v>
      </c>
      <c r="E2499">
        <v>0.50940070000000004</v>
      </c>
      <c r="F2499" t="s">
        <v>76</v>
      </c>
      <c r="G2499">
        <v>-164.166</v>
      </c>
      <c r="H2499">
        <v>6.6740869999999903</v>
      </c>
      <c r="I2499">
        <v>-63.094279999999998</v>
      </c>
      <c r="J2499">
        <v>-255.26840000000001</v>
      </c>
      <c r="K2499">
        <v>1.1044339999999999</v>
      </c>
      <c r="L2499">
        <v>-62.697690000000001</v>
      </c>
      <c r="M2499">
        <v>0.99992380000000003</v>
      </c>
      <c r="N2499">
        <v>0</v>
      </c>
      <c r="O2499">
        <v>-2.010558E-3</v>
      </c>
      <c r="P2499">
        <v>0.98846480000000003</v>
      </c>
      <c r="Q2499">
        <v>0.15005539999999901</v>
      </c>
      <c r="R2499">
        <v>2.051644E-2</v>
      </c>
      <c r="S2499">
        <v>3.0072939999999999</v>
      </c>
      <c r="T2499">
        <v>0.18356310000000001</v>
      </c>
      <c r="U2499">
        <v>-1.306152E-2</v>
      </c>
      <c r="V2499">
        <v>-2.2899220000000001E-2</v>
      </c>
      <c r="W2499">
        <v>0.1620344</v>
      </c>
      <c r="X2499">
        <v>0.98651939999999905</v>
      </c>
      <c r="Y2499">
        <v>2.3319460000000001E-3</v>
      </c>
      <c r="Z2499" s="1">
        <v>-5.1513599999999899E-5</v>
      </c>
      <c r="AA2499">
        <v>0.99999729999999998</v>
      </c>
      <c r="AB2499">
        <v>30</v>
      </c>
      <c r="AC2499">
        <v>91.102400000000003</v>
      </c>
      <c r="AD2499">
        <v>5.56965299999999</v>
      </c>
      <c r="AE2499">
        <v>-0.396590000000003</v>
      </c>
      <c r="AF2499">
        <v>0.21261429198831799</v>
      </c>
      <c r="AG2499">
        <v>5.56965299999999</v>
      </c>
      <c r="AH2499">
        <v>90.763778013472205</v>
      </c>
      <c r="AI2499">
        <v>86.4884991137871</v>
      </c>
      <c r="AJ2499">
        <v>89.8657847923498</v>
      </c>
      <c r="AK2499">
        <v>90.934754844649106</v>
      </c>
    </row>
    <row r="2500" spans="1:37" x14ac:dyDescent="0.2">
      <c r="A2500" t="str">
        <f>"20200111150642892"</f>
        <v>20200111150642892</v>
      </c>
      <c r="B2500" t="str">
        <f>"1578726402888889"</f>
        <v>1578726402888889</v>
      </c>
      <c r="C2500" t="s">
        <v>37</v>
      </c>
      <c r="D2500">
        <v>5.1441929999999996</v>
      </c>
      <c r="E2500">
        <v>0.50879319999999995</v>
      </c>
      <c r="F2500" t="s">
        <v>76</v>
      </c>
      <c r="G2500">
        <v>-157.3501</v>
      </c>
      <c r="H2500">
        <v>6.0728160000000004</v>
      </c>
      <c r="I2500">
        <v>-63.04195</v>
      </c>
      <c r="J2500">
        <v>-255.0993</v>
      </c>
      <c r="K2500">
        <v>1.1044149999999999</v>
      </c>
      <c r="L2500">
        <v>-62.697330000000001</v>
      </c>
      <c r="M2500">
        <v>0.99992499999999995</v>
      </c>
      <c r="N2500">
        <v>0</v>
      </c>
      <c r="O2500">
        <v>-1.3315270000000001E-3</v>
      </c>
      <c r="P2500">
        <v>0.98844920000000003</v>
      </c>
      <c r="Q2500">
        <v>0.1500735</v>
      </c>
      <c r="R2500">
        <v>2.1126030000000001E-2</v>
      </c>
      <c r="S2500">
        <v>3.0120239999999998</v>
      </c>
      <c r="T2500">
        <v>0.15282950000000001</v>
      </c>
      <c r="U2500">
        <v>-1.0589599999999999E-2</v>
      </c>
      <c r="V2500">
        <v>-2.2830469999999999E-2</v>
      </c>
      <c r="W2500">
        <v>0.16205329999999901</v>
      </c>
      <c r="X2500">
        <v>0.9865178</v>
      </c>
      <c r="Y2500">
        <v>2.183038E-3</v>
      </c>
      <c r="Z2500" s="1">
        <v>-1.217505E-5</v>
      </c>
      <c r="AA2500">
        <v>0.99999760000000004</v>
      </c>
      <c r="AB2500">
        <v>30</v>
      </c>
      <c r="AC2500">
        <v>97.749200000000002</v>
      </c>
      <c r="AD2500">
        <v>4.9684010000000001</v>
      </c>
      <c r="AE2500">
        <v>-0.34461999999999099</v>
      </c>
      <c r="AF2500">
        <v>0.21390174218775501</v>
      </c>
      <c r="AG2500">
        <v>4.9684010000000001</v>
      </c>
      <c r="AH2500">
        <v>97.497691017852205</v>
      </c>
      <c r="AI2500">
        <v>87.0827853180555</v>
      </c>
      <c r="AJ2500">
        <v>89.874298075506204</v>
      </c>
      <c r="AK2500">
        <v>97.624436061186501</v>
      </c>
    </row>
    <row r="2501" spans="1:37" x14ac:dyDescent="0.2">
      <c r="A2501" t="str">
        <f>"20200111150642904"</f>
        <v>20200111150642904</v>
      </c>
      <c r="B2501" t="str">
        <f>"1578726402899625"</f>
        <v>1578726402899625</v>
      </c>
      <c r="C2501" t="s">
        <v>37</v>
      </c>
      <c r="D2501">
        <v>5.3294569999999997</v>
      </c>
      <c r="E2501">
        <v>0.50880320000000001</v>
      </c>
      <c r="F2501" t="s">
        <v>76</v>
      </c>
      <c r="G2501">
        <v>-157.3501</v>
      </c>
      <c r="H2501">
        <v>4.6304489999999996</v>
      </c>
      <c r="I2501">
        <v>-62.811959999999999</v>
      </c>
      <c r="J2501">
        <v>-254.93610000000001</v>
      </c>
      <c r="K2501">
        <v>1.1043969999999901</v>
      </c>
      <c r="L2501">
        <v>-62.696840000000002</v>
      </c>
      <c r="M2501">
        <v>0.99992549999999902</v>
      </c>
      <c r="N2501">
        <v>0</v>
      </c>
      <c r="O2501">
        <v>-6.9925740000000003E-4</v>
      </c>
      <c r="P2501">
        <v>0.98841859999999904</v>
      </c>
      <c r="Q2501">
        <v>0.15016189999999999</v>
      </c>
      <c r="R2501">
        <v>2.1909459999999999E-2</v>
      </c>
      <c r="S2501">
        <v>3.0185849999999999</v>
      </c>
      <c r="T2501">
        <v>0.1088865</v>
      </c>
      <c r="U2501">
        <v>-3.540039E-3</v>
      </c>
      <c r="V2501">
        <v>-2.2981129999999999E-2</v>
      </c>
      <c r="W2501">
        <v>0.16214129999999999</v>
      </c>
      <c r="X2501">
        <v>0.98649989999999999</v>
      </c>
      <c r="Y2501">
        <v>4.7358479999999999E-4</v>
      </c>
      <c r="Z2501" s="1">
        <v>-1.6678489999999999E-5</v>
      </c>
      <c r="AA2501">
        <v>0.99999989999999905</v>
      </c>
      <c r="AB2501">
        <v>30</v>
      </c>
      <c r="AC2501">
        <v>97.585999999999999</v>
      </c>
      <c r="AD2501">
        <v>3.5260519999999902</v>
      </c>
      <c r="AE2501">
        <v>-0.115119999999997</v>
      </c>
      <c r="AF2501">
        <v>4.68160499524252E-2</v>
      </c>
      <c r="AG2501">
        <v>3.5260519999999902</v>
      </c>
      <c r="AH2501">
        <v>97.458816859388094</v>
      </c>
      <c r="AI2501">
        <v>87.927947416705393</v>
      </c>
      <c r="AJ2501">
        <v>89.972476970726007</v>
      </c>
      <c r="AK2501">
        <v>97.5225933724128</v>
      </c>
    </row>
    <row r="2502" spans="1:37" x14ac:dyDescent="0.2">
      <c r="A2502" t="str">
        <f>"20200111150642917"</f>
        <v>20200111150642917</v>
      </c>
      <c r="B2502" t="str">
        <f>"1578726402909386"</f>
        <v>1578726402909386</v>
      </c>
      <c r="C2502" t="s">
        <v>37</v>
      </c>
      <c r="D2502">
        <v>4.7097899999999999</v>
      </c>
      <c r="E2502">
        <v>0.50834880000000005</v>
      </c>
      <c r="F2502" t="s">
        <v>76</v>
      </c>
      <c r="G2502">
        <v>-157.3501</v>
      </c>
      <c r="H2502">
        <v>5.2253579999999999</v>
      </c>
      <c r="I2502">
        <v>-62.745219999999897</v>
      </c>
      <c r="J2502">
        <v>-254.77189999999999</v>
      </c>
      <c r="K2502">
        <v>1.1043780000000001</v>
      </c>
      <c r="L2502">
        <v>-62.696319999999901</v>
      </c>
      <c r="M2502">
        <v>0.99992590000000003</v>
      </c>
      <c r="N2502">
        <v>0</v>
      </c>
      <c r="O2502" s="1">
        <v>-7.3081780000000001E-5</v>
      </c>
      <c r="P2502">
        <v>0.98837580000000003</v>
      </c>
      <c r="Q2502">
        <v>0.15031639999999999</v>
      </c>
      <c r="R2502">
        <v>2.276947E-2</v>
      </c>
      <c r="S2502">
        <v>3.0158390000000002</v>
      </c>
      <c r="T2502">
        <v>0.1273552</v>
      </c>
      <c r="U2502">
        <v>-1.495361E-3</v>
      </c>
      <c r="V2502">
        <v>-2.3214329999999998E-2</v>
      </c>
      <c r="W2502">
        <v>0.16229560000000001</v>
      </c>
      <c r="X2502">
        <v>0.98646909999999899</v>
      </c>
      <c r="Y2502">
        <v>4.2243739999999998E-4</v>
      </c>
      <c r="Z2502" s="1">
        <v>5.8305269999999899E-6</v>
      </c>
      <c r="AA2502">
        <v>0.99999989999999905</v>
      </c>
      <c r="AB2502">
        <v>30</v>
      </c>
      <c r="AC2502">
        <v>97.421800000000005</v>
      </c>
      <c r="AD2502">
        <v>4.1209799999999897</v>
      </c>
      <c r="AE2502">
        <v>-4.8900000000003198E-2</v>
      </c>
      <c r="AF2502">
        <v>4.1705089867804697E-2</v>
      </c>
      <c r="AG2502">
        <v>4.1209799999999897</v>
      </c>
      <c r="AH2502">
        <v>97.247795652071005</v>
      </c>
      <c r="AI2502">
        <v>87.573481667598003</v>
      </c>
      <c r="AJ2502">
        <v>89.975428486875899</v>
      </c>
      <c r="AK2502">
        <v>97.335080904378401</v>
      </c>
    </row>
    <row r="2503" spans="1:37" x14ac:dyDescent="0.2">
      <c r="A2503" t="str">
        <f>"20200111150642928"</f>
        <v>20200111150642928</v>
      </c>
      <c r="B2503" t="str">
        <f>"1578726402919728"</f>
        <v>1578726402919728</v>
      </c>
      <c r="C2503" t="s">
        <v>37</v>
      </c>
      <c r="D2503">
        <v>8.6439330000000005</v>
      </c>
      <c r="E2503">
        <v>0.50834880000000005</v>
      </c>
      <c r="F2503" t="s">
        <v>76</v>
      </c>
      <c r="G2503">
        <v>-157.3501</v>
      </c>
      <c r="H2503">
        <v>5.8526540000000002</v>
      </c>
      <c r="I2503">
        <v>-62.550269999999998</v>
      </c>
      <c r="J2503">
        <v>-254.6123</v>
      </c>
      <c r="K2503">
        <v>1.1043559999999999</v>
      </c>
      <c r="L2503">
        <v>-62.695680000000003</v>
      </c>
      <c r="M2503">
        <v>0.99992569999999903</v>
      </c>
      <c r="N2503">
        <v>0</v>
      </c>
      <c r="O2503">
        <v>5.2059589999999998E-4</v>
      </c>
      <c r="P2503">
        <v>0.98834999999999995</v>
      </c>
      <c r="Q2503">
        <v>0.15030689999999999</v>
      </c>
      <c r="R2503">
        <v>2.392737E-2</v>
      </c>
      <c r="S2503">
        <v>3.012848</v>
      </c>
      <c r="T2503">
        <v>0.14684359999999999</v>
      </c>
      <c r="U2503">
        <v>4.5166019999999998E-3</v>
      </c>
      <c r="V2503">
        <v>-2.3777409999999999E-2</v>
      </c>
      <c r="W2503">
        <v>0.16228519999999999</v>
      </c>
      <c r="X2503">
        <v>0.98645729999999998</v>
      </c>
      <c r="Y2503">
        <v>-9.7793529999999997E-4</v>
      </c>
      <c r="Z2503" s="1">
        <v>1.5425010000000001E-6</v>
      </c>
      <c r="AA2503">
        <v>0.99999950000000004</v>
      </c>
      <c r="AB2503">
        <v>30</v>
      </c>
      <c r="AC2503">
        <v>97.262200000000007</v>
      </c>
      <c r="AD2503">
        <v>4.7482980000000001</v>
      </c>
      <c r="AE2503">
        <v>0.14541000000000501</v>
      </c>
      <c r="AF2503">
        <v>-9.4546585137227801E-2</v>
      </c>
      <c r="AG2503">
        <v>4.7482980000000001</v>
      </c>
      <c r="AH2503">
        <v>97.031004232288893</v>
      </c>
      <c r="AI2503">
        <v>87.198416600132205</v>
      </c>
      <c r="AJ2503">
        <v>90.055828738702402</v>
      </c>
      <c r="AK2503">
        <v>97.147161848815898</v>
      </c>
    </row>
    <row r="2504" spans="1:37" x14ac:dyDescent="0.2">
      <c r="A2504" t="str">
        <f>"20200111150642940"</f>
        <v>20200111150642940</v>
      </c>
      <c r="B2504" t="str">
        <f>"1578726402929488"</f>
        <v>1578726402929488</v>
      </c>
      <c r="C2504" t="s">
        <v>37</v>
      </c>
      <c r="D2504">
        <v>4.7231180000000004</v>
      </c>
      <c r="E2504">
        <v>0.50904300000000002</v>
      </c>
      <c r="F2504" t="s">
        <v>76</v>
      </c>
      <c r="G2504">
        <v>-157.3501</v>
      </c>
      <c r="H2504">
        <v>5.8454329999999999</v>
      </c>
      <c r="I2504">
        <v>-62.443469999999998</v>
      </c>
      <c r="J2504">
        <v>-254.4639</v>
      </c>
      <c r="K2504">
        <v>1.1043319999999901</v>
      </c>
      <c r="L2504">
        <v>-62.695009999999897</v>
      </c>
      <c r="M2504">
        <v>0.99992530000000002</v>
      </c>
      <c r="N2504">
        <v>0</v>
      </c>
      <c r="O2504">
        <v>1.051972E-3</v>
      </c>
      <c r="P2504">
        <v>0.98828649999999996</v>
      </c>
      <c r="Q2504">
        <v>0.15045269999999999</v>
      </c>
      <c r="R2504">
        <v>2.5570869999999999E-2</v>
      </c>
      <c r="S2504">
        <v>3.0128330000000001</v>
      </c>
      <c r="T2504">
        <v>0.14686079999999899</v>
      </c>
      <c r="U2504">
        <v>7.8125E-3</v>
      </c>
      <c r="V2504">
        <v>-2.4886430000000001E-2</v>
      </c>
      <c r="W2504">
        <v>0.16242870000000001</v>
      </c>
      <c r="X2504">
        <v>0.98640640000000002</v>
      </c>
      <c r="Y2504">
        <v>-1.540439E-3</v>
      </c>
      <c r="Z2504" s="1">
        <v>1.3729660000000001E-5</v>
      </c>
      <c r="AA2504">
        <v>0.99999879999999997</v>
      </c>
      <c r="AB2504">
        <v>30</v>
      </c>
      <c r="AC2504">
        <v>97.113799999999998</v>
      </c>
      <c r="AD2504">
        <v>4.7411009999999996</v>
      </c>
      <c r="AE2504">
        <v>0.25153999999999799</v>
      </c>
      <c r="AF2504">
        <v>-0.14901612461906999</v>
      </c>
      <c r="AG2504">
        <v>4.7411009999999996</v>
      </c>
      <c r="AH2504">
        <v>96.883101476119506</v>
      </c>
      <c r="AI2504">
        <v>87.198394538070701</v>
      </c>
      <c r="AJ2504">
        <v>90.088126702769003</v>
      </c>
      <c r="AK2504">
        <v>96.999152553667599</v>
      </c>
    </row>
    <row r="2505" spans="1:37" x14ac:dyDescent="0.2">
      <c r="A2505" t="str">
        <f>"20200111150642950"</f>
        <v>20200111150642950</v>
      </c>
      <c r="B2505" t="str">
        <f>"1578726402949007"</f>
        <v>1578726402949007</v>
      </c>
      <c r="C2505" t="s">
        <v>37</v>
      </c>
      <c r="D2505">
        <v>4.6930009999999998</v>
      </c>
      <c r="E2505">
        <v>0.50865490000000002</v>
      </c>
      <c r="F2505" t="s">
        <v>76</v>
      </c>
      <c r="G2505">
        <v>-157.3501</v>
      </c>
      <c r="H2505">
        <v>5.8470870000000001</v>
      </c>
      <c r="I2505">
        <v>-62.464829999999999</v>
      </c>
      <c r="J2505">
        <v>-254.3075</v>
      </c>
      <c r="K2505">
        <v>1.1043069999999999</v>
      </c>
      <c r="L2505">
        <v>-62.694269999999896</v>
      </c>
      <c r="M2505">
        <v>0.99992449999999999</v>
      </c>
      <c r="N2505">
        <v>0</v>
      </c>
      <c r="O2505">
        <v>1.6020889999999999E-3</v>
      </c>
      <c r="P2505">
        <v>0.98827719999999897</v>
      </c>
      <c r="Q2505">
        <v>0.15023529999999999</v>
      </c>
      <c r="R2505">
        <v>2.7158709999999999E-2</v>
      </c>
      <c r="S2505">
        <v>3.0129549999999998</v>
      </c>
      <c r="T2505">
        <v>0.1471432</v>
      </c>
      <c r="U2505">
        <v>7.1411130000000001E-3</v>
      </c>
      <c r="V2505">
        <v>-2.5919790000000002E-2</v>
      </c>
      <c r="W2505">
        <v>0.1622104</v>
      </c>
      <c r="X2505">
        <v>0.98641569999999901</v>
      </c>
      <c r="Y2505">
        <v>-7.6891609999999995E-4</v>
      </c>
      <c r="Z2505" s="1">
        <v>5.943554E-5</v>
      </c>
      <c r="AA2505">
        <v>0.99999969999999905</v>
      </c>
      <c r="AB2505">
        <v>30</v>
      </c>
      <c r="AC2505">
        <v>96.957400000000007</v>
      </c>
      <c r="AD2505">
        <v>4.7427799999999998</v>
      </c>
      <c r="AE2505">
        <v>0.22943999999998901</v>
      </c>
      <c r="AF2505">
        <v>-7.3916925790198498E-2</v>
      </c>
      <c r="AG2505">
        <v>4.7427799999999998</v>
      </c>
      <c r="AH2505">
        <v>96.726199267684706</v>
      </c>
      <c r="AI2505">
        <v>87.192862568328707</v>
      </c>
      <c r="AJ2505">
        <v>90.043784694219397</v>
      </c>
      <c r="AK2505">
        <v>96.842434142333303</v>
      </c>
    </row>
    <row r="2506" spans="1:37" x14ac:dyDescent="0.2">
      <c r="A2506" t="str">
        <f>"20200111150643088"</f>
        <v>20200111150643088</v>
      </c>
      <c r="B2506" t="str">
        <f>"1578726403078815"</f>
        <v>1578726403078815</v>
      </c>
      <c r="C2506" t="s">
        <v>37</v>
      </c>
      <c r="D2506">
        <v>4.241854</v>
      </c>
      <c r="E2506">
        <v>0.51471369999999905</v>
      </c>
      <c r="F2506" t="s">
        <v>76</v>
      </c>
      <c r="G2506">
        <v>-157.3501</v>
      </c>
      <c r="H2506">
        <v>5.3794659999999999</v>
      </c>
      <c r="I2506">
        <v>-62.211419999999997</v>
      </c>
      <c r="J2506">
        <v>-252.46539999999999</v>
      </c>
      <c r="K2506">
        <v>1.1037079999999999</v>
      </c>
      <c r="L2506">
        <v>-62.682919999999903</v>
      </c>
      <c r="M2506">
        <v>0.99991140000000001</v>
      </c>
      <c r="N2506">
        <v>0</v>
      </c>
      <c r="O2506">
        <v>5.3969430000000004E-3</v>
      </c>
      <c r="P2506">
        <v>0.98787429999999998</v>
      </c>
      <c r="Q2506">
        <v>0.15013550000000001</v>
      </c>
      <c r="R2506">
        <v>3.9547499999999999E-2</v>
      </c>
      <c r="S2506">
        <v>3.0149840000000001</v>
      </c>
      <c r="T2506">
        <v>0.13293949999999999</v>
      </c>
      <c r="U2506">
        <v>1.5014649999999999E-2</v>
      </c>
      <c r="V2506">
        <v>-3.4318880000000003E-2</v>
      </c>
      <c r="W2506">
        <v>0.16213229999999901</v>
      </c>
      <c r="X2506">
        <v>0.9861721</v>
      </c>
      <c r="Y2506">
        <v>4.1175659999999998E-4</v>
      </c>
      <c r="Z2506">
        <v>2.4693919999999899E-4</v>
      </c>
      <c r="AA2506">
        <v>0.99999989999999905</v>
      </c>
      <c r="AB2506">
        <v>30</v>
      </c>
      <c r="AC2506">
        <v>95.115300000000005</v>
      </c>
      <c r="AD2506">
        <v>4.2757579999999997</v>
      </c>
      <c r="AE2506">
        <v>0.47149999999999798</v>
      </c>
      <c r="AF2506">
        <v>4.1792275613997301E-2</v>
      </c>
      <c r="AG2506">
        <v>4.2757579999999997</v>
      </c>
      <c r="AH2506">
        <v>94.924639478879399</v>
      </c>
      <c r="AI2506">
        <v>87.420929046259999</v>
      </c>
      <c r="AJ2506">
        <v>89.974774506731194</v>
      </c>
      <c r="AK2506">
        <v>95.020897876541298</v>
      </c>
    </row>
    <row r="2507" spans="1:37" x14ac:dyDescent="0.2">
      <c r="A2507" t="str">
        <f>"20200111150643101"</f>
        <v>20200111150643101</v>
      </c>
      <c r="B2507" t="str">
        <f>"1578726403089552"</f>
        <v>1578726403089552</v>
      </c>
      <c r="C2507" t="s">
        <v>37</v>
      </c>
      <c r="D2507">
        <v>5.3885319999999997</v>
      </c>
      <c r="E2507">
        <v>0.52791969999999899</v>
      </c>
      <c r="F2507" t="s">
        <v>38</v>
      </c>
      <c r="G2507">
        <v>-251.7818</v>
      </c>
      <c r="H2507">
        <v>0.87151520000000005</v>
      </c>
      <c r="I2507">
        <v>-62.680399999999999</v>
      </c>
      <c r="J2507">
        <v>-252.31110000000001</v>
      </c>
      <c r="K2507">
        <v>1.1036520000000001</v>
      </c>
      <c r="L2507">
        <v>-62.681980000000003</v>
      </c>
      <c r="M2507">
        <v>0.999911199999999</v>
      </c>
      <c r="N2507">
        <v>0</v>
      </c>
      <c r="O2507">
        <v>5.4593890000000003E-3</v>
      </c>
      <c r="P2507">
        <v>0.98779209999999995</v>
      </c>
      <c r="Q2507">
        <v>0.1505571</v>
      </c>
      <c r="R2507">
        <v>3.9996199999999899E-2</v>
      </c>
      <c r="S2507">
        <v>3.201584</v>
      </c>
      <c r="T2507">
        <v>-1.087456</v>
      </c>
      <c r="U2507">
        <v>1.248169E-2</v>
      </c>
      <c r="V2507">
        <v>-3.4684149999999997E-2</v>
      </c>
      <c r="W2507">
        <v>0.16255720000000001</v>
      </c>
      <c r="X2507">
        <v>0.98608929999999995</v>
      </c>
      <c r="Y2507">
        <v>1.1882239999999899E-3</v>
      </c>
      <c r="Z2507">
        <v>-2.0001469999999999E-3</v>
      </c>
      <c r="AA2507">
        <v>0.99999729999999998</v>
      </c>
      <c r="AB2507">
        <v>30</v>
      </c>
      <c r="AC2507">
        <v>0.52930000000000599</v>
      </c>
      <c r="AD2507">
        <v>-0.2321368</v>
      </c>
      <c r="AE2507">
        <v>1.58000000000413E-3</v>
      </c>
      <c r="AF2507">
        <v>1.0985847018643599E-3</v>
      </c>
      <c r="AG2507">
        <v>-0.2321368</v>
      </c>
      <c r="AH2507">
        <v>0.44391585480409801</v>
      </c>
      <c r="AI2507">
        <v>117.60633380416201</v>
      </c>
      <c r="AJ2507">
        <v>89.858207050560395</v>
      </c>
      <c r="AK2507">
        <v>0.50094908618445499</v>
      </c>
    </row>
    <row r="2508" spans="1:37" x14ac:dyDescent="0.2">
      <c r="A2508" t="str">
        <f>"20200111150643114"</f>
        <v>20200111150643114</v>
      </c>
      <c r="B2508" t="str">
        <f>"1578726403109071"</f>
        <v>1578726403109071</v>
      </c>
      <c r="C2508" t="s">
        <v>37</v>
      </c>
      <c r="D2508">
        <v>5.1458529999999998</v>
      </c>
      <c r="E2508">
        <v>0.54812859999999997</v>
      </c>
      <c r="F2508" t="s">
        <v>38</v>
      </c>
      <c r="G2508">
        <v>-251.52430000000001</v>
      </c>
      <c r="H2508">
        <v>0.85036100000000003</v>
      </c>
      <c r="I2508">
        <v>-62.704689999999999</v>
      </c>
      <c r="J2508">
        <v>-252.13570000000001</v>
      </c>
      <c r="K2508">
        <v>1.103591</v>
      </c>
      <c r="L2508">
        <v>-62.680909999999997</v>
      </c>
      <c r="M2508">
        <v>0.99991090000000005</v>
      </c>
      <c r="N2508">
        <v>0</v>
      </c>
      <c r="O2508">
        <v>5.5010329999999998E-3</v>
      </c>
      <c r="P2508">
        <v>0.98772990000000005</v>
      </c>
      <c r="Q2508">
        <v>0.15087970000000001</v>
      </c>
      <c r="R2508">
        <v>4.0310489999999997E-2</v>
      </c>
      <c r="S2508">
        <v>3.1976779999999998</v>
      </c>
      <c r="T2508">
        <v>-1.029291</v>
      </c>
      <c r="U2508">
        <v>-9.1888429999999993E-2</v>
      </c>
      <c r="V2508">
        <v>-3.4932860000000003E-2</v>
      </c>
      <c r="W2508">
        <v>0.16288320000000001</v>
      </c>
      <c r="X2508">
        <v>0.98602679999999998</v>
      </c>
      <c r="Y2508">
        <v>3.2313580000000001E-2</v>
      </c>
      <c r="Z2508">
        <v>-6.7984369999999896E-3</v>
      </c>
      <c r="AA2508">
        <v>0.99945469999999903</v>
      </c>
      <c r="AB2508">
        <v>30</v>
      </c>
      <c r="AC2508">
        <v>0.61140000000000305</v>
      </c>
      <c r="AD2508">
        <v>-0.25323000000000001</v>
      </c>
      <c r="AE2508">
        <v>-2.3780000000002102E-2</v>
      </c>
      <c r="AF2508">
        <v>2.3173853880084701E-2</v>
      </c>
      <c r="AG2508">
        <v>-0.25323000000000001</v>
      </c>
      <c r="AH2508">
        <v>0.52187057695564998</v>
      </c>
      <c r="AI2508">
        <v>115.862138337091</v>
      </c>
      <c r="AJ2508">
        <v>87.457430250268402</v>
      </c>
      <c r="AK2508">
        <v>0.58052679481284797</v>
      </c>
    </row>
    <row r="2509" spans="1:37" x14ac:dyDescent="0.2">
      <c r="A2509" t="str">
        <f>"20200111150643126"</f>
        <v>20200111150643126</v>
      </c>
      <c r="B2509" t="str">
        <f>"1578726403118833"</f>
        <v>1578726403118833</v>
      </c>
      <c r="C2509" t="s">
        <v>37</v>
      </c>
      <c r="D2509">
        <v>5.4752510000000001</v>
      </c>
      <c r="E2509">
        <v>0.54603400000000002</v>
      </c>
      <c r="F2509" t="s">
        <v>38</v>
      </c>
      <c r="G2509">
        <v>-251.20490000000001</v>
      </c>
      <c r="H2509">
        <v>0.96670869999999998</v>
      </c>
      <c r="I2509">
        <v>-62.757429999999999</v>
      </c>
      <c r="J2509">
        <v>-251.96639999999999</v>
      </c>
      <c r="K2509">
        <v>1.1035299999999999</v>
      </c>
      <c r="L2509">
        <v>-62.679929999999999</v>
      </c>
      <c r="M2509">
        <v>0.99991090000000005</v>
      </c>
      <c r="N2509">
        <v>0</v>
      </c>
      <c r="O2509">
        <v>5.4787300000000002E-3</v>
      </c>
      <c r="P2509">
        <v>0.98759909999999995</v>
      </c>
      <c r="Q2509">
        <v>0.15168889999999999</v>
      </c>
      <c r="R2509">
        <v>4.0479399999999999E-2</v>
      </c>
      <c r="S2509">
        <v>3.11776699999999</v>
      </c>
      <c r="T2509">
        <v>-0.45846149999999902</v>
      </c>
      <c r="U2509">
        <v>-0.25616460000000002</v>
      </c>
      <c r="V2509">
        <v>-3.5099690000000003E-2</v>
      </c>
      <c r="W2509">
        <v>0.16369610000000001</v>
      </c>
      <c r="X2509">
        <v>0.98588619999999905</v>
      </c>
      <c r="Y2509">
        <v>8.6365199999999906E-2</v>
      </c>
      <c r="Z2509">
        <v>-7.1056019999999999E-3</v>
      </c>
      <c r="AA2509">
        <v>0.99623819999999996</v>
      </c>
      <c r="AB2509">
        <v>30</v>
      </c>
      <c r="AC2509">
        <v>0.76149999999998297</v>
      </c>
      <c r="AD2509">
        <v>-0.13682129999999901</v>
      </c>
      <c r="AE2509">
        <v>-7.7500000000000499E-2</v>
      </c>
      <c r="AF2509">
        <v>7.9142471056570907E-2</v>
      </c>
      <c r="AG2509">
        <v>-0.13682129999999901</v>
      </c>
      <c r="AH2509">
        <v>0.73749965119230698</v>
      </c>
      <c r="AI2509">
        <v>100.451378135271</v>
      </c>
      <c r="AJ2509">
        <v>83.874922450265203</v>
      </c>
      <c r="AK2509">
        <v>0.75424752857891797</v>
      </c>
    </row>
    <row r="2510" spans="1:37" x14ac:dyDescent="0.2">
      <c r="A2510" t="str">
        <f>"20200111150643139"</f>
        <v>20200111150643139</v>
      </c>
      <c r="B2510" t="str">
        <f>"1578726403129567"</f>
        <v>1578726403129567</v>
      </c>
      <c r="C2510" t="s">
        <v>37</v>
      </c>
      <c r="D2510">
        <v>5.2615959999999999</v>
      </c>
      <c r="E2510">
        <v>0.54717479999999996</v>
      </c>
      <c r="F2510" t="s">
        <v>38</v>
      </c>
      <c r="G2510">
        <v>-251.1825</v>
      </c>
      <c r="H2510">
        <v>1.012354</v>
      </c>
      <c r="I2510">
        <v>-62.74051</v>
      </c>
      <c r="J2510">
        <v>-251.79400000000001</v>
      </c>
      <c r="K2510">
        <v>1.1034709999999901</v>
      </c>
      <c r="L2510">
        <v>-62.678989999999999</v>
      </c>
      <c r="M2510">
        <v>0.99991109999999905</v>
      </c>
      <c r="N2510">
        <v>0</v>
      </c>
      <c r="O2510">
        <v>5.4206580000000001E-3</v>
      </c>
      <c r="P2510">
        <v>0.98747280000000004</v>
      </c>
      <c r="Q2510">
        <v>0.15247659999999999</v>
      </c>
      <c r="R2510">
        <v>4.0597569999999999E-2</v>
      </c>
      <c r="S2510">
        <v>3.102951</v>
      </c>
      <c r="T2510">
        <v>-0.36093799999999998</v>
      </c>
      <c r="U2510">
        <v>-0.23965449999999999</v>
      </c>
      <c r="V2510">
        <v>-3.5251060000000001E-2</v>
      </c>
      <c r="W2510">
        <v>0.164487299999999</v>
      </c>
      <c r="X2510">
        <v>0.98574910000000004</v>
      </c>
      <c r="Y2510">
        <v>8.1824049999999995E-2</v>
      </c>
      <c r="Z2510">
        <v>-5.3635200000000001E-3</v>
      </c>
      <c r="AA2510">
        <v>0.99663230000000003</v>
      </c>
      <c r="AB2510">
        <v>30</v>
      </c>
      <c r="AC2510">
        <v>0.61150000000000604</v>
      </c>
      <c r="AD2510">
        <v>-9.1116999999999601E-2</v>
      </c>
      <c r="AE2510">
        <v>-6.1520000000001497E-2</v>
      </c>
      <c r="AF2510">
        <v>6.3439655817424001E-2</v>
      </c>
      <c r="AG2510">
        <v>-9.1116999999999601E-2</v>
      </c>
      <c r="AH2510">
        <v>0.59801304351209295</v>
      </c>
      <c r="AI2510">
        <v>98.615699020750398</v>
      </c>
      <c r="AJ2510">
        <v>83.944478844959093</v>
      </c>
      <c r="AK2510">
        <v>0.60823227292690596</v>
      </c>
    </row>
    <row r="2511" spans="1:37" x14ac:dyDescent="0.2">
      <c r="A2511" t="str">
        <f>"20200111150643151"</f>
        <v>20200111150643151</v>
      </c>
      <c r="B2511" t="str">
        <f>"1578726403149087"</f>
        <v>1578726403149087</v>
      </c>
      <c r="C2511" t="s">
        <v>37</v>
      </c>
      <c r="D2511">
        <v>5.2110769999999897</v>
      </c>
      <c r="E2511">
        <v>0.54716039999999999</v>
      </c>
      <c r="F2511" t="s">
        <v>38</v>
      </c>
      <c r="G2511">
        <v>-250.91319999999999</v>
      </c>
      <c r="H2511">
        <v>1.0154030000000001</v>
      </c>
      <c r="I2511">
        <v>-62.749980000000001</v>
      </c>
      <c r="J2511">
        <v>-251.63149999999999</v>
      </c>
      <c r="K2511">
        <v>1.103418</v>
      </c>
      <c r="L2511">
        <v>-62.678130000000003</v>
      </c>
      <c r="M2511">
        <v>0.99991169999999996</v>
      </c>
      <c r="N2511">
        <v>0</v>
      </c>
      <c r="O2511">
        <v>5.3401129999999996E-3</v>
      </c>
      <c r="P2511">
        <v>0.98737410000000003</v>
      </c>
      <c r="Q2511">
        <v>0.153122799999999</v>
      </c>
      <c r="R2511">
        <v>4.0569889999999997E-2</v>
      </c>
      <c r="S2511">
        <v>3.0960540000000001</v>
      </c>
      <c r="T2511">
        <v>-0.30944129999999997</v>
      </c>
      <c r="U2511">
        <v>-0.2488708</v>
      </c>
      <c r="V2511">
        <v>-3.5280550000000001E-2</v>
      </c>
      <c r="W2511">
        <v>0.1651368</v>
      </c>
      <c r="X2511">
        <v>0.9856395</v>
      </c>
      <c r="Y2511">
        <v>8.4999749999999999E-2</v>
      </c>
      <c r="Z2511">
        <v>-4.7620240000000001E-3</v>
      </c>
      <c r="AA2511">
        <v>0.99636959999999997</v>
      </c>
      <c r="AB2511">
        <v>30</v>
      </c>
      <c r="AC2511">
        <v>0.71829999999999905</v>
      </c>
      <c r="AD2511">
        <v>-8.8014999999999899E-2</v>
      </c>
      <c r="AE2511">
        <v>-7.1850000000004799E-2</v>
      </c>
      <c r="AF2511">
        <v>7.4576450519456799E-2</v>
      </c>
      <c r="AG2511">
        <v>-8.8014999999999899E-2</v>
      </c>
      <c r="AH2511">
        <v>0.70739036915260001</v>
      </c>
      <c r="AI2511">
        <v>97.0537190746807</v>
      </c>
      <c r="AJ2511">
        <v>83.9818372988248</v>
      </c>
      <c r="AK2511">
        <v>0.71673525207494304</v>
      </c>
    </row>
    <row r="2512" spans="1:37" x14ac:dyDescent="0.2">
      <c r="A2512" t="str">
        <f>"20200111150643162"</f>
        <v>20200111150643162</v>
      </c>
      <c r="B2512" t="str">
        <f>"1578726403158847"</f>
        <v>1578726403158847</v>
      </c>
      <c r="C2512" t="s">
        <v>37</v>
      </c>
      <c r="D2512">
        <v>5.2688689999999996</v>
      </c>
      <c r="E2512">
        <v>0.54780260000000003</v>
      </c>
      <c r="F2512" t="s">
        <v>38</v>
      </c>
      <c r="G2512">
        <v>-250.90549999999999</v>
      </c>
      <c r="H2512">
        <v>1.0310979999999901</v>
      </c>
      <c r="I2512">
        <v>-62.736660000000001</v>
      </c>
      <c r="J2512">
        <v>-251.48419999999999</v>
      </c>
      <c r="K2512">
        <v>1.1033790000000001</v>
      </c>
      <c r="L2512">
        <v>-62.677399999999999</v>
      </c>
      <c r="M2512">
        <v>0.99991229999999998</v>
      </c>
      <c r="N2512">
        <v>0</v>
      </c>
      <c r="O2512">
        <v>5.2188490000000002E-3</v>
      </c>
      <c r="P2512">
        <v>0.98731340000000001</v>
      </c>
      <c r="Q2512">
        <v>0.15353220000000001</v>
      </c>
      <c r="R2512">
        <v>4.0499630000000002E-2</v>
      </c>
      <c r="S2512">
        <v>3.0964049999999999</v>
      </c>
      <c r="T2512">
        <v>-0.30831059999999999</v>
      </c>
      <c r="U2512">
        <v>-0.2488098</v>
      </c>
      <c r="V2512">
        <v>-3.5310029999999999E-2</v>
      </c>
      <c r="W2512">
        <v>0.16554920000000001</v>
      </c>
      <c r="X2512">
        <v>0.98556919999999903</v>
      </c>
      <c r="Y2512">
        <v>8.4855029999999998E-2</v>
      </c>
      <c r="Z2512">
        <v>-4.724977E-3</v>
      </c>
      <c r="AA2512">
        <v>0.99638209999999905</v>
      </c>
      <c r="AB2512">
        <v>30</v>
      </c>
      <c r="AC2512">
        <v>0.57869999999999699</v>
      </c>
      <c r="AD2512">
        <v>-7.2281000000000206E-2</v>
      </c>
      <c r="AE2512">
        <v>-5.9260000000001797E-2</v>
      </c>
      <c r="AF2512">
        <v>6.1332667345743601E-2</v>
      </c>
      <c r="AG2512">
        <v>-7.2281000000000206E-2</v>
      </c>
      <c r="AH2512">
        <v>0.56958910576489696</v>
      </c>
      <c r="AI2512">
        <v>97.191062308118404</v>
      </c>
      <c r="AJ2512">
        <v>83.854139805650107</v>
      </c>
      <c r="AK2512">
        <v>0.57742357801773103</v>
      </c>
    </row>
    <row r="2513" spans="1:37" x14ac:dyDescent="0.2">
      <c r="A2513" t="str">
        <f>"20200111150643179"</f>
        <v>20200111150643179</v>
      </c>
      <c r="B2513" t="str">
        <f>"1578726403169583"</f>
        <v>1578726403169583</v>
      </c>
      <c r="C2513" t="s">
        <v>37</v>
      </c>
      <c r="D2513">
        <v>8.2823600000000006</v>
      </c>
      <c r="E2513">
        <v>0.54655750000000003</v>
      </c>
      <c r="F2513" t="s">
        <v>38</v>
      </c>
      <c r="G2513">
        <v>-250.64259999999999</v>
      </c>
      <c r="H2513">
        <v>1.0213699999999999</v>
      </c>
      <c r="I2513">
        <v>-62.746679999999998</v>
      </c>
      <c r="J2513">
        <v>-251.2698</v>
      </c>
      <c r="K2513">
        <v>1.103316</v>
      </c>
      <c r="L2513">
        <v>-62.676419999999901</v>
      </c>
      <c r="M2513">
        <v>0.99991350000000001</v>
      </c>
      <c r="N2513">
        <v>0</v>
      </c>
      <c r="O2513">
        <v>5.0119800000000001E-3</v>
      </c>
      <c r="P2513">
        <v>0.98722929999999998</v>
      </c>
      <c r="Q2513">
        <v>0.15418689999999999</v>
      </c>
      <c r="R2513">
        <v>4.0065080000000003E-2</v>
      </c>
      <c r="S2513">
        <v>3.0958709999999998</v>
      </c>
      <c r="T2513">
        <v>-0.30161290000000002</v>
      </c>
      <c r="U2513">
        <v>-0.2541504</v>
      </c>
      <c r="V2513">
        <v>-3.5051850000000002E-2</v>
      </c>
      <c r="W2513">
        <v>0.16620850000000001</v>
      </c>
      <c r="X2513">
        <v>0.98546739999999999</v>
      </c>
      <c r="Y2513">
        <v>8.6382760000000003E-2</v>
      </c>
      <c r="Z2513">
        <v>-4.677334E-3</v>
      </c>
      <c r="AA2513">
        <v>0.996251</v>
      </c>
      <c r="AB2513">
        <v>30</v>
      </c>
      <c r="AC2513">
        <v>0.62720000000001597</v>
      </c>
      <c r="AD2513">
        <v>-8.1945999999999797E-2</v>
      </c>
      <c r="AE2513">
        <v>-7.0260000000011702E-2</v>
      </c>
      <c r="AF2513">
        <v>7.2185893986753E-2</v>
      </c>
      <c r="AG2513">
        <v>-8.1945999999999797E-2</v>
      </c>
      <c r="AH2513">
        <v>0.61644737196955302</v>
      </c>
      <c r="AI2513">
        <v>97.521289828832295</v>
      </c>
      <c r="AJ2513">
        <v>83.3210899588654</v>
      </c>
      <c r="AK2513">
        <v>0.62604577517529403</v>
      </c>
    </row>
    <row r="2514" spans="1:37" x14ac:dyDescent="0.2">
      <c r="A2514" t="str">
        <f>"20200111150643191"</f>
        <v>20200111150643191</v>
      </c>
      <c r="B2514" t="str">
        <f>"1578726403179344"</f>
        <v>1578726403179344</v>
      </c>
      <c r="C2514" t="s">
        <v>37</v>
      </c>
      <c r="D2514">
        <v>5.1043909999999997</v>
      </c>
      <c r="E2514">
        <v>0.54423120000000003</v>
      </c>
      <c r="F2514" t="s">
        <v>38</v>
      </c>
      <c r="G2514">
        <v>-250.37219999999999</v>
      </c>
      <c r="H2514">
        <v>1.026789</v>
      </c>
      <c r="I2514">
        <v>-62.748100000000001</v>
      </c>
      <c r="J2514">
        <v>-251.10640000000001</v>
      </c>
      <c r="K2514">
        <v>1.1032649999999999</v>
      </c>
      <c r="L2514">
        <v>-62.675750000000001</v>
      </c>
      <c r="M2514">
        <v>0.99991430000000003</v>
      </c>
      <c r="N2514">
        <v>0</v>
      </c>
      <c r="O2514">
        <v>4.8245320000000003E-3</v>
      </c>
      <c r="P2514">
        <v>0.98726480000000005</v>
      </c>
      <c r="Q2514">
        <v>0.15409249999999999</v>
      </c>
      <c r="R2514">
        <v>3.9547350000000002E-2</v>
      </c>
      <c r="S2514">
        <v>3.0899049999999999</v>
      </c>
      <c r="T2514">
        <v>-0.26333979999999901</v>
      </c>
      <c r="U2514">
        <v>-0.24591060000000001</v>
      </c>
      <c r="V2514">
        <v>-3.4698529999999998E-2</v>
      </c>
      <c r="W2514">
        <v>0.16611819999999999</v>
      </c>
      <c r="X2514">
        <v>0.98549519999999902</v>
      </c>
      <c r="Y2514">
        <v>8.3823729999999999E-2</v>
      </c>
      <c r="Z2514">
        <v>-3.9697489999999998E-3</v>
      </c>
      <c r="AA2514">
        <v>0.99647269999999899</v>
      </c>
      <c r="AB2514">
        <v>30</v>
      </c>
      <c r="AC2514">
        <v>0.73420000000001495</v>
      </c>
      <c r="AD2514">
        <v>-7.6475999999999905E-2</v>
      </c>
      <c r="AE2514">
        <v>-7.2350000000000095E-2</v>
      </c>
      <c r="AF2514">
        <v>7.5084771901108502E-2</v>
      </c>
      <c r="AG2514">
        <v>-7.6475999999999905E-2</v>
      </c>
      <c r="AH2514">
        <v>0.72604073839934302</v>
      </c>
      <c r="AI2514">
        <v>95.981293026596902</v>
      </c>
      <c r="AJ2514">
        <v>84.095646192728296</v>
      </c>
      <c r="AK2514">
        <v>0.73390834261704996</v>
      </c>
    </row>
    <row r="2515" spans="1:37" x14ac:dyDescent="0.2">
      <c r="A2515" t="str">
        <f>"20200111150643203"</f>
        <v>20200111150643203</v>
      </c>
      <c r="B2515" t="str">
        <f>"1578726403198864"</f>
        <v>1578726403198864</v>
      </c>
      <c r="C2515" t="s">
        <v>37</v>
      </c>
      <c r="D2515">
        <v>5.1400990000000002</v>
      </c>
      <c r="E2515">
        <v>0.54489239999999906</v>
      </c>
      <c r="F2515" t="s">
        <v>38</v>
      </c>
      <c r="G2515">
        <v>-250.3639</v>
      </c>
      <c r="H2515">
        <v>1.0436459999999901</v>
      </c>
      <c r="I2515">
        <v>-62.731099999999998</v>
      </c>
      <c r="J2515">
        <v>-250.93809999999999</v>
      </c>
      <c r="K2515">
        <v>1.1032200000000001</v>
      </c>
      <c r="L2515">
        <v>-62.675139999999999</v>
      </c>
      <c r="M2515">
        <v>0.99991549999999996</v>
      </c>
      <c r="N2515">
        <v>0</v>
      </c>
      <c r="O2515">
        <v>4.598118E-3</v>
      </c>
      <c r="P2515">
        <v>0.98731420000000003</v>
      </c>
      <c r="Q2515">
        <v>0.15398619999999999</v>
      </c>
      <c r="R2515">
        <v>3.8721270000000002E-2</v>
      </c>
      <c r="S2515">
        <v>3.08651699999999</v>
      </c>
      <c r="T2515">
        <v>-0.24770809999999999</v>
      </c>
      <c r="U2515">
        <v>-0.22909549999999901</v>
      </c>
      <c r="V2515">
        <v>-3.407789E-2</v>
      </c>
      <c r="W2515">
        <v>0.1660152</v>
      </c>
      <c r="X2515">
        <v>0.98553419999999903</v>
      </c>
      <c r="Y2515">
        <v>7.8340809999999997E-2</v>
      </c>
      <c r="Z2515">
        <v>-3.502247E-3</v>
      </c>
      <c r="AA2515">
        <v>0.99692049999999999</v>
      </c>
      <c r="AB2515">
        <v>30</v>
      </c>
      <c r="AC2515">
        <v>0.57419999999999005</v>
      </c>
      <c r="AD2515">
        <v>-5.9574000000000203E-2</v>
      </c>
      <c r="AE2515">
        <v>-5.59599999999989E-2</v>
      </c>
      <c r="AF2515">
        <v>5.7981582006339301E-2</v>
      </c>
      <c r="AG2515">
        <v>-5.9574000000000203E-2</v>
      </c>
      <c r="AH2515">
        <v>0.56788124942102602</v>
      </c>
      <c r="AI2515">
        <v>95.958000580393602</v>
      </c>
      <c r="AJ2515">
        <v>84.170211449076405</v>
      </c>
      <c r="AK2515">
        <v>0.57393382786863401</v>
      </c>
    </row>
    <row r="2516" spans="1:37" x14ac:dyDescent="0.2">
      <c r="A2516" t="str">
        <f>"20200111150643215"</f>
        <v>20200111150643215</v>
      </c>
      <c r="B2516" t="str">
        <f>"1578726403209600"</f>
        <v>1578726403209600</v>
      </c>
      <c r="C2516" t="s">
        <v>37</v>
      </c>
      <c r="D2516">
        <v>5.1829199999999904</v>
      </c>
      <c r="E2516">
        <v>0.54495130000000003</v>
      </c>
      <c r="F2516" t="s">
        <v>38</v>
      </c>
      <c r="G2516">
        <v>-250.1011</v>
      </c>
      <c r="H2516">
        <v>1.033636</v>
      </c>
      <c r="I2516">
        <v>-62.739569999999901</v>
      </c>
      <c r="J2516">
        <v>-250.78489999999999</v>
      </c>
      <c r="K2516">
        <v>1.1031839999999999</v>
      </c>
      <c r="L2516">
        <v>-62.674619999999997</v>
      </c>
      <c r="M2516">
        <v>0.99991629999999998</v>
      </c>
      <c r="N2516">
        <v>0</v>
      </c>
      <c r="O2516">
        <v>4.3834299999999998E-3</v>
      </c>
      <c r="P2516">
        <v>0.9873596</v>
      </c>
      <c r="Q2516">
        <v>0.15389700000000001</v>
      </c>
      <c r="R2516">
        <v>3.7901789999999998E-2</v>
      </c>
      <c r="S2516">
        <v>3.0878749999999999</v>
      </c>
      <c r="T2516">
        <v>-0.25663539999999901</v>
      </c>
      <c r="U2516">
        <v>-0.2368469</v>
      </c>
      <c r="V2516">
        <v>-3.345476E-2</v>
      </c>
      <c r="W2516">
        <v>0.1659292</v>
      </c>
      <c r="X2516">
        <v>0.98556999999999995</v>
      </c>
      <c r="Y2516">
        <v>8.0556610000000001E-2</v>
      </c>
      <c r="Z2516">
        <v>-3.700114E-3</v>
      </c>
      <c r="AA2516">
        <v>0.99674309999999999</v>
      </c>
      <c r="AB2516">
        <v>30</v>
      </c>
      <c r="AC2516">
        <v>0.68379999999998997</v>
      </c>
      <c r="AD2516">
        <v>-6.9547999999999902E-2</v>
      </c>
      <c r="AE2516">
        <v>-6.4949999999995997E-2</v>
      </c>
      <c r="AF2516">
        <v>6.7257460958738802E-2</v>
      </c>
      <c r="AG2516">
        <v>-6.9547999999999902E-2</v>
      </c>
      <c r="AH2516">
        <v>0.67657245372755603</v>
      </c>
      <c r="AI2516">
        <v>95.840495797222005</v>
      </c>
      <c r="AJ2516">
        <v>84.322929498781903</v>
      </c>
      <c r="AK2516">
        <v>0.68345502814855497</v>
      </c>
    </row>
    <row r="2517" spans="1:37" x14ac:dyDescent="0.2">
      <c r="A2517" t="str">
        <f>"20200111150643237"</f>
        <v>20200111150643237</v>
      </c>
      <c r="B2517" t="str">
        <f>"1578726403229712"</f>
        <v>1578726403229712</v>
      </c>
      <c r="C2517" t="s">
        <v>37</v>
      </c>
      <c r="D2517">
        <v>6.2546080000000002</v>
      </c>
      <c r="E2517">
        <v>0.54495130000000003</v>
      </c>
      <c r="F2517" t="s">
        <v>38</v>
      </c>
      <c r="G2517">
        <v>-249.83840000000001</v>
      </c>
      <c r="H2517">
        <v>1.023393</v>
      </c>
      <c r="I2517">
        <v>-62.748440000000002</v>
      </c>
      <c r="J2517">
        <v>-250.483</v>
      </c>
      <c r="K2517">
        <v>1.1031309999999901</v>
      </c>
      <c r="L2517">
        <v>-62.673769999999998</v>
      </c>
      <c r="M2517">
        <v>0.99991819999999898</v>
      </c>
      <c r="N2517">
        <v>0</v>
      </c>
      <c r="O2517">
        <v>3.9203809999999997E-3</v>
      </c>
      <c r="P2517">
        <v>0.98748880000000006</v>
      </c>
      <c r="Q2517">
        <v>0.1535522</v>
      </c>
      <c r="R2517">
        <v>3.5886429999999997E-2</v>
      </c>
      <c r="S2517">
        <v>3.0882259999999899</v>
      </c>
      <c r="T2517">
        <v>-0.26030700000000001</v>
      </c>
      <c r="U2517">
        <v>-0.23992919999999901</v>
      </c>
      <c r="V2517">
        <v>-3.1873760000000001E-2</v>
      </c>
      <c r="W2517">
        <v>0.16558879999999901</v>
      </c>
      <c r="X2517">
        <v>0.98567969999999905</v>
      </c>
      <c r="Y2517">
        <v>8.1066879999999994E-2</v>
      </c>
      <c r="Z2517">
        <v>-3.7348239999999999E-3</v>
      </c>
      <c r="AA2517">
        <v>0.99670170000000002</v>
      </c>
      <c r="AB2517">
        <v>30</v>
      </c>
      <c r="AC2517">
        <v>0.64459999999999695</v>
      </c>
      <c r="AD2517">
        <v>-7.9737999999999795E-2</v>
      </c>
      <c r="AE2517">
        <v>-7.4670000000004594E-2</v>
      </c>
      <c r="AF2517">
        <v>7.6048401912916702E-2</v>
      </c>
      <c r="AG2517">
        <v>-7.9737999999999795E-2</v>
      </c>
      <c r="AH2517">
        <v>0.63471839020230802</v>
      </c>
      <c r="AI2517">
        <v>97.110079574158505</v>
      </c>
      <c r="AJ2517">
        <v>83.167710061737495</v>
      </c>
      <c r="AK2517">
        <v>0.64421187736529495</v>
      </c>
    </row>
    <row r="2518" spans="1:37" x14ac:dyDescent="0.2">
      <c r="A2518" t="str">
        <f>"20200111150643248"</f>
        <v>20200111150643248</v>
      </c>
      <c r="B2518" t="str">
        <f>"1578726403239472"</f>
        <v>1578726403239472</v>
      </c>
      <c r="C2518" t="s">
        <v>37</v>
      </c>
      <c r="D2518">
        <v>5.2828619999999997</v>
      </c>
      <c r="E2518">
        <v>0.54476259999999999</v>
      </c>
      <c r="F2518" t="s">
        <v>38</v>
      </c>
      <c r="G2518">
        <v>-249.56950000000001</v>
      </c>
      <c r="H2518">
        <v>1.0258039999999999</v>
      </c>
      <c r="I2518">
        <v>-62.746839999999999</v>
      </c>
      <c r="J2518">
        <v>-250.33320000000001</v>
      </c>
      <c r="K2518">
        <v>1.1031089999999999</v>
      </c>
      <c r="L2518">
        <v>-62.673400000000001</v>
      </c>
      <c r="M2518">
        <v>0.99991919999999901</v>
      </c>
      <c r="N2518">
        <v>0</v>
      </c>
      <c r="O2518">
        <v>3.67861599999999E-3</v>
      </c>
      <c r="P2518">
        <v>0.98747819999999997</v>
      </c>
      <c r="Q2518">
        <v>0.15384529999999999</v>
      </c>
      <c r="R2518">
        <v>3.4911009999999999E-2</v>
      </c>
      <c r="S2518">
        <v>3.0876009999999998</v>
      </c>
      <c r="T2518">
        <v>-0.26128829999999997</v>
      </c>
      <c r="U2518">
        <v>-0.2463989</v>
      </c>
      <c r="V2518">
        <v>-3.1128639999999999E-2</v>
      </c>
      <c r="W2518">
        <v>0.16588220000000001</v>
      </c>
      <c r="X2518">
        <v>0.98565419999999904</v>
      </c>
      <c r="Y2518">
        <v>8.2908949999999995E-2</v>
      </c>
      <c r="Z2518">
        <v>-3.8065920000000001E-3</v>
      </c>
      <c r="AA2518">
        <v>0.99654979999999904</v>
      </c>
      <c r="AB2518">
        <v>30</v>
      </c>
      <c r="AC2518">
        <v>0.76370000000000005</v>
      </c>
      <c r="AD2518">
        <v>-7.7304999999999902E-2</v>
      </c>
      <c r="AE2518">
        <v>-7.3439999999997896E-2</v>
      </c>
      <c r="AF2518">
        <v>7.5482733465109697E-2</v>
      </c>
      <c r="AG2518">
        <v>-7.7304999999999902E-2</v>
      </c>
      <c r="AH2518">
        <v>0.75575190175896501</v>
      </c>
      <c r="AI2518">
        <v>95.811690971096496</v>
      </c>
      <c r="AJ2518">
        <v>84.2963469621657</v>
      </c>
      <c r="AK2518">
        <v>0.76343607662243496</v>
      </c>
    </row>
    <row r="2519" spans="1:37" x14ac:dyDescent="0.2">
      <c r="A2519" t="str">
        <f>"20200111150643259"</f>
        <v>20200111150643259</v>
      </c>
      <c r="B2519" t="str">
        <f>"1578726403249232"</f>
        <v>1578726403249232</v>
      </c>
      <c r="C2519" t="s">
        <v>37</v>
      </c>
      <c r="D2519">
        <v>5.2456820000000004</v>
      </c>
      <c r="E2519">
        <v>0.54464029999999997</v>
      </c>
      <c r="F2519" t="s">
        <v>38</v>
      </c>
      <c r="G2519">
        <v>-249.56360000000001</v>
      </c>
      <c r="H2519">
        <v>1.0378270000000001</v>
      </c>
      <c r="I2519">
        <v>-62.735439999999997</v>
      </c>
      <c r="J2519">
        <v>-250.19030000000001</v>
      </c>
      <c r="K2519">
        <v>1.1030959999999901</v>
      </c>
      <c r="L2519">
        <v>-62.673099999999998</v>
      </c>
      <c r="M2519">
        <v>0.99992000000000003</v>
      </c>
      <c r="N2519">
        <v>0</v>
      </c>
      <c r="O2519">
        <v>3.4418439999999999E-3</v>
      </c>
      <c r="P2519">
        <v>0.98752119999999999</v>
      </c>
      <c r="Q2519">
        <v>0.15373329999999999</v>
      </c>
      <c r="R2519">
        <v>3.4171399999999998E-2</v>
      </c>
      <c r="S2519">
        <v>3.087631</v>
      </c>
      <c r="T2519">
        <v>-0.26182759999999999</v>
      </c>
      <c r="U2519">
        <v>-0.2482605</v>
      </c>
      <c r="V2519">
        <v>-3.0617390000000001E-2</v>
      </c>
      <c r="W2519">
        <v>0.16577120000000001</v>
      </c>
      <c r="X2519">
        <v>0.98568889999999998</v>
      </c>
      <c r="Y2519">
        <v>8.3267530000000006E-2</v>
      </c>
      <c r="Z2519">
        <v>-3.8094299999999999E-3</v>
      </c>
      <c r="AA2519">
        <v>0.99651990000000001</v>
      </c>
      <c r="AB2519">
        <v>30</v>
      </c>
      <c r="AC2519">
        <v>0.62669999999999904</v>
      </c>
      <c r="AD2519">
        <v>-6.5268999999999799E-2</v>
      </c>
      <c r="AE2519">
        <v>-6.2340000000006002E-2</v>
      </c>
      <c r="AF2519">
        <v>6.3811437133390006E-2</v>
      </c>
      <c r="AG2519">
        <v>-6.5268999999999799E-2</v>
      </c>
      <c r="AH2519">
        <v>0.61982457579198602</v>
      </c>
      <c r="AI2519">
        <v>95.979852821555696</v>
      </c>
      <c r="AJ2519">
        <v>84.1220616786036</v>
      </c>
      <c r="AK2519">
        <v>0.62650973386352404</v>
      </c>
    </row>
    <row r="2520" spans="1:37" x14ac:dyDescent="0.2">
      <c r="A2520" t="str">
        <f>"20200111150643269"</f>
        <v>20200111150643269</v>
      </c>
      <c r="B2520" t="str">
        <f>"1578726403258992"</f>
        <v>1578726403258992</v>
      </c>
      <c r="C2520" t="s">
        <v>37</v>
      </c>
      <c r="D2520">
        <v>4.8064929999999997</v>
      </c>
      <c r="E2520">
        <v>0.54272449999999905</v>
      </c>
      <c r="F2520" t="s">
        <v>38</v>
      </c>
      <c r="G2520">
        <v>-249.30070000000001</v>
      </c>
      <c r="H2520">
        <v>1.0280609999999999</v>
      </c>
      <c r="I2520">
        <v>-62.745449999999998</v>
      </c>
      <c r="J2520">
        <v>-250.04320000000001</v>
      </c>
      <c r="K2520">
        <v>1.1030869999999999</v>
      </c>
      <c r="L2520">
        <v>-62.672819999999902</v>
      </c>
      <c r="M2520">
        <v>0.9999209</v>
      </c>
      <c r="N2520">
        <v>0</v>
      </c>
      <c r="O2520">
        <v>3.1944459999999901E-3</v>
      </c>
      <c r="P2520">
        <v>0.98753199999999997</v>
      </c>
      <c r="Q2520">
        <v>0.1537616</v>
      </c>
      <c r="R2520">
        <v>3.3738020000000001E-2</v>
      </c>
      <c r="S2520">
        <v>3.087097</v>
      </c>
      <c r="T2520">
        <v>-0.26026529999999998</v>
      </c>
      <c r="U2520">
        <v>-0.25</v>
      </c>
      <c r="V2520">
        <v>-3.0424070000000001E-2</v>
      </c>
      <c r="W2520">
        <v>0.1657999</v>
      </c>
      <c r="X2520">
        <v>0.98568999999999996</v>
      </c>
      <c r="Y2520">
        <v>8.3595909999999995E-2</v>
      </c>
      <c r="Z2520">
        <v>-3.7803509999999999E-3</v>
      </c>
      <c r="AA2520">
        <v>0.99649259999999995</v>
      </c>
      <c r="AB2520">
        <v>30</v>
      </c>
      <c r="AC2520">
        <v>0.74250000000000604</v>
      </c>
      <c r="AD2520">
        <v>-7.5025999999999995E-2</v>
      </c>
      <c r="AE2520">
        <v>-7.2630000000003705E-2</v>
      </c>
      <c r="AF2520">
        <v>7.4250757350948604E-2</v>
      </c>
      <c r="AG2520">
        <v>-7.5025999999999995E-2</v>
      </c>
      <c r="AH2520">
        <v>0.73483256428629296</v>
      </c>
      <c r="AI2520">
        <v>95.800334255837001</v>
      </c>
      <c r="AJ2520">
        <v>84.230162544115302</v>
      </c>
      <c r="AK2520">
        <v>0.74237522397959799</v>
      </c>
    </row>
    <row r="2521" spans="1:37" x14ac:dyDescent="0.2">
      <c r="A2521" t="str">
        <f>"20200111150643282"</f>
        <v>20200111150643282</v>
      </c>
      <c r="B2521" t="str">
        <f>"1578726403279489"</f>
        <v>1578726403279489</v>
      </c>
      <c r="C2521" t="s">
        <v>37</v>
      </c>
      <c r="D2521">
        <v>5.9325720000000004</v>
      </c>
      <c r="E2521">
        <v>0.54272449999999905</v>
      </c>
      <c r="F2521" t="s">
        <v>38</v>
      </c>
      <c r="G2521">
        <v>-249.29519999999999</v>
      </c>
      <c r="H2521">
        <v>1.0392760000000001</v>
      </c>
      <c r="I2521">
        <v>-62.730490000000003</v>
      </c>
      <c r="J2521">
        <v>-249.8801</v>
      </c>
      <c r="K2521">
        <v>1.1030799999999901</v>
      </c>
      <c r="L2521">
        <v>-62.672609999999999</v>
      </c>
      <c r="M2521">
        <v>0.99992169999999903</v>
      </c>
      <c r="N2521">
        <v>0</v>
      </c>
      <c r="O2521">
        <v>2.9166000000000001E-3</v>
      </c>
      <c r="P2521">
        <v>0.98755349999999997</v>
      </c>
      <c r="Q2521">
        <v>0.15366459999999901</v>
      </c>
      <c r="R2521">
        <v>3.3542889999999999E-2</v>
      </c>
      <c r="S2521">
        <v>3.0869599999999999</v>
      </c>
      <c r="T2521">
        <v>-0.26319499999999901</v>
      </c>
      <c r="U2521">
        <v>-0.236694299999999</v>
      </c>
      <c r="V2521">
        <v>-3.050071E-2</v>
      </c>
      <c r="W2521">
        <v>0.16570299999999999</v>
      </c>
      <c r="X2521">
        <v>0.98570389999999997</v>
      </c>
      <c r="Y2521">
        <v>7.9063389999999997E-2</v>
      </c>
      <c r="Z2521">
        <v>-3.6073590000000001E-3</v>
      </c>
      <c r="AA2521">
        <v>0.996863099999999</v>
      </c>
      <c r="AB2521">
        <v>30</v>
      </c>
      <c r="AC2521">
        <v>0.58490000000000397</v>
      </c>
      <c r="AD2521">
        <v>-6.3803999999999694E-2</v>
      </c>
      <c r="AE2521">
        <v>-5.7880000000004303E-2</v>
      </c>
      <c r="AF2521">
        <v>5.8891806113044599E-2</v>
      </c>
      <c r="AG2521">
        <v>-6.3803999999999694E-2</v>
      </c>
      <c r="AH2521">
        <v>0.57791837579539296</v>
      </c>
      <c r="AI2521">
        <v>96.267919688140594</v>
      </c>
      <c r="AJ2521">
        <v>84.181454371480001</v>
      </c>
      <c r="AK2521">
        <v>0.58440469225121905</v>
      </c>
    </row>
    <row r="2522" spans="1:37" x14ac:dyDescent="0.2">
      <c r="A2522" t="str">
        <f>"20200111150643294"</f>
        <v>20200111150643294</v>
      </c>
      <c r="B2522" t="str">
        <f>"1578726403289248"</f>
        <v>1578726403289248</v>
      </c>
      <c r="C2522" t="s">
        <v>37</v>
      </c>
      <c r="D2522">
        <v>5.1577289999999998</v>
      </c>
      <c r="E2522">
        <v>0.54272449999999905</v>
      </c>
      <c r="F2522" t="s">
        <v>38</v>
      </c>
      <c r="G2522">
        <v>-249.0317</v>
      </c>
      <c r="H2522">
        <v>1.0307440000000001</v>
      </c>
      <c r="I2522">
        <v>-62.738109999999999</v>
      </c>
      <c r="J2522">
        <v>-249.73320000000001</v>
      </c>
      <c r="K2522">
        <v>1.1030759999999999</v>
      </c>
      <c r="L2522">
        <v>-62.67239</v>
      </c>
      <c r="M2522">
        <v>0.99992250000000005</v>
      </c>
      <c r="N2522">
        <v>0</v>
      </c>
      <c r="O2522">
        <v>2.6653670000000001E-3</v>
      </c>
      <c r="P2522">
        <v>0.98757680000000003</v>
      </c>
      <c r="Q2522">
        <v>0.15348429999999999</v>
      </c>
      <c r="R2522">
        <v>3.3689360000000002E-2</v>
      </c>
      <c r="S2522">
        <v>3.0868530000000001</v>
      </c>
      <c r="T2522">
        <v>-0.26316649999999903</v>
      </c>
      <c r="U2522">
        <v>-0.2380371</v>
      </c>
      <c r="V2522">
        <v>-3.0893650000000002E-2</v>
      </c>
      <c r="W2522">
        <v>0.16552339999999999</v>
      </c>
      <c r="X2522">
        <v>0.98572190000000004</v>
      </c>
      <c r="Y2522">
        <v>7.9246949999999997E-2</v>
      </c>
      <c r="Z2522">
        <v>-3.5934819999999998E-3</v>
      </c>
      <c r="AA2522">
        <v>0.99684850000000003</v>
      </c>
      <c r="AB2522">
        <v>30</v>
      </c>
      <c r="AC2522">
        <v>0.70150000000001</v>
      </c>
      <c r="AD2522">
        <v>-7.2331999999999799E-2</v>
      </c>
      <c r="AE2522">
        <v>-6.5719999999998793E-2</v>
      </c>
      <c r="AF2522">
        <v>6.6884743458528795E-2</v>
      </c>
      <c r="AG2522">
        <v>-7.2331999999999799E-2</v>
      </c>
      <c r="AH2522">
        <v>0.69400799022551296</v>
      </c>
      <c r="AI2522">
        <v>95.922843275884503</v>
      </c>
      <c r="AJ2522">
        <v>84.495143229880199</v>
      </c>
      <c r="AK2522">
        <v>0.70096546108090696</v>
      </c>
    </row>
    <row r="2523" spans="1:37" x14ac:dyDescent="0.2">
      <c r="A2523" t="str">
        <f>"20200111150643305"</f>
        <v>20200111150643305</v>
      </c>
      <c r="B2523" t="str">
        <f>"1578726403299010"</f>
        <v>1578726403299010</v>
      </c>
      <c r="C2523" t="s">
        <v>37</v>
      </c>
      <c r="D2523">
        <v>5.2376399999999999</v>
      </c>
      <c r="E2523">
        <v>0.53908719999999999</v>
      </c>
      <c r="F2523" t="s">
        <v>38</v>
      </c>
      <c r="G2523">
        <v>-248.7689</v>
      </c>
      <c r="H2523">
        <v>1.0207539999999999</v>
      </c>
      <c r="I2523">
        <v>-62.747190000000003</v>
      </c>
      <c r="J2523">
        <v>-249.57089999999999</v>
      </c>
      <c r="K2523">
        <v>1.1030739999999899</v>
      </c>
      <c r="L2523">
        <v>-62.672240000000002</v>
      </c>
      <c r="M2523">
        <v>0.99992320000000001</v>
      </c>
      <c r="N2523">
        <v>0</v>
      </c>
      <c r="O2523">
        <v>2.3885429999999999E-3</v>
      </c>
      <c r="P2523">
        <v>0.98758440000000003</v>
      </c>
      <c r="Q2523">
        <v>0.1534006</v>
      </c>
      <c r="R2523">
        <v>3.3845960000000001E-2</v>
      </c>
      <c r="S2523">
        <v>3.0868069999999999</v>
      </c>
      <c r="T2523">
        <v>-0.26338909999999999</v>
      </c>
      <c r="U2523">
        <v>-0.2382813</v>
      </c>
      <c r="V2523">
        <v>-3.1323219999999999E-2</v>
      </c>
      <c r="W2523">
        <v>0.16544059999999999</v>
      </c>
      <c r="X2523">
        <v>0.98572219999999999</v>
      </c>
      <c r="Y2523">
        <v>7.9051670000000004E-2</v>
      </c>
      <c r="Z2523">
        <v>-3.5647029999999998E-3</v>
      </c>
      <c r="AA2523">
        <v>0.99686409999999903</v>
      </c>
      <c r="AB2523">
        <v>30</v>
      </c>
      <c r="AC2523">
        <v>0.80199999999999205</v>
      </c>
      <c r="AD2523">
        <v>-8.2319999999999699E-2</v>
      </c>
      <c r="AE2523">
        <v>-7.4950000000001099E-2</v>
      </c>
      <c r="AF2523">
        <v>7.6071019516182906E-2</v>
      </c>
      <c r="AG2523">
        <v>-8.2319999999999699E-2</v>
      </c>
      <c r="AH2523">
        <v>0.79353068741407295</v>
      </c>
      <c r="AI2523">
        <v>95.895778632364099</v>
      </c>
      <c r="AJ2523">
        <v>84.524131174910195</v>
      </c>
      <c r="AK2523">
        <v>0.80140772037589103</v>
      </c>
    </row>
    <row r="2524" spans="1:37" x14ac:dyDescent="0.2">
      <c r="A2524" t="str">
        <f>"20200111150643317"</f>
        <v>20200111150643317</v>
      </c>
      <c r="B2524" t="str">
        <f>"1578726403309745"</f>
        <v>1578726403309745</v>
      </c>
      <c r="C2524" t="s">
        <v>37</v>
      </c>
      <c r="D2524">
        <v>4.2455739999999897</v>
      </c>
      <c r="E2524">
        <v>0.5359024</v>
      </c>
      <c r="F2524" t="s">
        <v>76</v>
      </c>
      <c r="G2524">
        <v>-157.9383</v>
      </c>
      <c r="H2524">
        <v>23.44716</v>
      </c>
      <c r="I2524">
        <v>-69.238609999999994</v>
      </c>
      <c r="J2524">
        <v>-249.40889999999999</v>
      </c>
      <c r="K2524">
        <v>1.103073</v>
      </c>
      <c r="L2524">
        <v>-62.672150000000002</v>
      </c>
      <c r="M2524">
        <v>0.99992380000000003</v>
      </c>
      <c r="N2524">
        <v>0</v>
      </c>
      <c r="O2524">
        <v>2.1140550000000001E-3</v>
      </c>
      <c r="P2524">
        <v>0.98759889999999995</v>
      </c>
      <c r="Q2524">
        <v>0.15325439999999901</v>
      </c>
      <c r="R2524">
        <v>3.4084169999999997E-2</v>
      </c>
      <c r="S2524">
        <v>2.9338069999999998</v>
      </c>
      <c r="T2524">
        <v>0.71539030000000003</v>
      </c>
      <c r="U2524">
        <v>-0.21023559999999999</v>
      </c>
      <c r="V2524">
        <v>-3.1832109999999997E-2</v>
      </c>
      <c r="W2524">
        <v>0.16529430000000001</v>
      </c>
      <c r="X2524">
        <v>0.98573040000000001</v>
      </c>
      <c r="Y2524">
        <v>7.1440580000000004E-2</v>
      </c>
      <c r="Z2524">
        <v>9.0813539999999998E-3</v>
      </c>
      <c r="AA2524">
        <v>0.9974035</v>
      </c>
      <c r="AB2524">
        <v>30</v>
      </c>
      <c r="AC2524">
        <v>91.470600000000005</v>
      </c>
      <c r="AD2524">
        <v>22.344086999999998</v>
      </c>
      <c r="AE2524">
        <v>-6.5664599999999904</v>
      </c>
      <c r="AF2524">
        <v>6.38102457316523</v>
      </c>
      <c r="AG2524">
        <v>22.344086999999998</v>
      </c>
      <c r="AH2524">
        <v>86.331453896709505</v>
      </c>
      <c r="AI2524">
        <v>75.527082236985905</v>
      </c>
      <c r="AJ2524">
        <v>85.772778649685193</v>
      </c>
      <c r="AK2524">
        <v>89.404114169240501</v>
      </c>
    </row>
    <row r="2525" spans="1:37" x14ac:dyDescent="0.2">
      <c r="A2525" t="str">
        <f>"20200111150643329"</f>
        <v>20200111150643329</v>
      </c>
      <c r="B2525" t="str">
        <f>"1578726403319772"</f>
        <v>1578726403319772</v>
      </c>
      <c r="C2525" t="s">
        <v>37</v>
      </c>
      <c r="D2525">
        <v>5.9771739999999998</v>
      </c>
      <c r="E2525">
        <v>0.52908029999999995</v>
      </c>
      <c r="F2525" t="s">
        <v>76</v>
      </c>
      <c r="G2525">
        <v>-157.9383</v>
      </c>
      <c r="H2525">
        <v>19.278970000000001</v>
      </c>
      <c r="I2525">
        <v>-68.368589999999998</v>
      </c>
      <c r="J2525">
        <v>-249.2439</v>
      </c>
      <c r="K2525">
        <v>1.103067</v>
      </c>
      <c r="L2525">
        <v>-62.672059999999902</v>
      </c>
      <c r="M2525">
        <v>0.99992420000000004</v>
      </c>
      <c r="N2525">
        <v>0</v>
      </c>
      <c r="O2525">
        <v>1.8368359999999999E-3</v>
      </c>
      <c r="P2525">
        <v>0.98757870000000003</v>
      </c>
      <c r="Q2525">
        <v>0.153256</v>
      </c>
      <c r="R2525">
        <v>3.4655110000000003E-2</v>
      </c>
      <c r="S2525">
        <v>2.9529570000000001</v>
      </c>
      <c r="T2525">
        <v>0.58677330000000005</v>
      </c>
      <c r="U2525">
        <v>-0.1838989</v>
      </c>
      <c r="V2525">
        <v>-3.267627E-2</v>
      </c>
      <c r="W2525">
        <v>0.16529669999999999</v>
      </c>
      <c r="X2525">
        <v>0.98570239999999998</v>
      </c>
      <c r="Y2525">
        <v>6.2731499999999996E-2</v>
      </c>
      <c r="Z2525">
        <v>6.527606E-3</v>
      </c>
      <c r="AA2525">
        <v>0.99800909999999998</v>
      </c>
      <c r="AB2525">
        <v>30</v>
      </c>
      <c r="AC2525">
        <v>91.305599999999998</v>
      </c>
      <c r="AD2525">
        <v>18.175903000000002</v>
      </c>
      <c r="AE2525">
        <v>-5.6965300000000001</v>
      </c>
      <c r="AF2525">
        <v>5.6415522021320301</v>
      </c>
      <c r="AG2525">
        <v>18.175903000000002</v>
      </c>
      <c r="AH2525">
        <v>87.8280658697999</v>
      </c>
      <c r="AI2525">
        <v>78.331152968086798</v>
      </c>
      <c r="AJ2525">
        <v>86.324709362345004</v>
      </c>
      <c r="AK2525">
        <v>89.866343619537005</v>
      </c>
    </row>
    <row r="2526" spans="1:37" x14ac:dyDescent="0.2">
      <c r="A2526" t="str">
        <f>"20200111150643342"</f>
        <v>20200111150643342</v>
      </c>
      <c r="B2526" t="str">
        <f>"1578726403339273"</f>
        <v>1578726403339273</v>
      </c>
      <c r="C2526" t="s">
        <v>37</v>
      </c>
      <c r="D2526">
        <v>5.1233209999999998</v>
      </c>
      <c r="E2526">
        <v>0.53430580000000005</v>
      </c>
      <c r="F2526" t="s">
        <v>76</v>
      </c>
      <c r="G2526">
        <v>-157.3501</v>
      </c>
      <c r="H2526">
        <v>19.09272</v>
      </c>
      <c r="I2526">
        <v>-66.649929999999998</v>
      </c>
      <c r="J2526">
        <v>-249.09099999999901</v>
      </c>
      <c r="K2526">
        <v>1.1030679999999999</v>
      </c>
      <c r="L2526">
        <v>-62.672029999999999</v>
      </c>
      <c r="M2526">
        <v>0.99992479999999995</v>
      </c>
      <c r="N2526">
        <v>0</v>
      </c>
      <c r="O2526">
        <v>1.5838789999999901E-3</v>
      </c>
      <c r="P2526">
        <v>0.98760190000000003</v>
      </c>
      <c r="Q2526">
        <v>0.15300759999999999</v>
      </c>
      <c r="R2526">
        <v>3.5088029999999999E-2</v>
      </c>
      <c r="S2526">
        <v>2.952515</v>
      </c>
      <c r="T2526">
        <v>0.57800019999999996</v>
      </c>
      <c r="U2526">
        <v>-0.12780759999999999</v>
      </c>
      <c r="V2526">
        <v>-3.3359189999999997E-2</v>
      </c>
      <c r="W2526">
        <v>0.16504929999999901</v>
      </c>
      <c r="X2526">
        <v>0.98572099999999996</v>
      </c>
      <c r="Y2526">
        <v>4.396663E-2</v>
      </c>
      <c r="Z2526">
        <v>4.568211E-3</v>
      </c>
      <c r="AA2526">
        <v>0.99902250000000004</v>
      </c>
      <c r="AB2526">
        <v>30</v>
      </c>
      <c r="AC2526">
        <v>91.740899999999897</v>
      </c>
      <c r="AD2526">
        <v>17.989652</v>
      </c>
      <c r="AE2526">
        <v>-3.9778999999999902</v>
      </c>
      <c r="AF2526">
        <v>3.9708128603456001</v>
      </c>
      <c r="AG2526">
        <v>17.989652</v>
      </c>
      <c r="AH2526">
        <v>88.343856031067503</v>
      </c>
      <c r="AI2526">
        <v>78.501403121940797</v>
      </c>
      <c r="AJ2526">
        <v>87.426444759629305</v>
      </c>
      <c r="AK2526">
        <v>90.244289748941895</v>
      </c>
    </row>
    <row r="2527" spans="1:37" x14ac:dyDescent="0.2">
      <c r="A2527" t="str">
        <f>"20200111150643353"</f>
        <v>20200111150643353</v>
      </c>
      <c r="B2527" t="str">
        <f>"1578726403349032"</f>
        <v>1578726403349032</v>
      </c>
      <c r="C2527" t="s">
        <v>37</v>
      </c>
      <c r="D2527">
        <v>7.7930140000000003</v>
      </c>
      <c r="E2527">
        <v>0.53430580000000005</v>
      </c>
      <c r="F2527" t="s">
        <v>76</v>
      </c>
      <c r="G2527">
        <v>-157.3501</v>
      </c>
      <c r="H2527">
        <v>19.364599999999999</v>
      </c>
      <c r="I2527">
        <v>-67.895840000000007</v>
      </c>
      <c r="J2527">
        <v>-248.92949999999999</v>
      </c>
      <c r="K2527">
        <v>1.1030690000000001</v>
      </c>
      <c r="L2527">
        <v>-62.672029999999999</v>
      </c>
      <c r="M2527">
        <v>0.99992510000000001</v>
      </c>
      <c r="N2527">
        <v>0</v>
      </c>
      <c r="O2527">
        <v>1.3180500000000001E-3</v>
      </c>
      <c r="P2527">
        <v>0.9875988</v>
      </c>
      <c r="Q2527">
        <v>0.15295629999999999</v>
      </c>
      <c r="R2527">
        <v>3.5398760000000001E-2</v>
      </c>
      <c r="S2527">
        <v>2.9525600000000001</v>
      </c>
      <c r="T2527">
        <v>0.58772209999999903</v>
      </c>
      <c r="U2527">
        <v>-0.1681213</v>
      </c>
      <c r="V2527">
        <v>-3.3932909999999997E-2</v>
      </c>
      <c r="W2527">
        <v>0.16499810000000001</v>
      </c>
      <c r="X2527">
        <v>0.98570999999999998</v>
      </c>
      <c r="Y2527">
        <v>5.7023780000000003E-2</v>
      </c>
      <c r="Z2527">
        <v>5.8755190000000001E-3</v>
      </c>
      <c r="AA2527">
        <v>0.99835549999999995</v>
      </c>
      <c r="AB2527">
        <v>30</v>
      </c>
      <c r="AC2527">
        <v>91.579400000000007</v>
      </c>
      <c r="AD2527">
        <v>18.261531000000002</v>
      </c>
      <c r="AE2527">
        <v>-5.2238100000000003</v>
      </c>
      <c r="AF2527">
        <v>5.1407712512286503</v>
      </c>
      <c r="AG2527">
        <v>18.261531000000002</v>
      </c>
      <c r="AH2527">
        <v>88.081415066063201</v>
      </c>
      <c r="AI2527">
        <v>78.3064099280313</v>
      </c>
      <c r="AJ2527">
        <v>86.659786423479702</v>
      </c>
      <c r="AK2527">
        <v>90.101313661686007</v>
      </c>
    </row>
    <row r="2528" spans="1:37" x14ac:dyDescent="0.2">
      <c r="A2528" t="str">
        <f>"20200111150643368"</f>
        <v>20200111150643368</v>
      </c>
      <c r="B2528" t="str">
        <f>"1578726403358793"</f>
        <v>1578726403358793</v>
      </c>
      <c r="C2528" t="s">
        <v>37</v>
      </c>
      <c r="D2528">
        <v>4.323207</v>
      </c>
      <c r="E2528">
        <v>0.53873990000000005</v>
      </c>
      <c r="F2528" t="s">
        <v>76</v>
      </c>
      <c r="G2528">
        <v>-157.3501</v>
      </c>
      <c r="H2528">
        <v>19.33023</v>
      </c>
      <c r="I2528">
        <v>-67.854290000000006</v>
      </c>
      <c r="J2528">
        <v>-248.72149999999999</v>
      </c>
      <c r="K2528">
        <v>1.103073</v>
      </c>
      <c r="L2528">
        <v>-62.6721199999999</v>
      </c>
      <c r="M2528">
        <v>0.99992549999999902</v>
      </c>
      <c r="N2528">
        <v>0</v>
      </c>
      <c r="O2528">
        <v>9.8058220000000009E-4</v>
      </c>
      <c r="P2528">
        <v>0.98755020000000004</v>
      </c>
      <c r="Q2528">
        <v>0.15305379999999999</v>
      </c>
      <c r="R2528">
        <v>3.6320640000000001E-2</v>
      </c>
      <c r="S2528">
        <v>2.9526520000000001</v>
      </c>
      <c r="T2528">
        <v>0.587669</v>
      </c>
      <c r="U2528">
        <v>-0.1670837</v>
      </c>
      <c r="V2528">
        <v>-3.5188209999999998E-2</v>
      </c>
      <c r="W2528">
        <v>0.16509589999999999</v>
      </c>
      <c r="X2528">
        <v>0.98564959999999902</v>
      </c>
      <c r="Y2528">
        <v>5.6355290000000002E-2</v>
      </c>
      <c r="Z2528">
        <v>5.7425810000000001E-3</v>
      </c>
      <c r="AA2528">
        <v>0.99839429999999996</v>
      </c>
      <c r="AB2528">
        <v>30</v>
      </c>
      <c r="AC2528">
        <v>91.371399999999994</v>
      </c>
      <c r="AD2528">
        <v>18.227156999999998</v>
      </c>
      <c r="AE2528">
        <v>-5.1821700000000099</v>
      </c>
      <c r="AF2528">
        <v>5.0706374697156296</v>
      </c>
      <c r="AG2528">
        <v>18.227156999999998</v>
      </c>
      <c r="AH2528">
        <v>87.880377579103197</v>
      </c>
      <c r="AI2528">
        <v>78.301412734636799</v>
      </c>
      <c r="AJ2528">
        <v>86.697734245482707</v>
      </c>
      <c r="AK2528">
        <v>89.893833938138798</v>
      </c>
    </row>
    <row r="2529" spans="1:37" x14ac:dyDescent="0.2">
      <c r="A2529" t="str">
        <f>"20200111150643381"</f>
        <v>20200111150643381</v>
      </c>
      <c r="B2529" t="str">
        <f>"1578726403379288"</f>
        <v>1578726403379288</v>
      </c>
      <c r="C2529" t="s">
        <v>37</v>
      </c>
      <c r="D2529">
        <v>6.5796210000000004</v>
      </c>
      <c r="E2529">
        <v>0.53904770000000002</v>
      </c>
      <c r="F2529" t="s">
        <v>76</v>
      </c>
      <c r="G2529">
        <v>-157.9383</v>
      </c>
      <c r="H2529">
        <v>19.921429999999901</v>
      </c>
      <c r="I2529">
        <v>-68.81523</v>
      </c>
      <c r="J2529">
        <v>-248.5581</v>
      </c>
      <c r="K2529">
        <v>1.103075</v>
      </c>
      <c r="L2529">
        <v>-62.672240000000002</v>
      </c>
      <c r="M2529">
        <v>0.99992579999999998</v>
      </c>
      <c r="N2529">
        <v>0</v>
      </c>
      <c r="O2529">
        <v>7.172026E-4</v>
      </c>
      <c r="P2529">
        <v>0.98751710000000004</v>
      </c>
      <c r="Q2529">
        <v>0.15325339999999901</v>
      </c>
      <c r="R2529">
        <v>3.6382999999999999E-2</v>
      </c>
      <c r="S2529">
        <v>2.95037799999999</v>
      </c>
      <c r="T2529">
        <v>0.61157930000000005</v>
      </c>
      <c r="U2529">
        <v>-0.19964599999999999</v>
      </c>
      <c r="V2529">
        <v>-3.5510359999999998E-2</v>
      </c>
      <c r="W2529">
        <v>0.16529530000000001</v>
      </c>
      <c r="X2529">
        <v>0.98560460000000005</v>
      </c>
      <c r="Y2529">
        <v>6.6800300000000007E-2</v>
      </c>
      <c r="Z2529">
        <v>6.9900190000000001E-3</v>
      </c>
      <c r="AA2529">
        <v>0.99774189999999996</v>
      </c>
      <c r="AB2529">
        <v>30</v>
      </c>
      <c r="AC2529">
        <v>90.619799999999998</v>
      </c>
      <c r="AD2529">
        <v>18.818355</v>
      </c>
      <c r="AE2529">
        <v>-6.1429899999999904</v>
      </c>
      <c r="AF2529">
        <v>5.9524671110688301</v>
      </c>
      <c r="AG2529">
        <v>18.818355</v>
      </c>
      <c r="AH2529">
        <v>86.885668682616497</v>
      </c>
      <c r="AI2529">
        <v>77.806929255544503</v>
      </c>
      <c r="AJ2529">
        <v>86.080836228349</v>
      </c>
      <c r="AK2529">
        <v>89.0992804238047</v>
      </c>
    </row>
    <row r="2530" spans="1:37" x14ac:dyDescent="0.2">
      <c r="A2530" t="str">
        <f>"20200111150643395"</f>
        <v>20200111150643395</v>
      </c>
      <c r="B2530" t="str">
        <f>"1578726403389049"</f>
        <v>1578726403389049</v>
      </c>
      <c r="C2530" t="s">
        <v>37</v>
      </c>
      <c r="D2530">
        <v>4.9221649999999997</v>
      </c>
      <c r="E2530">
        <v>0.53904770000000002</v>
      </c>
      <c r="F2530" t="s">
        <v>76</v>
      </c>
      <c r="G2530">
        <v>-157.9383</v>
      </c>
      <c r="H2530">
        <v>18.418970000000002</v>
      </c>
      <c r="I2530">
        <v>-68.860309999999998</v>
      </c>
      <c r="J2530">
        <v>-248.37950000000001</v>
      </c>
      <c r="K2530">
        <v>1.1030770000000001</v>
      </c>
      <c r="L2530">
        <v>-62.67239</v>
      </c>
      <c r="M2530">
        <v>0.99992590000000003</v>
      </c>
      <c r="N2530">
        <v>0</v>
      </c>
      <c r="O2530">
        <v>4.3040169999999998E-4</v>
      </c>
      <c r="P2530">
        <v>0.98749799999999999</v>
      </c>
      <c r="Q2530">
        <v>0.1534285</v>
      </c>
      <c r="R2530">
        <v>3.6163479999999998E-2</v>
      </c>
      <c r="S2530">
        <v>2.9576419999999999</v>
      </c>
      <c r="T2530">
        <v>0.56515340000000003</v>
      </c>
      <c r="U2530">
        <v>-0.20196529999999999</v>
      </c>
      <c r="V2530">
        <v>-3.5573689999999998E-2</v>
      </c>
      <c r="W2530">
        <v>0.16547029999999999</v>
      </c>
      <c r="X2530">
        <v>0.98557299999999903</v>
      </c>
      <c r="Y2530">
        <v>6.7336279999999998E-2</v>
      </c>
      <c r="Z2530">
        <v>6.4499140000000002E-3</v>
      </c>
      <c r="AA2530">
        <v>0.99770949999999903</v>
      </c>
      <c r="AB2530">
        <v>30</v>
      </c>
      <c r="AC2530">
        <v>90.441199999999995</v>
      </c>
      <c r="AD2530">
        <v>17.315892999999999</v>
      </c>
      <c r="AE2530">
        <v>-6.1879199999999903</v>
      </c>
      <c r="AF2530">
        <v>6.00765184271848</v>
      </c>
      <c r="AG2530">
        <v>17.315892999999999</v>
      </c>
      <c r="AH2530">
        <v>87.254925654634505</v>
      </c>
      <c r="AI2530">
        <v>78.801229432386904</v>
      </c>
      <c r="AJ2530">
        <v>86.061302972013806</v>
      </c>
      <c r="AK2530">
        <v>89.1591502990387</v>
      </c>
    </row>
    <row r="2531" spans="1:37" x14ac:dyDescent="0.2">
      <c r="A2531" t="str">
        <f>"20200111150643407"</f>
        <v>20200111150643407</v>
      </c>
      <c r="B2531" t="str">
        <f>"1578726403398808"</f>
        <v>1578726403398808</v>
      </c>
      <c r="C2531" t="s">
        <v>37</v>
      </c>
      <c r="D2531">
        <v>5.1318609999999998</v>
      </c>
      <c r="E2531">
        <v>0.53918559999999904</v>
      </c>
      <c r="F2531" t="s">
        <v>76</v>
      </c>
      <c r="G2531">
        <v>-157.93819999999999</v>
      </c>
      <c r="H2531">
        <v>18.39818</v>
      </c>
      <c r="I2531">
        <v>-68.869010000000003</v>
      </c>
      <c r="J2531">
        <v>-248.19799999999901</v>
      </c>
      <c r="K2531">
        <v>1.103078</v>
      </c>
      <c r="L2531">
        <v>-62.672640000000001</v>
      </c>
      <c r="M2531">
        <v>0.99992599999999998</v>
      </c>
      <c r="N2531">
        <v>0</v>
      </c>
      <c r="O2531">
        <v>1.396127E-4</v>
      </c>
      <c r="P2531">
        <v>0.9874716</v>
      </c>
      <c r="Q2531">
        <v>0.15362439999999999</v>
      </c>
      <c r="R2531">
        <v>3.605179E-2</v>
      </c>
      <c r="S2531">
        <v>2.957535</v>
      </c>
      <c r="T2531">
        <v>0.56556899999999999</v>
      </c>
      <c r="U2531">
        <v>-0.2026367</v>
      </c>
      <c r="V2531">
        <v>-3.5749669999999997E-2</v>
      </c>
      <c r="W2531">
        <v>0.16566539999999999</v>
      </c>
      <c r="X2531">
        <v>0.98553380000000002</v>
      </c>
      <c r="Y2531">
        <v>6.7278480000000002E-2</v>
      </c>
      <c r="Z2531">
        <v>6.3942319999999997E-3</v>
      </c>
      <c r="AA2531">
        <v>0.99771369999999904</v>
      </c>
      <c r="AB2531">
        <v>30</v>
      </c>
      <c r="AC2531">
        <v>90.259799999999899</v>
      </c>
      <c r="AD2531">
        <v>17.295102</v>
      </c>
      <c r="AE2531">
        <v>-6.1963699999999999</v>
      </c>
      <c r="AF2531">
        <v>5.9900713840969599</v>
      </c>
      <c r="AG2531">
        <v>17.295102</v>
      </c>
      <c r="AH2531">
        <v>87.076803141766703</v>
      </c>
      <c r="AI2531">
        <v>78.791988256508603</v>
      </c>
      <c r="AJ2531">
        <v>86.064784637751501</v>
      </c>
      <c r="AK2531">
        <v>88.979610887927393</v>
      </c>
    </row>
    <row r="2532" spans="1:37" x14ac:dyDescent="0.2">
      <c r="A2532" t="str">
        <f>"20200111150643425"</f>
        <v>20200111150643425</v>
      </c>
      <c r="B2532" t="str">
        <f>"1578726403419304"</f>
        <v>1578726403419304</v>
      </c>
      <c r="C2532" t="s">
        <v>37</v>
      </c>
      <c r="D2532">
        <v>5.170598</v>
      </c>
      <c r="E2532">
        <v>0.54325059999999903</v>
      </c>
      <c r="F2532" t="s">
        <v>76</v>
      </c>
      <c r="G2532">
        <v>-157.9383</v>
      </c>
      <c r="H2532">
        <v>18.70909</v>
      </c>
      <c r="I2532">
        <v>-68.90513</v>
      </c>
      <c r="J2532">
        <v>-247.97399999999999</v>
      </c>
      <c r="K2532">
        <v>1.1030789999999999</v>
      </c>
      <c r="L2532">
        <v>-62.673000000000002</v>
      </c>
      <c r="M2532">
        <v>0.99992599999999998</v>
      </c>
      <c r="N2532">
        <v>0</v>
      </c>
      <c r="O2532">
        <v>-2.188786E-4</v>
      </c>
      <c r="P2532">
        <v>0.98748519999999895</v>
      </c>
      <c r="Q2532">
        <v>0.15359690000000001</v>
      </c>
      <c r="R2532">
        <v>3.5792690000000002E-2</v>
      </c>
      <c r="S2532">
        <v>2.9558259999999899</v>
      </c>
      <c r="T2532">
        <v>0.57656030000000003</v>
      </c>
      <c r="U2532">
        <v>-0.20410159999999999</v>
      </c>
      <c r="V2532">
        <v>-3.5844769999999998E-2</v>
      </c>
      <c r="W2532">
        <v>0.1656376</v>
      </c>
      <c r="X2532">
        <v>0.98553500000000005</v>
      </c>
      <c r="Y2532">
        <v>6.7407910000000001E-2</v>
      </c>
      <c r="Z2532">
        <v>6.4631050000000002E-3</v>
      </c>
      <c r="AA2532">
        <v>0.99770460000000005</v>
      </c>
      <c r="AB2532">
        <v>30</v>
      </c>
      <c r="AC2532">
        <v>90.035700000000006</v>
      </c>
      <c r="AD2532">
        <v>17.606010999999999</v>
      </c>
      <c r="AE2532">
        <v>-6.23212999999999</v>
      </c>
      <c r="AF2532">
        <v>5.9846722325875996</v>
      </c>
      <c r="AG2532">
        <v>17.606010999999999</v>
      </c>
      <c r="AH2532">
        <v>86.736275795623996</v>
      </c>
      <c r="AI2532">
        <v>78.552305428778197</v>
      </c>
      <c r="AJ2532">
        <v>86.052933403566996</v>
      </c>
      <c r="AK2532">
        <v>88.707212017728196</v>
      </c>
    </row>
    <row r="2533" spans="1:37" x14ac:dyDescent="0.2">
      <c r="A2533" t="str">
        <f>"20200111150643437"</f>
        <v>20200111150643437</v>
      </c>
      <c r="B2533" t="str">
        <f>"1578726403429064"</f>
        <v>1578726403429064</v>
      </c>
      <c r="C2533" t="s">
        <v>37</v>
      </c>
      <c r="D2533">
        <v>6.4097790000000003</v>
      </c>
      <c r="E2533">
        <v>0.54088899999999995</v>
      </c>
      <c r="F2533" t="s">
        <v>76</v>
      </c>
      <c r="G2533">
        <v>-157.9383</v>
      </c>
      <c r="H2533">
        <v>18.84675</v>
      </c>
      <c r="I2533">
        <v>-69.896319999999903</v>
      </c>
      <c r="J2533">
        <v>-247.79509999999999</v>
      </c>
      <c r="K2533">
        <v>1.103078</v>
      </c>
      <c r="L2533">
        <v>-62.673340000000003</v>
      </c>
      <c r="M2533">
        <v>0.99992590000000003</v>
      </c>
      <c r="N2533">
        <v>0</v>
      </c>
      <c r="O2533">
        <v>-5.0506239999999897E-4</v>
      </c>
      <c r="P2533">
        <v>0.98744929999999997</v>
      </c>
      <c r="Q2533">
        <v>0.1538986</v>
      </c>
      <c r="R2533">
        <v>3.5486959999999998E-2</v>
      </c>
      <c r="S2533">
        <v>2.9560089999999999</v>
      </c>
      <c r="T2533">
        <v>0.58255019999999902</v>
      </c>
      <c r="U2533">
        <v>-0.2371521</v>
      </c>
      <c r="V2533">
        <v>-3.5821789999999999E-2</v>
      </c>
      <c r="W2533">
        <v>0.16593720000000001</v>
      </c>
      <c r="X2533">
        <v>0.98548549999999902</v>
      </c>
      <c r="Y2533">
        <v>7.7985879999999994E-2</v>
      </c>
      <c r="Z2533">
        <v>7.5009619999999999E-3</v>
      </c>
      <c r="AA2533">
        <v>0.99692619999999899</v>
      </c>
      <c r="AB2533">
        <v>30</v>
      </c>
      <c r="AC2533">
        <v>89.856799999999893</v>
      </c>
      <c r="AD2533">
        <v>17.743672</v>
      </c>
      <c r="AE2533">
        <v>-7.2229799999999802</v>
      </c>
      <c r="AF2533">
        <v>6.90988598022658</v>
      </c>
      <c r="AG2533">
        <v>17.743672</v>
      </c>
      <c r="AH2533">
        <v>86.508864761621197</v>
      </c>
      <c r="AI2533">
        <v>78.444736281627797</v>
      </c>
      <c r="AJ2533">
        <v>85.433201551092694</v>
      </c>
      <c r="AK2533">
        <v>88.579727379619897</v>
      </c>
    </row>
    <row r="2534" spans="1:37" x14ac:dyDescent="0.2">
      <c r="A2534" t="str">
        <f>"20200111150643449"</f>
        <v>20200111150643449</v>
      </c>
      <c r="B2534" t="str">
        <f>"1578726403438824"</f>
        <v>1578726403438824</v>
      </c>
      <c r="C2534" t="s">
        <v>37</v>
      </c>
      <c r="D2534">
        <v>5.2103679999999999</v>
      </c>
      <c r="E2534">
        <v>0.54088899999999995</v>
      </c>
      <c r="F2534" t="s">
        <v>76</v>
      </c>
      <c r="G2534">
        <v>-157.9383</v>
      </c>
      <c r="H2534">
        <v>19.75592</v>
      </c>
      <c r="I2534">
        <v>-69.348269999999999</v>
      </c>
      <c r="J2534">
        <v>-247.64320000000001</v>
      </c>
      <c r="K2534">
        <v>1.1030789999999999</v>
      </c>
      <c r="L2534">
        <v>-62.673679999999997</v>
      </c>
      <c r="M2534">
        <v>0.99992569999999903</v>
      </c>
      <c r="N2534">
        <v>0</v>
      </c>
      <c r="O2534">
        <v>-7.4748950000000001E-4</v>
      </c>
      <c r="P2534">
        <v>0.98748440000000004</v>
      </c>
      <c r="Q2534">
        <v>0.15382499999999999</v>
      </c>
      <c r="R2534">
        <v>3.4816449999999999E-2</v>
      </c>
      <c r="S2534">
        <v>2.9505309999999998</v>
      </c>
      <c r="T2534">
        <v>0.61248179999999997</v>
      </c>
      <c r="U2534">
        <v>-0.21917719999999999</v>
      </c>
      <c r="V2534">
        <v>-3.5391350000000002E-2</v>
      </c>
      <c r="W2534">
        <v>0.16586010000000001</v>
      </c>
      <c r="X2534">
        <v>0.985513999999999</v>
      </c>
      <c r="Y2534">
        <v>7.1827340000000003E-2</v>
      </c>
      <c r="Z2534">
        <v>7.2132949999999998E-3</v>
      </c>
      <c r="AA2534">
        <v>0.99739100000000003</v>
      </c>
      <c r="AB2534">
        <v>30</v>
      </c>
      <c r="AC2534">
        <v>89.704899999999995</v>
      </c>
      <c r="AD2534">
        <v>18.652840999999999</v>
      </c>
      <c r="AE2534">
        <v>-6.6745899999999896</v>
      </c>
      <c r="AF2534">
        <v>6.3351247012449097</v>
      </c>
      <c r="AG2534">
        <v>18.652840999999999</v>
      </c>
      <c r="AH2534">
        <v>86.011445160561493</v>
      </c>
      <c r="AI2534">
        <v>77.796106836612594</v>
      </c>
      <c r="AJ2534">
        <v>85.787518078732703</v>
      </c>
      <c r="AK2534">
        <v>88.238489226413407</v>
      </c>
    </row>
    <row r="2535" spans="1:37" x14ac:dyDescent="0.2">
      <c r="A2535" t="str">
        <f>"20200111150643461"</f>
        <v>20200111150643461</v>
      </c>
      <c r="B2535" t="str">
        <f>"1578726403459320"</f>
        <v>1578726403459320</v>
      </c>
      <c r="C2535" t="s">
        <v>37</v>
      </c>
      <c r="D2535">
        <v>5.2604519999999999</v>
      </c>
      <c r="E2535">
        <v>0.54081420000000002</v>
      </c>
      <c r="F2535" t="s">
        <v>76</v>
      </c>
      <c r="G2535">
        <v>-157.9383</v>
      </c>
      <c r="H2535">
        <v>19.711129999999901</v>
      </c>
      <c r="I2535">
        <v>-69.401409999999998</v>
      </c>
      <c r="J2535">
        <v>-247.49080000000001</v>
      </c>
      <c r="K2535">
        <v>1.103083</v>
      </c>
      <c r="L2535">
        <v>-62.674069999999901</v>
      </c>
      <c r="M2535">
        <v>0.99992569999999903</v>
      </c>
      <c r="N2535">
        <v>0</v>
      </c>
      <c r="O2535">
        <v>-9.91095899999999E-4</v>
      </c>
      <c r="P2535">
        <v>0.98753139999999995</v>
      </c>
      <c r="Q2535">
        <v>0.1536961</v>
      </c>
      <c r="R2535">
        <v>3.405267E-2</v>
      </c>
      <c r="S2535">
        <v>2.9504999999999999</v>
      </c>
      <c r="T2535">
        <v>0.61203920000000001</v>
      </c>
      <c r="U2535">
        <v>-0.22128299999999901</v>
      </c>
      <c r="V2535">
        <v>-3.4869089999999998E-2</v>
      </c>
      <c r="W2535">
        <v>0.1657275</v>
      </c>
      <c r="X2535">
        <v>0.98555490000000001</v>
      </c>
      <c r="Y2535">
        <v>7.2290579999999993E-2</v>
      </c>
      <c r="Z2535">
        <v>7.2056169999999897E-3</v>
      </c>
      <c r="AA2535">
        <v>0.99735759999999996</v>
      </c>
      <c r="AB2535">
        <v>30</v>
      </c>
      <c r="AC2535">
        <v>89.552499999999995</v>
      </c>
      <c r="AD2535">
        <v>18.608046999999999</v>
      </c>
      <c r="AE2535">
        <v>-6.7273399999999999</v>
      </c>
      <c r="AF2535">
        <v>6.36528724861786</v>
      </c>
      <c r="AG2535">
        <v>18.608046999999999</v>
      </c>
      <c r="AH2535">
        <v>85.872276381667007</v>
      </c>
      <c r="AI2535">
        <v>77.805805660317901</v>
      </c>
      <c r="AJ2535">
        <v>85.760700134110493</v>
      </c>
      <c r="AK2535">
        <v>88.095539875075602</v>
      </c>
    </row>
    <row r="2536" spans="1:37" x14ac:dyDescent="0.2">
      <c r="A2536" t="str">
        <f>"20200111150643472"</f>
        <v>20200111150643472</v>
      </c>
      <c r="B2536" t="str">
        <f>"1578726403469080"</f>
        <v>1578726403469080</v>
      </c>
      <c r="C2536" t="s">
        <v>37</v>
      </c>
      <c r="D2536">
        <v>5.1090349999999898</v>
      </c>
      <c r="E2536">
        <v>0.54570249999999998</v>
      </c>
      <c r="F2536" t="s">
        <v>76</v>
      </c>
      <c r="G2536">
        <v>-157.9383</v>
      </c>
      <c r="H2536">
        <v>18.788640000000001</v>
      </c>
      <c r="I2536">
        <v>-69.437079999999995</v>
      </c>
      <c r="J2536">
        <v>-247.3357</v>
      </c>
      <c r="K2536">
        <v>1.103081</v>
      </c>
      <c r="L2536">
        <v>-62.6744699999999</v>
      </c>
      <c r="M2536">
        <v>0.99992539999999996</v>
      </c>
      <c r="N2536">
        <v>0</v>
      </c>
      <c r="O2536">
        <v>-1.2385110000000001E-3</v>
      </c>
      <c r="P2536">
        <v>0.9875507</v>
      </c>
      <c r="Q2536">
        <v>0.1537934</v>
      </c>
      <c r="R2536">
        <v>3.3038329999999998E-2</v>
      </c>
      <c r="S2536">
        <v>2.9547729999999999</v>
      </c>
      <c r="T2536">
        <v>0.58353159999999904</v>
      </c>
      <c r="U2536">
        <v>-0.2231445</v>
      </c>
      <c r="V2536">
        <v>-3.4099240000000003E-2</v>
      </c>
      <c r="W2536">
        <v>0.16581870000000001</v>
      </c>
      <c r="X2536">
        <v>0.98556659999999996</v>
      </c>
      <c r="Y2536">
        <v>7.2698059999999995E-2</v>
      </c>
      <c r="Z2536">
        <v>6.8580749999999999E-3</v>
      </c>
      <c r="AA2536">
        <v>0.99733039999999995</v>
      </c>
      <c r="AB2536">
        <v>30</v>
      </c>
      <c r="AC2536">
        <v>89.397400000000005</v>
      </c>
      <c r="AD2536">
        <v>17.685559000000001</v>
      </c>
      <c r="AE2536">
        <v>-6.7626100000000102</v>
      </c>
      <c r="AF2536">
        <v>6.4027193694952702</v>
      </c>
      <c r="AG2536">
        <v>17.685559000000001</v>
      </c>
      <c r="AH2536">
        <v>86.056861560481295</v>
      </c>
      <c r="AI2536">
        <v>78.417969248621603</v>
      </c>
      <c r="AJ2536">
        <v>85.744974530396703</v>
      </c>
      <c r="AK2536">
        <v>88.088349025888903</v>
      </c>
    </row>
    <row r="2537" spans="1:37" x14ac:dyDescent="0.2">
      <c r="A2537" t="str">
        <f>"20200111150643483"</f>
        <v>20200111150643483</v>
      </c>
      <c r="B2537" t="str">
        <f>"1578726403478840"</f>
        <v>1578726403478840</v>
      </c>
      <c r="C2537" t="s">
        <v>37</v>
      </c>
      <c r="D2537">
        <v>4.7478559999999996</v>
      </c>
      <c r="E2537">
        <v>0.53954539999999995</v>
      </c>
      <c r="F2537" t="s">
        <v>38</v>
      </c>
      <c r="G2537">
        <v>-246.357</v>
      </c>
      <c r="H2537">
        <v>1.0273939999999999</v>
      </c>
      <c r="I2537">
        <v>-62.758499999999998</v>
      </c>
      <c r="J2537">
        <v>-247.1866</v>
      </c>
      <c r="K2537">
        <v>1.103081</v>
      </c>
      <c r="L2537">
        <v>-62.674930000000003</v>
      </c>
      <c r="M2537">
        <v>0.99992530000000002</v>
      </c>
      <c r="N2537">
        <v>0</v>
      </c>
      <c r="O2537">
        <v>-1.4762320000000001E-3</v>
      </c>
      <c r="P2537">
        <v>0.98761129999999997</v>
      </c>
      <c r="Q2537">
        <v>0.1536063</v>
      </c>
      <c r="R2537">
        <v>3.2082590000000001E-2</v>
      </c>
      <c r="S2537">
        <v>3.0838009999999998</v>
      </c>
      <c r="T2537">
        <v>-0.23843529999999999</v>
      </c>
      <c r="U2537">
        <v>-0.26464840000000001</v>
      </c>
      <c r="V2537">
        <v>-3.3378980000000003E-2</v>
      </c>
      <c r="W2537">
        <v>0.1656212</v>
      </c>
      <c r="X2537">
        <v>0.98562439999999996</v>
      </c>
      <c r="Y2537">
        <v>8.3789710000000003E-2</v>
      </c>
      <c r="Z2537">
        <v>-3.1147499999999999E-3</v>
      </c>
      <c r="AA2537">
        <v>0.99647859999999999</v>
      </c>
      <c r="AB2537">
        <v>30</v>
      </c>
      <c r="AC2537">
        <v>0.829599999999999</v>
      </c>
      <c r="AD2537">
        <v>-7.5686999999999796E-2</v>
      </c>
      <c r="AE2537">
        <v>-8.3569999999994496E-2</v>
      </c>
      <c r="AF2537">
        <v>8.1672168804207204E-2</v>
      </c>
      <c r="AG2537">
        <v>-7.5686999999999796E-2</v>
      </c>
      <c r="AH2537">
        <v>0.82294154391828001</v>
      </c>
      <c r="AI2537">
        <v>95.229238210101499</v>
      </c>
      <c r="AJ2537">
        <v>84.332285898453804</v>
      </c>
      <c r="AK2537">
        <v>0.830440635947438</v>
      </c>
    </row>
    <row r="2538" spans="1:37" x14ac:dyDescent="0.2">
      <c r="A2538" t="str">
        <f>"20200111150643494"</f>
        <v>20200111150643494</v>
      </c>
      <c r="B2538" t="str">
        <f>"1578726403489577"</f>
        <v>1578726403489577</v>
      </c>
      <c r="C2538" t="s">
        <v>37</v>
      </c>
      <c r="D2538">
        <v>5.1483299999999996</v>
      </c>
      <c r="E2538">
        <v>0.54035630000000001</v>
      </c>
      <c r="F2538" t="s">
        <v>38</v>
      </c>
      <c r="G2538">
        <v>-246.35419999999999</v>
      </c>
      <c r="H2538">
        <v>1.0331330000000001</v>
      </c>
      <c r="I2538">
        <v>-62.733930000000001</v>
      </c>
      <c r="J2538">
        <v>-247.042</v>
      </c>
      <c r="K2538">
        <v>1.103078</v>
      </c>
      <c r="L2538">
        <v>-62.675350000000002</v>
      </c>
      <c r="M2538">
        <v>0.99992510000000001</v>
      </c>
      <c r="N2538">
        <v>0</v>
      </c>
      <c r="O2538">
        <v>-1.7066799999999999E-3</v>
      </c>
      <c r="P2538">
        <v>0.98765639999999999</v>
      </c>
      <c r="Q2538">
        <v>0.15349699999999999</v>
      </c>
      <c r="R2538">
        <v>3.1210539999999998E-2</v>
      </c>
      <c r="S2538">
        <v>3.0850219999999999</v>
      </c>
      <c r="T2538">
        <v>-0.25918750000000002</v>
      </c>
      <c r="U2538">
        <v>-0.21853639999999999</v>
      </c>
      <c r="V2538">
        <v>-3.2735769999999997E-2</v>
      </c>
      <c r="W2538">
        <v>0.165500799999999</v>
      </c>
      <c r="X2538">
        <v>0.98566620000000005</v>
      </c>
      <c r="Y2538">
        <v>6.8723240000000005E-2</v>
      </c>
      <c r="Z2538">
        <v>-2.7352570000000001E-3</v>
      </c>
      <c r="AA2538">
        <v>0.99763199999999996</v>
      </c>
      <c r="AB2538">
        <v>30</v>
      </c>
      <c r="AC2538">
        <v>0.68780000000000996</v>
      </c>
      <c r="AD2538">
        <v>-6.9944999999999896E-2</v>
      </c>
      <c r="AE2538">
        <v>-5.8580000000006197E-2</v>
      </c>
      <c r="AF2538">
        <v>5.6822567959150999E-2</v>
      </c>
      <c r="AG2538">
        <v>-6.9944999999999896E-2</v>
      </c>
      <c r="AH2538">
        <v>0.680907996329012</v>
      </c>
      <c r="AI2538">
        <v>95.844854764343395</v>
      </c>
      <c r="AJ2538">
        <v>85.229653476690899</v>
      </c>
      <c r="AK2538">
        <v>0.68684554793582397</v>
      </c>
    </row>
    <row r="2539" spans="1:37" x14ac:dyDescent="0.2">
      <c r="A2539" t="str">
        <f>"20200111150643506"</f>
        <v>20200111150643506</v>
      </c>
      <c r="B2539" t="str">
        <f>"1578726403499336"</f>
        <v>1578726403499336</v>
      </c>
      <c r="C2539" t="s">
        <v>37</v>
      </c>
      <c r="D2539">
        <v>4.7454089999999898</v>
      </c>
      <c r="E2539">
        <v>0.53652100000000003</v>
      </c>
      <c r="F2539" t="s">
        <v>38</v>
      </c>
      <c r="G2539">
        <v>-246.0883</v>
      </c>
      <c r="H2539">
        <v>1.0295459999999901</v>
      </c>
      <c r="I2539">
        <v>-62.746200000000002</v>
      </c>
      <c r="J2539">
        <v>-246.87780000000001</v>
      </c>
      <c r="K2539">
        <v>1.1030739999999899</v>
      </c>
      <c r="L2539">
        <v>-62.675899999999999</v>
      </c>
      <c r="M2539">
        <v>0.99992479999999995</v>
      </c>
      <c r="N2539">
        <v>0</v>
      </c>
      <c r="O2539">
        <v>-1.9680879999999898E-3</v>
      </c>
      <c r="P2539">
        <v>0.98765340000000001</v>
      </c>
      <c r="Q2539">
        <v>0.15364040000000001</v>
      </c>
      <c r="R2539">
        <v>3.0589519999999999E-2</v>
      </c>
      <c r="S2539">
        <v>3.081604</v>
      </c>
      <c r="T2539">
        <v>-0.23755229999999899</v>
      </c>
      <c r="U2539">
        <v>-0.2281494</v>
      </c>
      <c r="V2539">
        <v>-3.2373159999999998E-2</v>
      </c>
      <c r="W2539">
        <v>0.16562869999999999</v>
      </c>
      <c r="X2539">
        <v>0.98565669999999905</v>
      </c>
      <c r="Y2539">
        <v>7.1665209999999993E-2</v>
      </c>
      <c r="Z2539">
        <v>-2.6030999999999901E-3</v>
      </c>
      <c r="AA2539">
        <v>0.99742529999999996</v>
      </c>
      <c r="AB2539">
        <v>30</v>
      </c>
      <c r="AC2539">
        <v>0.78950000000000298</v>
      </c>
      <c r="AD2539">
        <v>-7.3527999999999996E-2</v>
      </c>
      <c r="AE2539">
        <v>-7.0300000000003096E-2</v>
      </c>
      <c r="AF2539">
        <v>6.8159405120544594E-2</v>
      </c>
      <c r="AG2539">
        <v>-7.3527999999999996E-2</v>
      </c>
      <c r="AH2539">
        <v>0.78289966757974605</v>
      </c>
      <c r="AI2539">
        <v>95.345238756973103</v>
      </c>
      <c r="AJ2539">
        <v>85.024363325356703</v>
      </c>
      <c r="AK2539">
        <v>0.78929333000277102</v>
      </c>
    </row>
    <row r="2540" spans="1:37" x14ac:dyDescent="0.2">
      <c r="A2540" t="str">
        <f>"20200111150643518"</f>
        <v>20200111150643518</v>
      </c>
      <c r="B2540" t="str">
        <f>"1578726403509097"</f>
        <v>1578726403509097</v>
      </c>
      <c r="C2540" t="s">
        <v>37</v>
      </c>
      <c r="D2540">
        <v>5.205419</v>
      </c>
      <c r="E2540">
        <v>0.53926339999999995</v>
      </c>
      <c r="F2540" t="s">
        <v>38</v>
      </c>
      <c r="G2540">
        <v>-246.07679999999999</v>
      </c>
      <c r="H2540">
        <v>1.0486549999999999</v>
      </c>
      <c r="I2540">
        <v>-62.728250000000003</v>
      </c>
      <c r="J2540">
        <v>-246.71960000000001</v>
      </c>
      <c r="K2540">
        <v>1.1030719999999901</v>
      </c>
      <c r="L2540">
        <v>-62.676479999999998</v>
      </c>
      <c r="M2540">
        <v>0.99992440000000005</v>
      </c>
      <c r="N2540">
        <v>0</v>
      </c>
      <c r="O2540">
        <v>-2.2202060000000002E-3</v>
      </c>
      <c r="P2540">
        <v>0.98771969999999998</v>
      </c>
      <c r="Q2540">
        <v>0.1533301</v>
      </c>
      <c r="R2540">
        <v>2.999253E-2</v>
      </c>
      <c r="S2540">
        <v>3.0762019999999999</v>
      </c>
      <c r="T2540">
        <v>-0.20894769999999999</v>
      </c>
      <c r="U2540">
        <v>-0.200103799999999</v>
      </c>
      <c r="V2540">
        <v>-3.2026659999999998E-2</v>
      </c>
      <c r="W2540">
        <v>0.16530420000000001</v>
      </c>
      <c r="X2540">
        <v>0.98572249999999995</v>
      </c>
      <c r="Y2540">
        <v>6.2557500000000002E-2</v>
      </c>
      <c r="Z2540">
        <v>-1.9694159999999999E-3</v>
      </c>
      <c r="AA2540">
        <v>0.99803940000000002</v>
      </c>
      <c r="AB2540">
        <v>30</v>
      </c>
      <c r="AC2540">
        <v>0.64280000000002202</v>
      </c>
      <c r="AD2540">
        <v>-5.4416999999999903E-2</v>
      </c>
      <c r="AE2540">
        <v>-5.1769999999997603E-2</v>
      </c>
      <c r="AF2540">
        <v>4.9986690140126099E-2</v>
      </c>
      <c r="AG2540">
        <v>-5.4416999999999903E-2</v>
      </c>
      <c r="AH2540">
        <v>0.63836787546711404</v>
      </c>
      <c r="AI2540">
        <v>94.8575419651103</v>
      </c>
      <c r="AJ2540">
        <v>85.522653417746398</v>
      </c>
      <c r="AK2540">
        <v>0.64263008294707302</v>
      </c>
    </row>
    <row r="2541" spans="1:37" x14ac:dyDescent="0.2">
      <c r="A2541" t="str">
        <f>"20200111150643531"</f>
        <v>20200111150643531</v>
      </c>
      <c r="B2541" t="str">
        <f>"1578726403518856"</f>
        <v>1578726403518856</v>
      </c>
      <c r="C2541" t="s">
        <v>37</v>
      </c>
      <c r="D2541">
        <v>5.0135860000000001</v>
      </c>
      <c r="E2541">
        <v>0.53905630000000004</v>
      </c>
      <c r="F2541" t="s">
        <v>38</v>
      </c>
      <c r="G2541">
        <v>-245.81620000000001</v>
      </c>
      <c r="H2541">
        <v>1.0383789999999999</v>
      </c>
      <c r="I2541">
        <v>-62.742309999999897</v>
      </c>
      <c r="J2541">
        <v>-246.55099999999999</v>
      </c>
      <c r="K2541">
        <v>1.1030719999999901</v>
      </c>
      <c r="L2541">
        <v>-62.677119999999903</v>
      </c>
      <c r="M2541">
        <v>0.99992389999999998</v>
      </c>
      <c r="N2541">
        <v>0</v>
      </c>
      <c r="O2541">
        <v>-2.4890070000000001E-3</v>
      </c>
      <c r="P2541">
        <v>0.98778489999999997</v>
      </c>
      <c r="Q2541">
        <v>0.15305849999999999</v>
      </c>
      <c r="R2541">
        <v>2.9222560000000002E-2</v>
      </c>
      <c r="S2541">
        <v>3.0783230000000001</v>
      </c>
      <c r="T2541">
        <v>-0.2204353</v>
      </c>
      <c r="U2541">
        <v>-0.22412109999999999</v>
      </c>
      <c r="V2541">
        <v>-3.1522429999999997E-2</v>
      </c>
      <c r="W2541">
        <v>0.16501689999999999</v>
      </c>
      <c r="X2541">
        <v>0.98578690000000002</v>
      </c>
      <c r="Y2541">
        <v>6.9959350000000003E-2</v>
      </c>
      <c r="Z2541">
        <v>-2.3205769999999999E-3</v>
      </c>
      <c r="AA2541">
        <v>0.99754709999999902</v>
      </c>
      <c r="AB2541">
        <v>30</v>
      </c>
      <c r="AC2541">
        <v>0.73479999999997803</v>
      </c>
      <c r="AD2541">
        <v>-6.4692999999999598E-2</v>
      </c>
      <c r="AE2541">
        <v>-6.5190000000001094E-2</v>
      </c>
      <c r="AF2541">
        <v>6.28771666035257E-2</v>
      </c>
      <c r="AG2541">
        <v>-6.4692999999999598E-2</v>
      </c>
      <c r="AH2541">
        <v>0.72935070506759103</v>
      </c>
      <c r="AI2541">
        <v>95.050203492218699</v>
      </c>
      <c r="AJ2541">
        <v>85.072725845164001</v>
      </c>
      <c r="AK2541">
        <v>0.73490895579770898</v>
      </c>
    </row>
    <row r="2542" spans="1:37" x14ac:dyDescent="0.2">
      <c r="A2542" t="str">
        <f>"20200111150643543"</f>
        <v>20200111150643543</v>
      </c>
      <c r="B2542" t="str">
        <f>"1578726403538885"</f>
        <v>1578726403538885</v>
      </c>
      <c r="C2542" t="s">
        <v>37</v>
      </c>
      <c r="D2542">
        <v>5.0988110000000004</v>
      </c>
      <c r="E2542">
        <v>0.54007320000000003</v>
      </c>
      <c r="F2542" t="s">
        <v>38</v>
      </c>
      <c r="G2542">
        <v>-245.80850000000001</v>
      </c>
      <c r="H2542">
        <v>1.049436</v>
      </c>
      <c r="I2542">
        <v>-62.731450000000002</v>
      </c>
      <c r="J2542">
        <v>-246.38919999999999</v>
      </c>
      <c r="K2542">
        <v>1.103067</v>
      </c>
      <c r="L2542">
        <v>-62.67783</v>
      </c>
      <c r="M2542">
        <v>0.99992329999999996</v>
      </c>
      <c r="N2542">
        <v>0</v>
      </c>
      <c r="O2542">
        <v>-2.7467469999999999E-3</v>
      </c>
      <c r="P2542">
        <v>0.98784179999999999</v>
      </c>
      <c r="Q2542">
        <v>0.152814899999999</v>
      </c>
      <c r="R2542">
        <v>2.8568920000000001E-2</v>
      </c>
      <c r="S2542">
        <v>3.0781860000000001</v>
      </c>
      <c r="T2542">
        <v>-0.22234689999999999</v>
      </c>
      <c r="U2542">
        <v>-0.22494510000000001</v>
      </c>
      <c r="V2542">
        <v>-3.1124249999999999E-2</v>
      </c>
      <c r="W2542">
        <v>0.16475870000000001</v>
      </c>
      <c r="X2542">
        <v>0.98584269999999996</v>
      </c>
      <c r="Y2542">
        <v>6.996869E-2</v>
      </c>
      <c r="Z2542">
        <v>-2.3224980000000001E-3</v>
      </c>
      <c r="AA2542">
        <v>0.9975465</v>
      </c>
      <c r="AB2542">
        <v>30</v>
      </c>
      <c r="AC2542">
        <v>0.58069999999997801</v>
      </c>
      <c r="AD2542">
        <v>-5.3630999999999901E-2</v>
      </c>
      <c r="AE2542">
        <v>-5.3619999999995102E-2</v>
      </c>
      <c r="AF2542">
        <v>5.1588338028346302E-2</v>
      </c>
      <c r="AG2542">
        <v>-5.3630999999999901E-2</v>
      </c>
      <c r="AH2542">
        <v>0.575973813180923</v>
      </c>
      <c r="AI2542">
        <v>95.298588559791497</v>
      </c>
      <c r="AJ2542">
        <v>84.881837095698899</v>
      </c>
      <c r="AK2542">
        <v>0.58076111633932603</v>
      </c>
    </row>
    <row r="2543" spans="1:37" x14ac:dyDescent="0.2">
      <c r="A2543" t="str">
        <f>"20200111150643559"</f>
        <v>20200111150643559</v>
      </c>
      <c r="B2543" t="str">
        <f>"1578726403549619"</f>
        <v>1578726403549619</v>
      </c>
      <c r="C2543" t="s">
        <v>37</v>
      </c>
      <c r="D2543">
        <v>5.5677300000000001</v>
      </c>
      <c r="E2543">
        <v>0.54007320000000003</v>
      </c>
      <c r="F2543" t="s">
        <v>38</v>
      </c>
      <c r="G2543">
        <v>-245.5461</v>
      </c>
      <c r="H2543">
        <v>1.043051</v>
      </c>
      <c r="I2543">
        <v>-62.742539999999998</v>
      </c>
      <c r="J2543">
        <v>-246.18049999999999</v>
      </c>
      <c r="K2543">
        <v>1.1030549999999999</v>
      </c>
      <c r="L2543">
        <v>-62.678709999999903</v>
      </c>
      <c r="M2543">
        <v>0.99992259999999999</v>
      </c>
      <c r="N2543">
        <v>0</v>
      </c>
      <c r="O2543">
        <v>-3.0790929999999898E-3</v>
      </c>
      <c r="P2543">
        <v>0.98793790000000004</v>
      </c>
      <c r="Q2543">
        <v>0.15230929999999901</v>
      </c>
      <c r="R2543">
        <v>2.7939619999999998E-2</v>
      </c>
      <c r="S2543">
        <v>3.077591</v>
      </c>
      <c r="T2543">
        <v>-0.2189701</v>
      </c>
      <c r="U2543">
        <v>-0.23498539999999901</v>
      </c>
      <c r="V2543">
        <v>-3.0823759999999999E-2</v>
      </c>
      <c r="W2543">
        <v>0.1642361</v>
      </c>
      <c r="X2543">
        <v>0.98593929999999996</v>
      </c>
      <c r="Y2543">
        <v>7.2885920000000007E-2</v>
      </c>
      <c r="Z2543">
        <v>-2.367395E-3</v>
      </c>
      <c r="AA2543">
        <v>0.99733749999999999</v>
      </c>
      <c r="AB2543">
        <v>30</v>
      </c>
      <c r="AC2543">
        <v>0.63439999999999896</v>
      </c>
      <c r="AD2543">
        <v>-6.0003999999999898E-2</v>
      </c>
      <c r="AE2543">
        <v>-6.3830000000010004E-2</v>
      </c>
      <c r="AF2543">
        <v>6.1332986333235397E-2</v>
      </c>
      <c r="AG2543">
        <v>-6.0003999999999898E-2</v>
      </c>
      <c r="AH2543">
        <v>0.62902263774829903</v>
      </c>
      <c r="AI2543">
        <v>95.423529303857904</v>
      </c>
      <c r="AJ2543">
        <v>84.430967046678404</v>
      </c>
      <c r="AK2543">
        <v>0.63484777232686396</v>
      </c>
    </row>
    <row r="2544" spans="1:37" x14ac:dyDescent="0.2">
      <c r="A2544" t="str">
        <f>"20200111150643570"</f>
        <v>20200111150643570</v>
      </c>
      <c r="B2544" t="str">
        <f>"1578726403559379"</f>
        <v>1578726403559379</v>
      </c>
      <c r="C2544" t="s">
        <v>37</v>
      </c>
      <c r="D2544">
        <v>5.1376850000000003</v>
      </c>
      <c r="E2544">
        <v>0.54174489999999997</v>
      </c>
      <c r="F2544" t="s">
        <v>38</v>
      </c>
      <c r="G2544">
        <v>-245.28059999999999</v>
      </c>
      <c r="H2544">
        <v>1.0385770000000001</v>
      </c>
      <c r="I2544">
        <v>-62.748219999999897</v>
      </c>
      <c r="J2544">
        <v>-246.0292</v>
      </c>
      <c r="K2544">
        <v>1.103051</v>
      </c>
      <c r="L2544">
        <v>-62.67944</v>
      </c>
      <c r="M2544">
        <v>0.99992219999999998</v>
      </c>
      <c r="N2544">
        <v>0</v>
      </c>
      <c r="O2544">
        <v>-3.3195729999999902E-3</v>
      </c>
      <c r="P2544">
        <v>0.98792649999999904</v>
      </c>
      <c r="Q2544">
        <v>0.15239749999999999</v>
      </c>
      <c r="R2544">
        <v>2.7872500000000001E-2</v>
      </c>
      <c r="S2544">
        <v>3.0773470000000001</v>
      </c>
      <c r="T2544">
        <v>-0.220412</v>
      </c>
      <c r="U2544">
        <v>-0.2372437</v>
      </c>
      <c r="V2544">
        <v>-3.0994029999999999E-2</v>
      </c>
      <c r="W2544">
        <v>0.16431089999999901</v>
      </c>
      <c r="X2544">
        <v>0.98592159999999995</v>
      </c>
      <c r="Y2544">
        <v>7.337668E-2</v>
      </c>
      <c r="Z2544">
        <v>-2.3834170000000001E-3</v>
      </c>
      <c r="AA2544">
        <v>0.99730149999999995</v>
      </c>
      <c r="AB2544">
        <v>30</v>
      </c>
      <c r="AC2544">
        <v>0.74860000000001004</v>
      </c>
      <c r="AD2544">
        <v>-6.4473999999999906E-2</v>
      </c>
      <c r="AE2544">
        <v>-6.8779999999996705E-2</v>
      </c>
      <c r="AF2544">
        <v>6.58103336762762E-2</v>
      </c>
      <c r="AG2544">
        <v>-6.4473999999999906E-2</v>
      </c>
      <c r="AH2544">
        <v>0.74335637022491097</v>
      </c>
      <c r="AI2544">
        <v>94.937848731376107</v>
      </c>
      <c r="AJ2544">
        <v>84.940718369829</v>
      </c>
      <c r="AK2544">
        <v>0.74904378366590696</v>
      </c>
    </row>
    <row r="2545" spans="1:37" x14ac:dyDescent="0.2">
      <c r="A2545" t="str">
        <f>"20200111150643581"</f>
        <v>20200111150643581</v>
      </c>
      <c r="B2545" t="str">
        <f>"1578726403578899"</f>
        <v>1578726403578899</v>
      </c>
      <c r="C2545" t="s">
        <v>37</v>
      </c>
      <c r="D2545">
        <v>4.2698499999999999</v>
      </c>
      <c r="E2545">
        <v>0.53706129999999996</v>
      </c>
      <c r="F2545" t="s">
        <v>38</v>
      </c>
      <c r="G2545">
        <v>-245.2749</v>
      </c>
      <c r="H2545">
        <v>1.047531</v>
      </c>
      <c r="I2545">
        <v>-62.741119999999903</v>
      </c>
      <c r="J2545">
        <v>-245.87459999999999</v>
      </c>
      <c r="K2545">
        <v>1.103048</v>
      </c>
      <c r="L2545">
        <v>-62.68018</v>
      </c>
      <c r="M2545">
        <v>0.99992130000000001</v>
      </c>
      <c r="N2545">
        <v>0</v>
      </c>
      <c r="O2545">
        <v>-3.5647090000000001E-3</v>
      </c>
      <c r="P2545">
        <v>0.98790699999999998</v>
      </c>
      <c r="Q2545">
        <v>0.15250720000000001</v>
      </c>
      <c r="R2545">
        <v>2.79520999999999E-2</v>
      </c>
      <c r="S2545">
        <v>3.0786899999999999</v>
      </c>
      <c r="T2545">
        <v>-0.22653719999999999</v>
      </c>
      <c r="U2545">
        <v>-0.25115969999999999</v>
      </c>
      <c r="V2545">
        <v>-3.1315540000000003E-2</v>
      </c>
      <c r="W2545">
        <v>0.16440869999999999</v>
      </c>
      <c r="X2545">
        <v>0.98589509999999903</v>
      </c>
      <c r="Y2545">
        <v>7.7557550000000003E-2</v>
      </c>
      <c r="Z2545">
        <v>-2.583353E-3</v>
      </c>
      <c r="AA2545">
        <v>0.99698449999999905</v>
      </c>
      <c r="AB2545">
        <v>30</v>
      </c>
      <c r="AC2545">
        <v>0.59969999999998402</v>
      </c>
      <c r="AD2545">
        <v>-5.5516999999999997E-2</v>
      </c>
      <c r="AE2545">
        <v>-6.0939999999987997E-2</v>
      </c>
      <c r="AF2545">
        <v>5.8307113787190598E-2</v>
      </c>
      <c r="AG2545">
        <v>-5.5516999999999997E-2</v>
      </c>
      <c r="AH2545">
        <v>0.59486749293739705</v>
      </c>
      <c r="AI2545">
        <v>95.306496699197496</v>
      </c>
      <c r="AJ2545">
        <v>84.401922679130195</v>
      </c>
      <c r="AK2545">
        <v>0.60029092193770195</v>
      </c>
    </row>
    <row r="2546" spans="1:37" x14ac:dyDescent="0.2">
      <c r="A2546" t="str">
        <f>"20200111150643593"</f>
        <v>20200111150643593</v>
      </c>
      <c r="B2546" t="str">
        <f>"1578726403589635"</f>
        <v>1578726403589635</v>
      </c>
      <c r="C2546" t="s">
        <v>37</v>
      </c>
      <c r="D2546">
        <v>5.1736230000000001</v>
      </c>
      <c r="E2546">
        <v>0.53827069999999999</v>
      </c>
      <c r="F2546" t="s">
        <v>38</v>
      </c>
      <c r="G2546">
        <v>-245.00989999999999</v>
      </c>
      <c r="H2546">
        <v>1.0442639999999901</v>
      </c>
      <c r="I2546">
        <v>-62.740549999999999</v>
      </c>
      <c r="J2546">
        <v>-245.71960000000001</v>
      </c>
      <c r="K2546">
        <v>1.1030450000000001</v>
      </c>
      <c r="L2546">
        <v>-62.680999999999997</v>
      </c>
      <c r="M2546">
        <v>0.9999207</v>
      </c>
      <c r="N2546">
        <v>0</v>
      </c>
      <c r="O2546">
        <v>-3.810562E-3</v>
      </c>
      <c r="P2546">
        <v>0.98788779999999998</v>
      </c>
      <c r="Q2546">
        <v>0.15262020000000001</v>
      </c>
      <c r="R2546">
        <v>2.8016099999999999E-2</v>
      </c>
      <c r="S2546">
        <v>3.075043</v>
      </c>
      <c r="T2546">
        <v>-0.20897589999999999</v>
      </c>
      <c r="U2546">
        <v>-0.2138977</v>
      </c>
      <c r="V2546">
        <v>-3.162152E-2</v>
      </c>
      <c r="W2546">
        <v>0.16450889999999899</v>
      </c>
      <c r="X2546">
        <v>0.98586859999999998</v>
      </c>
      <c r="Y2546">
        <v>6.5447959999999999E-2</v>
      </c>
      <c r="Z2546">
        <v>-1.960285E-3</v>
      </c>
      <c r="AA2546">
        <v>0.99785409999999997</v>
      </c>
      <c r="AB2546">
        <v>30</v>
      </c>
      <c r="AC2546">
        <v>0.70970000000002598</v>
      </c>
      <c r="AD2546">
        <v>-5.8781000000000097E-2</v>
      </c>
      <c r="AE2546">
        <v>-5.9549999999994399E-2</v>
      </c>
      <c r="AF2546">
        <v>5.6460406245014298E-2</v>
      </c>
      <c r="AG2546">
        <v>-5.8781000000000097E-2</v>
      </c>
      <c r="AH2546">
        <v>0.705118485224981</v>
      </c>
      <c r="AI2546">
        <v>94.750212598426302</v>
      </c>
      <c r="AJ2546">
        <v>85.421966872282496</v>
      </c>
      <c r="AK2546">
        <v>0.70981339916933395</v>
      </c>
    </row>
    <row r="2547" spans="1:37" x14ac:dyDescent="0.2">
      <c r="A2547" t="str">
        <f>"20200111150643606"</f>
        <v>20200111150643606</v>
      </c>
      <c r="B2547" t="str">
        <f>"1578726403599395"</f>
        <v>1578726403599395</v>
      </c>
      <c r="C2547" t="s">
        <v>37</v>
      </c>
      <c r="D2547">
        <v>4.5400609999999997</v>
      </c>
      <c r="E2547">
        <v>0.53621969999999997</v>
      </c>
      <c r="F2547" t="s">
        <v>38</v>
      </c>
      <c r="G2547">
        <v>-244.74629999999999</v>
      </c>
      <c r="H2547">
        <v>1.03576</v>
      </c>
      <c r="I2547">
        <v>-62.751899999999999</v>
      </c>
      <c r="J2547">
        <v>-245.55520000000001</v>
      </c>
      <c r="K2547">
        <v>1.103043</v>
      </c>
      <c r="L2547">
        <v>-62.68188</v>
      </c>
      <c r="M2547">
        <v>0.99991969999999997</v>
      </c>
      <c r="N2547">
        <v>0</v>
      </c>
      <c r="O2547">
        <v>-4.071079E-3</v>
      </c>
      <c r="P2547">
        <v>0.987921099999999</v>
      </c>
      <c r="Q2547">
        <v>0.15240770000000001</v>
      </c>
      <c r="R2547">
        <v>2.8000239999999999E-2</v>
      </c>
      <c r="S2547">
        <v>3.0759889999999999</v>
      </c>
      <c r="T2547">
        <v>-0.2125995</v>
      </c>
      <c r="U2547">
        <v>-0.223602299999999</v>
      </c>
      <c r="V2547">
        <v>-3.1863410000000002E-2</v>
      </c>
      <c r="W2547">
        <v>0.1642855</v>
      </c>
      <c r="X2547">
        <v>0.9858981</v>
      </c>
      <c r="Y2547">
        <v>6.8287870000000001E-2</v>
      </c>
      <c r="Z2547">
        <v>-2.0732989999999998E-3</v>
      </c>
      <c r="AA2547">
        <v>0.99766350000000004</v>
      </c>
      <c r="AB2547">
        <v>30</v>
      </c>
      <c r="AC2547">
        <v>0.80890000000002205</v>
      </c>
      <c r="AD2547">
        <v>-6.7282999999999898E-2</v>
      </c>
      <c r="AE2547">
        <v>-7.0019999999992394E-2</v>
      </c>
      <c r="AF2547">
        <v>6.6270991287570399E-2</v>
      </c>
      <c r="AG2547">
        <v>-6.7282999999999898E-2</v>
      </c>
      <c r="AH2547">
        <v>0.80365949169989603</v>
      </c>
      <c r="AI2547">
        <v>94.769573198371106</v>
      </c>
      <c r="AJ2547">
        <v>85.285968040284303</v>
      </c>
      <c r="AK2547">
        <v>0.80918936286543797</v>
      </c>
    </row>
    <row r="2548" spans="1:37" x14ac:dyDescent="0.2">
      <c r="A2548" t="str">
        <f>"20200111150643618"</f>
        <v>20200111150643618</v>
      </c>
      <c r="B2548" t="str">
        <f>"1578726403609157"</f>
        <v>1578726403609157</v>
      </c>
      <c r="C2548" t="s">
        <v>37</v>
      </c>
      <c r="D2548">
        <v>5.1698389999999996</v>
      </c>
      <c r="E2548">
        <v>0.53744099999999995</v>
      </c>
      <c r="F2548" t="s">
        <v>38</v>
      </c>
      <c r="G2548">
        <v>-244.7381</v>
      </c>
      <c r="H2548">
        <v>1.048403</v>
      </c>
      <c r="I2548">
        <v>-62.737180000000002</v>
      </c>
      <c r="J2548">
        <v>-245.37970000000001</v>
      </c>
      <c r="K2548">
        <v>1.10304</v>
      </c>
      <c r="L2548">
        <v>-62.68289</v>
      </c>
      <c r="M2548">
        <v>0.99991859999999999</v>
      </c>
      <c r="N2548">
        <v>0</v>
      </c>
      <c r="O2548">
        <v>-4.3494739999999999E-3</v>
      </c>
      <c r="P2548">
        <v>0.98794300000000002</v>
      </c>
      <c r="Q2548">
        <v>0.15225939999999999</v>
      </c>
      <c r="R2548">
        <v>2.8029180000000001E-2</v>
      </c>
      <c r="S2548">
        <v>3.0742950000000002</v>
      </c>
      <c r="T2548">
        <v>-0.205583399999999</v>
      </c>
      <c r="U2548">
        <v>-0.20745849999999999</v>
      </c>
      <c r="V2548">
        <v>-3.2167510000000003E-2</v>
      </c>
      <c r="W2548">
        <v>0.1641251</v>
      </c>
      <c r="X2548">
        <v>0.98591489999999904</v>
      </c>
      <c r="Y2548">
        <v>6.285789E-2</v>
      </c>
      <c r="Z2548">
        <v>-1.8067739999999999E-3</v>
      </c>
      <c r="AA2548">
        <v>0.99802080000000004</v>
      </c>
      <c r="AB2548">
        <v>30</v>
      </c>
      <c r="AC2548">
        <v>0.64160000000001005</v>
      </c>
      <c r="AD2548">
        <v>-5.4636999999999998E-2</v>
      </c>
      <c r="AE2548">
        <v>-5.4290000000001698E-2</v>
      </c>
      <c r="AF2548">
        <v>5.1130511530538901E-2</v>
      </c>
      <c r="AG2548">
        <v>-5.4636999999999998E-2</v>
      </c>
      <c r="AH2548">
        <v>0.63724179105440204</v>
      </c>
      <c r="AI2548">
        <v>94.884922069699698</v>
      </c>
      <c r="AJ2548">
        <v>85.412573567724095</v>
      </c>
      <c r="AK2548">
        <v>0.64162031704474398</v>
      </c>
    </row>
    <row r="2549" spans="1:37" x14ac:dyDescent="0.2">
      <c r="A2549" t="str">
        <f>"20200111150643629"</f>
        <v>20200111150643629</v>
      </c>
      <c r="B2549" t="str">
        <f>"1578726403618915"</f>
        <v>1578726403618915</v>
      </c>
      <c r="C2549" t="s">
        <v>37</v>
      </c>
      <c r="D2549">
        <v>5.1418369999999998</v>
      </c>
      <c r="E2549">
        <v>0.53844789999999998</v>
      </c>
      <c r="F2549" t="s">
        <v>38</v>
      </c>
      <c r="G2549">
        <v>-244.47569999999999</v>
      </c>
      <c r="H2549">
        <v>1.0411680000000001</v>
      </c>
      <c r="I2549">
        <v>-62.747039999999998</v>
      </c>
      <c r="J2549">
        <v>-245.22389999999999</v>
      </c>
      <c r="K2549">
        <v>1.1030409999999999</v>
      </c>
      <c r="L2549">
        <v>-62.683810000000001</v>
      </c>
      <c r="M2549">
        <v>0.99991759999999996</v>
      </c>
      <c r="N2549">
        <v>0</v>
      </c>
      <c r="O2549">
        <v>-4.5968839999999999E-3</v>
      </c>
      <c r="P2549">
        <v>0.98794680000000001</v>
      </c>
      <c r="Q2549">
        <v>0.15221949999999901</v>
      </c>
      <c r="R2549">
        <v>2.8114920000000002E-2</v>
      </c>
      <c r="S2549">
        <v>3.0751949999999999</v>
      </c>
      <c r="T2549">
        <v>-0.2103498</v>
      </c>
      <c r="U2549">
        <v>-0.21743769999999901</v>
      </c>
      <c r="V2549">
        <v>-3.249734E-2</v>
      </c>
      <c r="W2549">
        <v>0.16407479999999999</v>
      </c>
      <c r="X2549">
        <v>0.98591240000000002</v>
      </c>
      <c r="Y2549">
        <v>6.5802089999999994E-2</v>
      </c>
      <c r="Z2549">
        <v>-1.93139299999999E-3</v>
      </c>
      <c r="AA2549">
        <v>0.99783080000000002</v>
      </c>
      <c r="AB2549">
        <v>30</v>
      </c>
      <c r="AC2549">
        <v>0.74819999999999698</v>
      </c>
      <c r="AD2549">
        <v>-6.1872999999999803E-2</v>
      </c>
      <c r="AE2549">
        <v>-6.3230000000004297E-2</v>
      </c>
      <c r="AF2549">
        <v>5.9386456051452902E-2</v>
      </c>
      <c r="AG2549">
        <v>-6.1872999999999803E-2</v>
      </c>
      <c r="AH2549">
        <v>0.74343477750221898</v>
      </c>
      <c r="AI2549">
        <v>94.7424888064143</v>
      </c>
      <c r="AJ2549">
        <v>85.432842723371905</v>
      </c>
      <c r="AK2549">
        <v>0.74836507647746697</v>
      </c>
    </row>
    <row r="2550" spans="1:37" x14ac:dyDescent="0.2">
      <c r="A2550" t="str">
        <f>"20200111150643641"</f>
        <v>20200111150643641</v>
      </c>
      <c r="B2550" t="str">
        <f>"1578726403629651"</f>
        <v>1578726403629651</v>
      </c>
      <c r="C2550" t="s">
        <v>37</v>
      </c>
      <c r="D2550">
        <v>5.1213699999999998</v>
      </c>
      <c r="E2550">
        <v>0.53879929999999998</v>
      </c>
      <c r="F2550" t="s">
        <v>38</v>
      </c>
      <c r="G2550">
        <v>-244.46850000000001</v>
      </c>
      <c r="H2550">
        <v>1.050379</v>
      </c>
      <c r="I2550">
        <v>-62.739379999999997</v>
      </c>
      <c r="J2550">
        <v>-245.0805</v>
      </c>
      <c r="K2550">
        <v>1.10304</v>
      </c>
      <c r="L2550">
        <v>-62.684690000000003</v>
      </c>
      <c r="M2550">
        <v>0.99991679999999905</v>
      </c>
      <c r="N2550">
        <v>0</v>
      </c>
      <c r="O2550">
        <v>-4.8251099999999996E-3</v>
      </c>
      <c r="P2550">
        <v>0.98798050000000004</v>
      </c>
      <c r="Q2550">
        <v>0.1519739</v>
      </c>
      <c r="R2550">
        <v>2.8261479999999999E-2</v>
      </c>
      <c r="S2550">
        <v>3.0760190000000001</v>
      </c>
      <c r="T2550">
        <v>-0.21431979999999901</v>
      </c>
      <c r="U2550">
        <v>-0.2253723</v>
      </c>
      <c r="V2550">
        <v>-3.2869660000000002E-2</v>
      </c>
      <c r="W2550">
        <v>0.16382079999999999</v>
      </c>
      <c r="X2550">
        <v>0.9859424</v>
      </c>
      <c r="Y2550">
        <v>6.8105680000000002E-2</v>
      </c>
      <c r="Z2550">
        <v>-2.0312379999999999E-3</v>
      </c>
      <c r="AA2550">
        <v>0.99767609999999995</v>
      </c>
      <c r="AB2550">
        <v>30</v>
      </c>
      <c r="AC2550">
        <v>0.61199999999999399</v>
      </c>
      <c r="AD2550">
        <v>-5.2660999999999798E-2</v>
      </c>
      <c r="AE2550">
        <v>-5.46900000000008E-2</v>
      </c>
      <c r="AF2550">
        <v>5.1358927943449303E-2</v>
      </c>
      <c r="AG2550">
        <v>-5.2660999999999798E-2</v>
      </c>
      <c r="AH2550">
        <v>0.60779224481114902</v>
      </c>
      <c r="AI2550">
        <v>94.934418673737795</v>
      </c>
      <c r="AJ2550">
        <v>85.169935439256093</v>
      </c>
      <c r="AK2550">
        <v>0.61222735421824803</v>
      </c>
    </row>
    <row r="2551" spans="1:37" x14ac:dyDescent="0.2">
      <c r="A2551" t="str">
        <f>"20200111150643652"</f>
        <v>20200111150643652</v>
      </c>
      <c r="B2551" t="str">
        <f>"1578726403649171"</f>
        <v>1578726403649171</v>
      </c>
      <c r="C2551" t="s">
        <v>37</v>
      </c>
      <c r="D2551">
        <v>4.2723500000000003</v>
      </c>
      <c r="E2551">
        <v>0.58132620000000002</v>
      </c>
      <c r="F2551" t="s">
        <v>38</v>
      </c>
      <c r="G2551">
        <v>-244.2071</v>
      </c>
      <c r="H2551">
        <v>1.042422</v>
      </c>
      <c r="I2551">
        <v>-62.749479999999998</v>
      </c>
      <c r="J2551">
        <v>-244.93450000000001</v>
      </c>
      <c r="K2551">
        <v>1.103037</v>
      </c>
      <c r="L2551">
        <v>-62.685639999999999</v>
      </c>
      <c r="M2551">
        <v>0.99991559999999902</v>
      </c>
      <c r="N2551">
        <v>0</v>
      </c>
      <c r="O2551">
        <v>-5.0572680000000002E-3</v>
      </c>
      <c r="P2551">
        <v>0.98794009999999999</v>
      </c>
      <c r="Q2551">
        <v>0.1521921</v>
      </c>
      <c r="R2551">
        <v>2.849641E-2</v>
      </c>
      <c r="S2551">
        <v>3.0758669999999899</v>
      </c>
      <c r="T2551">
        <v>-0.2134634</v>
      </c>
      <c r="U2551">
        <v>-0.22790529999999901</v>
      </c>
      <c r="V2551">
        <v>-3.3332970000000003E-2</v>
      </c>
      <c r="W2551">
        <v>0.16403010000000001</v>
      </c>
      <c r="X2551">
        <v>0.98589199999999999</v>
      </c>
      <c r="Y2551">
        <v>6.8695140000000002E-2</v>
      </c>
      <c r="Z2551">
        <v>-2.027512E-3</v>
      </c>
      <c r="AA2551">
        <v>0.99763570000000001</v>
      </c>
      <c r="AB2551">
        <v>30</v>
      </c>
      <c r="AC2551">
        <v>0.72740000000001703</v>
      </c>
      <c r="AD2551">
        <v>-6.0615000000000002E-2</v>
      </c>
      <c r="AE2551">
        <v>-6.38400000000061E-2</v>
      </c>
      <c r="AF2551">
        <v>5.97485370941465E-2</v>
      </c>
      <c r="AG2551">
        <v>-6.0615000000000002E-2</v>
      </c>
      <c r="AH2551">
        <v>0.722733232702512</v>
      </c>
      <c r="AI2551">
        <v>94.777903582529405</v>
      </c>
      <c r="AJ2551">
        <v>85.274090232930106</v>
      </c>
      <c r="AK2551">
        <v>0.72772755311484105</v>
      </c>
    </row>
    <row r="2552" spans="1:37" x14ac:dyDescent="0.2">
      <c r="A2552" t="str">
        <f>"20200111150643663"</f>
        <v>20200111150643663</v>
      </c>
      <c r="B2552" t="str">
        <f>"1578726403658932"</f>
        <v>1578726403658932</v>
      </c>
      <c r="C2552" t="s">
        <v>37</v>
      </c>
      <c r="D2552">
        <v>5.1395749999999998</v>
      </c>
      <c r="E2552">
        <v>0.58132620000000002</v>
      </c>
      <c r="F2552" t="s">
        <v>53</v>
      </c>
      <c r="G2552">
        <v>0</v>
      </c>
      <c r="H2552">
        <v>0</v>
      </c>
      <c r="I2552">
        <v>0</v>
      </c>
      <c r="J2552">
        <v>-244.7852</v>
      </c>
      <c r="K2552">
        <v>1.103037</v>
      </c>
      <c r="L2552">
        <v>-62.68665</v>
      </c>
      <c r="M2552">
        <v>0.99991459999999999</v>
      </c>
      <c r="N2552">
        <v>0</v>
      </c>
      <c r="O2552">
        <v>-5.2953899999999996E-3</v>
      </c>
      <c r="P2552">
        <v>0.98794729999999997</v>
      </c>
      <c r="Q2552">
        <v>0.15210000000000001</v>
      </c>
      <c r="R2552">
        <v>2.8740160000000001E-2</v>
      </c>
      <c r="S2552">
        <v>2.9231720000000001</v>
      </c>
      <c r="T2552">
        <v>0.84143319999999999</v>
      </c>
      <c r="U2552">
        <v>-0.56085209999999996</v>
      </c>
      <c r="V2552">
        <v>-3.3812109999999999E-2</v>
      </c>
      <c r="W2552">
        <v>0.163930399999999</v>
      </c>
      <c r="X2552">
        <v>0.98589230000000005</v>
      </c>
      <c r="Y2552">
        <v>0.17651549999999999</v>
      </c>
      <c r="Z2552">
        <v>2.32060999999999E-2</v>
      </c>
      <c r="AA2552">
        <v>0.98402429999999996</v>
      </c>
      <c r="AB2552">
        <v>30</v>
      </c>
      <c r="AC2552">
        <v>2.9231720000000001</v>
      </c>
      <c r="AD2552">
        <v>0.84143319999999999</v>
      </c>
      <c r="AE2552">
        <v>-0.56085209999999996</v>
      </c>
      <c r="AF2552">
        <v>0.50500602614588297</v>
      </c>
      <c r="AG2552">
        <v>0.84143319999999999</v>
      </c>
      <c r="AH2552">
        <v>2.7095651186210401</v>
      </c>
      <c r="AI2552">
        <v>73.023371663997295</v>
      </c>
      <c r="AJ2552">
        <v>79.442404748765696</v>
      </c>
      <c r="AK2552">
        <v>2.88180222231744</v>
      </c>
    </row>
    <row r="2553" spans="1:37" x14ac:dyDescent="0.2">
      <c r="A2553" t="str">
        <f>"20200111150643674"</f>
        <v>20200111150643674</v>
      </c>
      <c r="B2553" t="str">
        <f>"1578726403669668"</f>
        <v>1578726403669668</v>
      </c>
      <c r="C2553" t="s">
        <v>37</v>
      </c>
      <c r="D2553">
        <v>4.3210519999999999</v>
      </c>
      <c r="E2553">
        <v>0.58132620000000002</v>
      </c>
      <c r="F2553" t="s">
        <v>53</v>
      </c>
      <c r="G2553">
        <v>0</v>
      </c>
      <c r="H2553">
        <v>0</v>
      </c>
      <c r="I2553">
        <v>0</v>
      </c>
      <c r="J2553">
        <v>-244.63069999999999</v>
      </c>
      <c r="K2553">
        <v>1.103037</v>
      </c>
      <c r="L2553">
        <v>-62.68768</v>
      </c>
      <c r="M2553">
        <v>0.99991350000000001</v>
      </c>
      <c r="N2553">
        <v>0</v>
      </c>
      <c r="O2553">
        <v>-5.5412589999999998E-3</v>
      </c>
      <c r="P2553">
        <v>0.98792519999999995</v>
      </c>
      <c r="Q2553">
        <v>0.1521277</v>
      </c>
      <c r="R2553">
        <v>2.9346029999999999E-2</v>
      </c>
      <c r="S2553">
        <v>2.9233549999999999</v>
      </c>
      <c r="T2553">
        <v>0.84143080000000003</v>
      </c>
      <c r="U2553">
        <v>-0.55993649999999995</v>
      </c>
      <c r="V2553">
        <v>-3.4660539999999997E-2</v>
      </c>
      <c r="W2553">
        <v>0.16395009999999999</v>
      </c>
      <c r="X2553">
        <v>0.985859499999999</v>
      </c>
      <c r="Y2553">
        <v>0.1759955</v>
      </c>
      <c r="Z2553">
        <v>2.3063819999999999E-2</v>
      </c>
      <c r="AA2553">
        <v>0.98412069999999996</v>
      </c>
      <c r="AB2553">
        <v>30</v>
      </c>
      <c r="AC2553">
        <v>2.9233549999999999</v>
      </c>
      <c r="AD2553">
        <v>0.84143080000000003</v>
      </c>
      <c r="AE2553">
        <v>-0.55993649999999995</v>
      </c>
      <c r="AF2553">
        <v>0.50349138514895797</v>
      </c>
      <c r="AG2553">
        <v>0.84143080000000003</v>
      </c>
      <c r="AH2553">
        <v>2.7098561022745602</v>
      </c>
      <c r="AI2553">
        <v>73.023469378266896</v>
      </c>
      <c r="AJ2553">
        <v>79.474465946824594</v>
      </c>
      <c r="AK2553">
        <v>2.88181010150609</v>
      </c>
    </row>
    <row r="2554" spans="1:37" x14ac:dyDescent="0.2">
      <c r="A2554" t="str">
        <f>"20200111150643685"</f>
        <v>20200111150643685</v>
      </c>
      <c r="B2554" t="str">
        <f>"1578726403679427"</f>
        <v>1578726403679427</v>
      </c>
      <c r="C2554" t="s">
        <v>37</v>
      </c>
      <c r="D2554">
        <v>5.1737080000000004</v>
      </c>
      <c r="E2554">
        <v>0.5271439</v>
      </c>
      <c r="F2554" t="s">
        <v>53</v>
      </c>
      <c r="G2554">
        <v>0</v>
      </c>
      <c r="H2554">
        <v>0</v>
      </c>
      <c r="I2554">
        <v>0</v>
      </c>
      <c r="J2554">
        <v>-244.4802</v>
      </c>
      <c r="K2554">
        <v>1.103037</v>
      </c>
      <c r="L2554">
        <v>-62.688780000000001</v>
      </c>
      <c r="M2554">
        <v>0.99991209999999997</v>
      </c>
      <c r="N2554">
        <v>0</v>
      </c>
      <c r="O2554">
        <v>-5.7811719999999898E-3</v>
      </c>
      <c r="P2554">
        <v>0.98788739999999997</v>
      </c>
      <c r="Q2554">
        <v>0.15228339999999899</v>
      </c>
      <c r="R2554">
        <v>2.9812149999999999E-2</v>
      </c>
      <c r="S2554">
        <v>2.9236149999999999</v>
      </c>
      <c r="T2554">
        <v>0.84167000000000003</v>
      </c>
      <c r="U2554">
        <v>-0.5580444</v>
      </c>
      <c r="V2554">
        <v>-3.5363360000000003E-2</v>
      </c>
      <c r="W2554">
        <v>0.1640983</v>
      </c>
      <c r="X2554">
        <v>0.98580990000000002</v>
      </c>
      <c r="Y2554">
        <v>0.1751674</v>
      </c>
      <c r="Z2554">
        <v>2.2886549999999999E-2</v>
      </c>
      <c r="AA2554">
        <v>0.98427260000000005</v>
      </c>
      <c r="AB2554">
        <v>30</v>
      </c>
      <c r="AC2554">
        <v>2.9236149999999999</v>
      </c>
      <c r="AD2554">
        <v>0.84167000000000003</v>
      </c>
      <c r="AE2554">
        <v>-0.5580444</v>
      </c>
      <c r="AF2554">
        <v>0.50106416104806295</v>
      </c>
      <c r="AG2554">
        <v>0.84167000000000003</v>
      </c>
      <c r="AH2554">
        <v>2.7100799361225798</v>
      </c>
      <c r="AI2554">
        <v>73.017630373332096</v>
      </c>
      <c r="AJ2554">
        <v>79.524927427617101</v>
      </c>
      <c r="AK2554">
        <v>2.8816673893010201</v>
      </c>
    </row>
    <row r="2555" spans="1:37" x14ac:dyDescent="0.2">
      <c r="A2555" t="str">
        <f>"20200111150643696"</f>
        <v>20200111150643696</v>
      </c>
      <c r="B2555" t="str">
        <f>"1578726403689188"</f>
        <v>1578726403689188</v>
      </c>
      <c r="C2555" t="s">
        <v>37</v>
      </c>
      <c r="D2555">
        <v>5.1729019999999997</v>
      </c>
      <c r="E2555">
        <v>0.53479960000000004</v>
      </c>
      <c r="F2555" t="s">
        <v>38</v>
      </c>
      <c r="G2555">
        <v>-243.65530000000001</v>
      </c>
      <c r="H2555">
        <v>1.050505</v>
      </c>
      <c r="I2555">
        <v>-62.724130000000002</v>
      </c>
      <c r="J2555">
        <v>-244.3304</v>
      </c>
      <c r="K2555">
        <v>1.1030359999999999</v>
      </c>
      <c r="L2555">
        <v>-62.689880000000002</v>
      </c>
      <c r="M2555">
        <v>0.99991070000000004</v>
      </c>
      <c r="N2555">
        <v>0</v>
      </c>
      <c r="O2555">
        <v>-6.0197769999999996E-3</v>
      </c>
      <c r="P2555">
        <v>0.9878285</v>
      </c>
      <c r="Q2555">
        <v>0.15258189999999999</v>
      </c>
      <c r="R2555">
        <v>3.02276E-2</v>
      </c>
      <c r="S2555">
        <v>3.070862</v>
      </c>
      <c r="T2555">
        <v>-0.19551389999999999</v>
      </c>
      <c r="U2555">
        <v>-0.13110350000000001</v>
      </c>
      <c r="V2555">
        <v>-3.6014049999999999E-2</v>
      </c>
      <c r="W2555">
        <v>0.16439000000000001</v>
      </c>
      <c r="X2555">
        <v>0.98573770000000005</v>
      </c>
      <c r="Y2555">
        <v>3.6576640000000001E-2</v>
      </c>
      <c r="Z2555">
        <v>-7.7994920000000001E-4</v>
      </c>
      <c r="AA2555">
        <v>0.99933050000000001</v>
      </c>
      <c r="AB2555">
        <v>30</v>
      </c>
      <c r="AC2555">
        <v>0.67509999999998604</v>
      </c>
      <c r="AD2555">
        <v>-5.2531000000000098E-2</v>
      </c>
      <c r="AE2555">
        <v>-3.42500000000001E-2</v>
      </c>
      <c r="AF2555">
        <v>3.0003939081261699E-2</v>
      </c>
      <c r="AG2555">
        <v>-5.2531000000000098E-2</v>
      </c>
      <c r="AH2555">
        <v>0.67124021051043403</v>
      </c>
      <c r="AI2555">
        <v>94.470379411733504</v>
      </c>
      <c r="AJ2555">
        <v>87.440624848893506</v>
      </c>
      <c r="AK2555">
        <v>0.67396080192210295</v>
      </c>
    </row>
    <row r="2556" spans="1:37" x14ac:dyDescent="0.2">
      <c r="A2556" t="str">
        <f>"20200111150643707"</f>
        <v>20200111150643707</v>
      </c>
      <c r="B2556" t="str">
        <f>"1578726403698947"</f>
        <v>1578726403698947</v>
      </c>
      <c r="C2556" t="s">
        <v>37</v>
      </c>
      <c r="D2556">
        <v>6.4023890000000003</v>
      </c>
      <c r="E2556">
        <v>0.53479960000000004</v>
      </c>
      <c r="F2556" t="s">
        <v>38</v>
      </c>
      <c r="G2556">
        <v>-243.40170000000001</v>
      </c>
      <c r="H2556">
        <v>1.04464</v>
      </c>
      <c r="I2556">
        <v>-62.74774</v>
      </c>
      <c r="J2556">
        <v>-244.17619999999999</v>
      </c>
      <c r="K2556">
        <v>1.103038</v>
      </c>
      <c r="L2556">
        <v>-62.691069999999897</v>
      </c>
      <c r="M2556">
        <v>0.9999093</v>
      </c>
      <c r="N2556">
        <v>0</v>
      </c>
      <c r="O2556">
        <v>-6.2654169999999997E-3</v>
      </c>
      <c r="P2556">
        <v>0.98778069999999896</v>
      </c>
      <c r="Q2556">
        <v>0.15278129999999901</v>
      </c>
      <c r="R2556">
        <v>3.0776029999999999E-2</v>
      </c>
      <c r="S2556">
        <v>3.0726469999999999</v>
      </c>
      <c r="T2556">
        <v>-0.19318189999999999</v>
      </c>
      <c r="U2556">
        <v>-0.1908569</v>
      </c>
      <c r="V2556">
        <v>-3.6803910000000002E-2</v>
      </c>
      <c r="W2556">
        <v>0.1645828</v>
      </c>
      <c r="X2556">
        <v>0.98567640000000001</v>
      </c>
      <c r="Y2556">
        <v>5.5643199999999997E-2</v>
      </c>
      <c r="Z2556">
        <v>-1.352626E-3</v>
      </c>
      <c r="AA2556">
        <v>0.99844979999999905</v>
      </c>
      <c r="AB2556">
        <v>30</v>
      </c>
      <c r="AC2556">
        <v>0.77449999999998898</v>
      </c>
      <c r="AD2556">
        <v>-5.8397999999999901E-2</v>
      </c>
      <c r="AE2556">
        <v>-5.6670000000004002E-2</v>
      </c>
      <c r="AF2556">
        <v>5.1524604474929202E-2</v>
      </c>
      <c r="AG2556">
        <v>-5.8397999999999901E-2</v>
      </c>
      <c r="AH2556">
        <v>0.77048278659902003</v>
      </c>
      <c r="AI2556">
        <v>94.324768407917304</v>
      </c>
      <c r="AJ2556">
        <v>86.174147531796194</v>
      </c>
      <c r="AK2556">
        <v>0.77440870069730605</v>
      </c>
    </row>
    <row r="2557" spans="1:37" x14ac:dyDescent="0.2">
      <c r="A2557" t="str">
        <f>"20200111150643719"</f>
        <v>20200111150643719</v>
      </c>
      <c r="B2557" t="str">
        <f>"1578726403709684"</f>
        <v>1578726403709684</v>
      </c>
      <c r="C2557" t="s">
        <v>37</v>
      </c>
      <c r="D2557">
        <v>5.0767790000000002</v>
      </c>
      <c r="E2557">
        <v>0.52345109999999995</v>
      </c>
      <c r="F2557" t="s">
        <v>103</v>
      </c>
      <c r="G2557">
        <v>-226.58240000000001</v>
      </c>
      <c r="H2557" s="1">
        <v>-2.6955159999999999E-6</v>
      </c>
      <c r="I2557">
        <v>-63.772840000000002</v>
      </c>
      <c r="J2557">
        <v>-244.0325</v>
      </c>
      <c r="K2557">
        <v>1.10304</v>
      </c>
      <c r="L2557">
        <v>-62.692169999999997</v>
      </c>
      <c r="M2557">
        <v>0.99990789999999996</v>
      </c>
      <c r="N2557">
        <v>0</v>
      </c>
      <c r="O2557">
        <v>-6.4947449999999997E-3</v>
      </c>
      <c r="P2557">
        <v>0.98773929999999999</v>
      </c>
      <c r="Q2557">
        <v>0.15302389999999999</v>
      </c>
      <c r="R2557">
        <v>3.090267E-2</v>
      </c>
      <c r="S2557">
        <v>3.0728149999999999</v>
      </c>
      <c r="T2557">
        <v>-0.1926496</v>
      </c>
      <c r="U2557">
        <v>-0.188934299999999</v>
      </c>
      <c r="V2557">
        <v>-3.7156799999999997E-2</v>
      </c>
      <c r="W2557">
        <v>0.16482079999999999</v>
      </c>
      <c r="X2557">
        <v>0.98562340000000004</v>
      </c>
      <c r="Y2557">
        <v>5.479113E-2</v>
      </c>
      <c r="Z2557">
        <v>-1.3078499999999999E-3</v>
      </c>
      <c r="AA2557">
        <v>0.99849699999999997</v>
      </c>
      <c r="AB2557">
        <v>30</v>
      </c>
      <c r="AC2557">
        <v>17.4500999999999</v>
      </c>
      <c r="AD2557">
        <v>-1.103042695516</v>
      </c>
      <c r="AE2557">
        <v>-1.08067</v>
      </c>
      <c r="AF2557">
        <v>0.96347021259576804</v>
      </c>
      <c r="AG2557">
        <v>-1.103042695516</v>
      </c>
      <c r="AH2557">
        <v>17.3875417638885</v>
      </c>
      <c r="AI2557">
        <v>93.624359287925301</v>
      </c>
      <c r="AJ2557">
        <v>86.828396872337606</v>
      </c>
      <c r="AK2557">
        <v>17.449114207594</v>
      </c>
    </row>
    <row r="2558" spans="1:37" x14ac:dyDescent="0.2">
      <c r="A2558" t="str">
        <f>"20200111150643730"</f>
        <v>20200111150643730</v>
      </c>
      <c r="B2558" t="str">
        <f>"1578726403719443"</f>
        <v>1578726403719443</v>
      </c>
      <c r="C2558" t="s">
        <v>37</v>
      </c>
      <c r="D2558">
        <v>7.4291339999999897</v>
      </c>
      <c r="E2558">
        <v>0.52345109999999995</v>
      </c>
      <c r="F2558" t="s">
        <v>76</v>
      </c>
      <c r="G2558">
        <v>-157.3501</v>
      </c>
      <c r="H2558">
        <v>27.652170000000002</v>
      </c>
      <c r="I2558">
        <v>-65.43468</v>
      </c>
      <c r="J2558">
        <v>-243.87710000000001</v>
      </c>
      <c r="K2558">
        <v>1.103048</v>
      </c>
      <c r="L2558">
        <v>-62.693449999999999</v>
      </c>
      <c r="M2558">
        <v>0.99990639999999997</v>
      </c>
      <c r="N2558">
        <v>0</v>
      </c>
      <c r="O2558">
        <v>-6.742914E-3</v>
      </c>
      <c r="P2558">
        <v>0.98767609999999995</v>
      </c>
      <c r="Q2558">
        <v>0.15342249999999999</v>
      </c>
      <c r="R2558">
        <v>3.0949009999999999E-2</v>
      </c>
      <c r="S2558">
        <v>2.902374</v>
      </c>
      <c r="T2558">
        <v>0.88893929999999999</v>
      </c>
      <c r="U2558">
        <v>-9.1827389999999995E-2</v>
      </c>
      <c r="V2558">
        <v>-3.7447550000000003E-2</v>
      </c>
      <c r="W2558">
        <v>0.1652158</v>
      </c>
      <c r="X2558">
        <v>0.98554619999999904</v>
      </c>
      <c r="Y2558">
        <v>2.4087689999999998E-2</v>
      </c>
      <c r="Z2558">
        <v>1.5867310000000001E-3</v>
      </c>
      <c r="AA2558">
        <v>0.99970859999999995</v>
      </c>
      <c r="AB2558">
        <v>30</v>
      </c>
      <c r="AC2558">
        <v>86.527000000000001</v>
      </c>
      <c r="AD2558">
        <v>26.549122000000001</v>
      </c>
      <c r="AE2558">
        <v>-2.7412299999999998</v>
      </c>
      <c r="AF2558">
        <v>1.9721960680326001</v>
      </c>
      <c r="AG2558">
        <v>26.549122000000001</v>
      </c>
      <c r="AH2558">
        <v>79.103764775581993</v>
      </c>
      <c r="AI2558">
        <v>71.452380613766394</v>
      </c>
      <c r="AJ2558">
        <v>88.571811251909907</v>
      </c>
      <c r="AK2558">
        <v>83.4634712791905</v>
      </c>
    </row>
    <row r="2559" spans="1:37" x14ac:dyDescent="0.2">
      <c r="A2559" t="str">
        <f>"20200111150643742"</f>
        <v>20200111150643742</v>
      </c>
      <c r="B2559" t="str">
        <f>"1578726403738963"</f>
        <v>1578726403738963</v>
      </c>
      <c r="C2559" t="s">
        <v>37</v>
      </c>
      <c r="D2559">
        <v>5.2281570000000004</v>
      </c>
      <c r="E2559">
        <v>0.45928469999999999</v>
      </c>
      <c r="F2559" t="s">
        <v>76</v>
      </c>
      <c r="G2559">
        <v>-157.3501</v>
      </c>
      <c r="H2559">
        <v>27.641509999999901</v>
      </c>
      <c r="I2559">
        <v>-65.434100000000001</v>
      </c>
      <c r="J2559">
        <v>-243.72739999999999</v>
      </c>
      <c r="K2559">
        <v>1.1030489999999999</v>
      </c>
      <c r="L2559">
        <v>-62.69473</v>
      </c>
      <c r="M2559">
        <v>0.99990469999999898</v>
      </c>
      <c r="N2559">
        <v>0</v>
      </c>
      <c r="O2559">
        <v>-6.9819239999999996E-3</v>
      </c>
      <c r="P2559">
        <v>0.98761080000000001</v>
      </c>
      <c r="Q2559">
        <v>0.15377729999999901</v>
      </c>
      <c r="R2559">
        <v>3.1268329999999997E-2</v>
      </c>
      <c r="S2559">
        <v>2.9020389999999998</v>
      </c>
      <c r="T2559">
        <v>0.89007499999999995</v>
      </c>
      <c r="U2559">
        <v>-9.1918949999999999E-2</v>
      </c>
      <c r="V2559">
        <v>-3.8001680000000003E-2</v>
      </c>
      <c r="W2559">
        <v>0.16556899999999999</v>
      </c>
      <c r="X2559">
        <v>0.98546579999999995</v>
      </c>
      <c r="Y2559">
        <v>2.3901269999999999E-2</v>
      </c>
      <c r="Z2559">
        <v>1.4892639999999999E-3</v>
      </c>
      <c r="AA2559">
        <v>0.99971319999999997</v>
      </c>
      <c r="AB2559">
        <v>30</v>
      </c>
      <c r="AC2559">
        <v>86.377299999999906</v>
      </c>
      <c r="AD2559">
        <v>26.538460999999899</v>
      </c>
      <c r="AE2559">
        <v>-2.7393699999999899</v>
      </c>
      <c r="AF2559">
        <v>1.95209634527605</v>
      </c>
      <c r="AG2559">
        <v>26.538460999999899</v>
      </c>
      <c r="AH2559">
        <v>78.949332183692604</v>
      </c>
      <c r="AI2559">
        <v>71.425449565747698</v>
      </c>
      <c r="AJ2559">
        <v>88.583596672707401</v>
      </c>
      <c r="AK2559">
        <v>83.313250114497393</v>
      </c>
    </row>
    <row r="2560" spans="1:37" x14ac:dyDescent="0.2">
      <c r="A2560" t="str">
        <f>"20200111150643755"</f>
        <v>20200111150643755</v>
      </c>
      <c r="B2560" t="str">
        <f>"1578726403749699"</f>
        <v>1578726403749699</v>
      </c>
      <c r="C2560" t="s">
        <v>37</v>
      </c>
      <c r="D2560">
        <v>5.298146</v>
      </c>
      <c r="E2560">
        <v>0.45919579999999999</v>
      </c>
      <c r="F2560" t="s">
        <v>104</v>
      </c>
      <c r="G2560">
        <v>-231.8914</v>
      </c>
      <c r="H2560" s="1">
        <v>1.162448E-8</v>
      </c>
      <c r="I2560">
        <v>-61.096989999999998</v>
      </c>
      <c r="J2560">
        <v>-243.55549999999999</v>
      </c>
      <c r="K2560">
        <v>1.1030500000000001</v>
      </c>
      <c r="L2560">
        <v>-62.696199999999997</v>
      </c>
      <c r="M2560">
        <v>0.99990279999999998</v>
      </c>
      <c r="N2560">
        <v>0</v>
      </c>
      <c r="O2560">
        <v>-7.2561029999999999E-3</v>
      </c>
      <c r="P2560">
        <v>0.98756429999999995</v>
      </c>
      <c r="Q2560">
        <v>0.15408649999999999</v>
      </c>
      <c r="R2560">
        <v>3.121548E-2</v>
      </c>
      <c r="S2560">
        <v>3.0690309999999998</v>
      </c>
      <c r="T2560">
        <v>-0.28601870000000001</v>
      </c>
      <c r="U2560">
        <v>0.41427609999999898</v>
      </c>
      <c r="V2560">
        <v>-3.821865E-2</v>
      </c>
      <c r="W2560">
        <v>0.16587750000000001</v>
      </c>
      <c r="X2560">
        <v>0.98540550000000005</v>
      </c>
      <c r="Y2560">
        <v>-0.1403324</v>
      </c>
      <c r="Z2560">
        <v>7.1676109999999999E-3</v>
      </c>
      <c r="AA2560">
        <v>0.99007849999999997</v>
      </c>
      <c r="AB2560">
        <v>30</v>
      </c>
      <c r="AC2560">
        <v>11.6640999999999</v>
      </c>
      <c r="AD2560">
        <v>-1.10304998837552</v>
      </c>
      <c r="AE2560">
        <v>1.59920999999999</v>
      </c>
      <c r="AF2560">
        <v>-1.6691577904733299</v>
      </c>
      <c r="AG2560">
        <v>-1.10304998837552</v>
      </c>
      <c r="AH2560">
        <v>11.5507941549722</v>
      </c>
      <c r="AI2560">
        <v>95.399207667909593</v>
      </c>
      <c r="AJ2560">
        <v>98.2226578416454</v>
      </c>
      <c r="AK2560">
        <v>11.722783484177</v>
      </c>
    </row>
    <row r="2561" spans="1:37" x14ac:dyDescent="0.2">
      <c r="A2561" t="str">
        <f>"20200111150643767"</f>
        <v>20200111150643767</v>
      </c>
      <c r="B2561" t="str">
        <f>"1578726403759459"</f>
        <v>1578726403759459</v>
      </c>
      <c r="C2561" t="s">
        <v>37</v>
      </c>
      <c r="D2561">
        <v>5.1891030000000002</v>
      </c>
      <c r="E2561">
        <v>0.45979340000000002</v>
      </c>
      <c r="F2561" t="s">
        <v>104</v>
      </c>
      <c r="G2561">
        <v>-230.52670000000001</v>
      </c>
      <c r="H2561" s="1">
        <v>6.4063969999999997E-7</v>
      </c>
      <c r="I2561">
        <v>-60.93338</v>
      </c>
      <c r="J2561">
        <v>-243.37970000000001</v>
      </c>
      <c r="K2561">
        <v>1.1030519999999999</v>
      </c>
      <c r="L2561">
        <v>-62.697749999999999</v>
      </c>
      <c r="M2561">
        <v>0.99990080000000003</v>
      </c>
      <c r="N2561">
        <v>0</v>
      </c>
      <c r="O2561">
        <v>-7.5363690000000002E-3</v>
      </c>
      <c r="P2561">
        <v>0.98753979999999997</v>
      </c>
      <c r="Q2561">
        <v>0.15422929999999899</v>
      </c>
      <c r="R2561">
        <v>3.1287179999999998E-2</v>
      </c>
      <c r="S2561">
        <v>3.06514</v>
      </c>
      <c r="T2561">
        <v>-0.25950250000000002</v>
      </c>
      <c r="U2561">
        <v>0.4147034</v>
      </c>
      <c r="V2561">
        <v>-3.8566349999999999E-2</v>
      </c>
      <c r="W2561">
        <v>0.16602039999999901</v>
      </c>
      <c r="X2561">
        <v>0.98536789999999996</v>
      </c>
      <c r="Y2561">
        <v>-0.14101820000000001</v>
      </c>
      <c r="Z2561">
        <v>6.5660950000000001E-3</v>
      </c>
      <c r="AA2561">
        <v>0.98998519999999901</v>
      </c>
      <c r="AB2561">
        <v>30</v>
      </c>
      <c r="AC2561">
        <v>12.853</v>
      </c>
      <c r="AD2561">
        <v>-1.1030513593603</v>
      </c>
      <c r="AE2561">
        <v>1.76436999999999</v>
      </c>
      <c r="AF2561">
        <v>-1.8478338103950001</v>
      </c>
      <c r="AG2561">
        <v>-1.1030513593603</v>
      </c>
      <c r="AH2561">
        <v>12.747188352687299</v>
      </c>
      <c r="AI2561">
        <v>94.894743214235703</v>
      </c>
      <c r="AJ2561">
        <v>98.248148683505306</v>
      </c>
      <c r="AK2561">
        <v>12.9275683324867</v>
      </c>
    </row>
    <row r="2562" spans="1:37" x14ac:dyDescent="0.2">
      <c r="A2562" t="str">
        <f>"20200111150643781"</f>
        <v>20200111150643781</v>
      </c>
      <c r="B2562" t="str">
        <f>"1578726403778981"</f>
        <v>1578726403778981</v>
      </c>
      <c r="C2562" t="s">
        <v>37</v>
      </c>
      <c r="D2562">
        <v>5.2642870000000004</v>
      </c>
      <c r="E2562">
        <v>0.45922990000000002</v>
      </c>
      <c r="F2562" t="s">
        <v>104</v>
      </c>
      <c r="G2562">
        <v>-230.5266</v>
      </c>
      <c r="H2562" s="1">
        <v>6.2844680000000003E-7</v>
      </c>
      <c r="I2562">
        <v>-60.979259999999996</v>
      </c>
      <c r="J2562">
        <v>-243.1934</v>
      </c>
      <c r="K2562">
        <v>1.1030549999999999</v>
      </c>
      <c r="L2562">
        <v>-62.699459999999902</v>
      </c>
      <c r="M2562">
        <v>0.99989839999999997</v>
      </c>
      <c r="N2562">
        <v>0</v>
      </c>
      <c r="O2562">
        <v>-7.8332030000000004E-3</v>
      </c>
      <c r="P2562">
        <v>0.98752150000000005</v>
      </c>
      <c r="Q2562">
        <v>0.15443709999999999</v>
      </c>
      <c r="R2562">
        <v>3.083354E-2</v>
      </c>
      <c r="S2562">
        <v>3.0659640000000001</v>
      </c>
      <c r="T2562">
        <v>-0.26312099999999999</v>
      </c>
      <c r="U2562">
        <v>0.4099121</v>
      </c>
      <c r="V2562">
        <v>-3.840524E-2</v>
      </c>
      <c r="W2562">
        <v>0.1662283</v>
      </c>
      <c r="X2562">
        <v>0.98533909999999902</v>
      </c>
      <c r="Y2562">
        <v>-0.13974600000000001</v>
      </c>
      <c r="Z2562">
        <v>6.6273189999999996E-3</v>
      </c>
      <c r="AA2562">
        <v>0.99016519999999997</v>
      </c>
      <c r="AB2562">
        <v>30</v>
      </c>
      <c r="AC2562">
        <v>12.666799999999901</v>
      </c>
      <c r="AD2562">
        <v>-1.1030543715532</v>
      </c>
      <c r="AE2562">
        <v>1.72019999999999</v>
      </c>
      <c r="AF2562">
        <v>-1.80592891086255</v>
      </c>
      <c r="AG2562">
        <v>-1.1030543715532</v>
      </c>
      <c r="AH2562">
        <v>12.5594181841394</v>
      </c>
      <c r="AI2562">
        <v>94.968389752203706</v>
      </c>
      <c r="AJ2562">
        <v>98.182520757514595</v>
      </c>
      <c r="AK2562">
        <v>12.7364474364629</v>
      </c>
    </row>
    <row r="2563" spans="1:37" x14ac:dyDescent="0.2">
      <c r="A2563" t="str">
        <f>"20200111150643794"</f>
        <v>20200111150643794</v>
      </c>
      <c r="B2563" t="str">
        <f>"1578726403789715"</f>
        <v>1578726403789715</v>
      </c>
      <c r="C2563" t="s">
        <v>37</v>
      </c>
      <c r="D2563">
        <v>5.2537089999999997</v>
      </c>
      <c r="E2563">
        <v>0.45908329999999897</v>
      </c>
      <c r="F2563" t="s">
        <v>104</v>
      </c>
      <c r="G2563">
        <v>-230.00120000000001</v>
      </c>
      <c r="H2563" s="1">
        <v>8.6908769999999897E-7</v>
      </c>
      <c r="I2563">
        <v>-60.921999999999997</v>
      </c>
      <c r="J2563">
        <v>-243.02690000000001</v>
      </c>
      <c r="K2563">
        <v>1.103057</v>
      </c>
      <c r="L2563">
        <v>-62.701050000000002</v>
      </c>
      <c r="M2563">
        <v>0.99989629999999996</v>
      </c>
      <c r="N2563">
        <v>0</v>
      </c>
      <c r="O2563">
        <v>-8.0985640000000008E-3</v>
      </c>
      <c r="P2563">
        <v>0.98750519999999997</v>
      </c>
      <c r="Q2563">
        <v>0.15460470000000001</v>
      </c>
      <c r="R2563">
        <v>3.0513019999999998E-2</v>
      </c>
      <c r="S2563">
        <v>3.06509399999999</v>
      </c>
      <c r="T2563">
        <v>-0.25628519999999999</v>
      </c>
      <c r="U2563">
        <v>0.41296389999999999</v>
      </c>
      <c r="V2563">
        <v>-3.834634E-2</v>
      </c>
      <c r="W2563">
        <v>0.16639660000000001</v>
      </c>
      <c r="X2563">
        <v>0.985312999999999</v>
      </c>
      <c r="Y2563">
        <v>-0.14103570000000001</v>
      </c>
      <c r="Z2563">
        <v>6.5327700000000002E-3</v>
      </c>
      <c r="AA2563">
        <v>0.98998299999999995</v>
      </c>
      <c r="AB2563">
        <v>30</v>
      </c>
      <c r="AC2563">
        <v>13.025700000000001</v>
      </c>
      <c r="AD2563">
        <v>-1.1030561309122999</v>
      </c>
      <c r="AE2563">
        <v>1.77905</v>
      </c>
      <c r="AF2563">
        <v>-1.8713147307045901</v>
      </c>
      <c r="AG2563">
        <v>-1.1030561309122999</v>
      </c>
      <c r="AH2563">
        <v>12.919909165239201</v>
      </c>
      <c r="AI2563">
        <v>94.829722046940105</v>
      </c>
      <c r="AJ2563">
        <v>98.241387135239904</v>
      </c>
      <c r="AK2563">
        <v>13.1012443869782</v>
      </c>
    </row>
    <row r="2564" spans="1:37" x14ac:dyDescent="0.2">
      <c r="A2564" t="str">
        <f>"20200111150643806"</f>
        <v>20200111150643806</v>
      </c>
      <c r="B2564" t="str">
        <f>"1578726403799475"</f>
        <v>1578726403799475</v>
      </c>
      <c r="C2564" t="s">
        <v>37</v>
      </c>
      <c r="D2564">
        <v>5.2593059999999996</v>
      </c>
      <c r="E2564">
        <v>0.45912849999999999</v>
      </c>
      <c r="F2564" t="s">
        <v>103</v>
      </c>
      <c r="G2564">
        <v>-229.99379999999999</v>
      </c>
      <c r="H2564" s="1">
        <v>-3.4846480000000001E-6</v>
      </c>
      <c r="I2564">
        <v>-60.94473</v>
      </c>
      <c r="J2564">
        <v>-242.8631</v>
      </c>
      <c r="K2564">
        <v>1.103057</v>
      </c>
      <c r="L2564">
        <v>-62.702669999999998</v>
      </c>
      <c r="M2564">
        <v>0.99989409999999901</v>
      </c>
      <c r="N2564">
        <v>0</v>
      </c>
      <c r="O2564">
        <v>-8.3596309999999993E-3</v>
      </c>
      <c r="P2564">
        <v>0.98747339999999995</v>
      </c>
      <c r="Q2564">
        <v>0.15484979999999901</v>
      </c>
      <c r="R2564">
        <v>3.0302039999999999E-2</v>
      </c>
      <c r="S2564">
        <v>3.0658259999999999</v>
      </c>
      <c r="T2564">
        <v>-0.25947779999999998</v>
      </c>
      <c r="U2564">
        <v>0.41314699999999999</v>
      </c>
      <c r="V2564">
        <v>-3.8392170000000003E-2</v>
      </c>
      <c r="W2564">
        <v>0.1666425</v>
      </c>
      <c r="X2564">
        <v>0.98526970000000003</v>
      </c>
      <c r="Y2564">
        <v>-0.1413065</v>
      </c>
      <c r="Z2564">
        <v>6.6456319999999899E-3</v>
      </c>
      <c r="AA2564">
        <v>0.98994359999999904</v>
      </c>
      <c r="AB2564">
        <v>30</v>
      </c>
      <c r="AC2564">
        <v>12.869300000000001</v>
      </c>
      <c r="AD2564">
        <v>-1.1030604846480001</v>
      </c>
      <c r="AE2564">
        <v>1.7579399999999901</v>
      </c>
      <c r="AF2564">
        <v>-1.85211124633802</v>
      </c>
      <c r="AG2564">
        <v>-1.1030604846480001</v>
      </c>
      <c r="AH2564">
        <v>12.7621122624001</v>
      </c>
      <c r="AI2564">
        <v>94.888972862765698</v>
      </c>
      <c r="AJ2564">
        <v>98.257444265891607</v>
      </c>
      <c r="AK2564">
        <v>12.9428964262141</v>
      </c>
    </row>
    <row r="2565" spans="1:37" x14ac:dyDescent="0.2">
      <c r="A2565" t="str">
        <f>"20200111150643818"</f>
        <v>20200111150643818</v>
      </c>
      <c r="B2565" t="str">
        <f>"1578726403809235"</f>
        <v>1578726403809235</v>
      </c>
      <c r="C2565" t="s">
        <v>37</v>
      </c>
      <c r="D2565">
        <v>5.239179</v>
      </c>
      <c r="E2565">
        <v>0.45897399999999999</v>
      </c>
      <c r="F2565" t="s">
        <v>103</v>
      </c>
      <c r="G2565">
        <v>-229.50319999999999</v>
      </c>
      <c r="H2565" s="1">
        <v>-3.31098E-6</v>
      </c>
      <c r="I2565">
        <v>-60.905740000000002</v>
      </c>
      <c r="J2565">
        <v>-242.7038</v>
      </c>
      <c r="K2565">
        <v>1.103056</v>
      </c>
      <c r="L2565">
        <v>-62.704250000000002</v>
      </c>
      <c r="M2565">
        <v>0.999892</v>
      </c>
      <c r="N2565">
        <v>0</v>
      </c>
      <c r="O2565">
        <v>-8.6139010000000002E-3</v>
      </c>
      <c r="P2565">
        <v>0.98745459999999996</v>
      </c>
      <c r="Q2565">
        <v>0.15504660000000001</v>
      </c>
      <c r="R2565">
        <v>2.990338E-2</v>
      </c>
      <c r="S2565">
        <v>3.06509399999999</v>
      </c>
      <c r="T2565">
        <v>-0.25307010000000002</v>
      </c>
      <c r="U2565">
        <v>0.41226199999999902</v>
      </c>
      <c r="V2565">
        <v>-3.8244769999999997E-2</v>
      </c>
      <c r="W2565">
        <v>0.16683999999999999</v>
      </c>
      <c r="X2565">
        <v>0.98524199999999995</v>
      </c>
      <c r="Y2565">
        <v>-0.14133319999999999</v>
      </c>
      <c r="Z2565">
        <v>6.50569699999999E-3</v>
      </c>
      <c r="AA2565">
        <v>0.98994069999999901</v>
      </c>
      <c r="AB2565">
        <v>30</v>
      </c>
      <c r="AC2565">
        <v>13.2006</v>
      </c>
      <c r="AD2565">
        <v>-1.10305931098</v>
      </c>
      <c r="AE2565">
        <v>1.7985100000000001</v>
      </c>
      <c r="AF2565">
        <v>-1.8991409219600699</v>
      </c>
      <c r="AG2565">
        <v>-1.10305931098</v>
      </c>
      <c r="AH2565">
        <v>13.094848567558399</v>
      </c>
      <c r="AI2565">
        <v>94.7653847211607</v>
      </c>
      <c r="AJ2565">
        <v>98.252049420032805</v>
      </c>
      <c r="AK2565">
        <v>13.2777458588531</v>
      </c>
    </row>
    <row r="2566" spans="1:37" x14ac:dyDescent="0.2">
      <c r="A2566" t="str">
        <f>"20200111150643829"</f>
        <v>20200111150643829</v>
      </c>
      <c r="B2566" t="str">
        <f>"1578726403818995"</f>
        <v>1578726403818995</v>
      </c>
      <c r="C2566" t="s">
        <v>37</v>
      </c>
      <c r="D2566">
        <v>5.2818100000000001</v>
      </c>
      <c r="E2566">
        <v>0.458614999999999</v>
      </c>
      <c r="F2566" t="s">
        <v>103</v>
      </c>
      <c r="G2566">
        <v>-229.45769999999999</v>
      </c>
      <c r="H2566" s="1">
        <v>-3.2952740000000002E-6</v>
      </c>
      <c r="I2566">
        <v>-60.922989999999999</v>
      </c>
      <c r="J2566">
        <v>-242.5478</v>
      </c>
      <c r="K2566">
        <v>1.103054</v>
      </c>
      <c r="L2566">
        <v>-62.705840000000002</v>
      </c>
      <c r="M2566">
        <v>0.99988969999999899</v>
      </c>
      <c r="N2566">
        <v>0</v>
      </c>
      <c r="O2566">
        <v>-8.8628059999999904E-3</v>
      </c>
      <c r="P2566">
        <v>0.98745919999999898</v>
      </c>
      <c r="Q2566">
        <v>0.15502260000000001</v>
      </c>
      <c r="R2566">
        <v>2.987368E-2</v>
      </c>
      <c r="S2566">
        <v>3.0657199999999998</v>
      </c>
      <c r="T2566">
        <v>-0.25529589999999902</v>
      </c>
      <c r="U2566">
        <v>0.41226199999999902</v>
      </c>
      <c r="V2566">
        <v>-3.8460550000000003E-2</v>
      </c>
      <c r="W2566">
        <v>0.1668174</v>
      </c>
      <c r="X2566">
        <v>0.98523739999999904</v>
      </c>
      <c r="Y2566">
        <v>-0.14154269999999999</v>
      </c>
      <c r="Z2566">
        <v>6.590673E-3</v>
      </c>
      <c r="AA2566">
        <v>0.98991019999999896</v>
      </c>
      <c r="AB2566">
        <v>30</v>
      </c>
      <c r="AC2566">
        <v>13.0901</v>
      </c>
      <c r="AD2566">
        <v>-1.1030572952740001</v>
      </c>
      <c r="AE2566">
        <v>1.7828499999999901</v>
      </c>
      <c r="AF2566">
        <v>-1.8856573154243601</v>
      </c>
      <c r="AG2566">
        <v>-1.1030572952740001</v>
      </c>
      <c r="AH2566">
        <v>12.983270421446401</v>
      </c>
      <c r="AI2566">
        <v>94.805997316039694</v>
      </c>
      <c r="AJ2566">
        <v>98.263712489742502</v>
      </c>
      <c r="AK2566">
        <v>13.165779496265101</v>
      </c>
    </row>
    <row r="2567" spans="1:37" x14ac:dyDescent="0.2">
      <c r="A2567" t="str">
        <f>"20200111150643841"</f>
        <v>20200111150643841</v>
      </c>
      <c r="B2567" t="str">
        <f>"1578726403839491"</f>
        <v>1578726403839491</v>
      </c>
      <c r="C2567" t="s">
        <v>37</v>
      </c>
      <c r="D2567">
        <v>5.4675479999999999</v>
      </c>
      <c r="E2567">
        <v>0.45885280000000001</v>
      </c>
      <c r="F2567" t="s">
        <v>103</v>
      </c>
      <c r="G2567">
        <v>-228.96190000000001</v>
      </c>
      <c r="H2567" s="1">
        <v>-3.0697419999999999E-6</v>
      </c>
      <c r="I2567">
        <v>-60.865099999999998</v>
      </c>
      <c r="J2567">
        <v>-242.39830000000001</v>
      </c>
      <c r="K2567">
        <v>1.103054</v>
      </c>
      <c r="L2567">
        <v>-62.707430000000002</v>
      </c>
      <c r="M2567">
        <v>0.99988759999999999</v>
      </c>
      <c r="N2567">
        <v>0</v>
      </c>
      <c r="O2567">
        <v>-9.1021909999999904E-3</v>
      </c>
      <c r="P2567">
        <v>0.98747999999999903</v>
      </c>
      <c r="Q2567">
        <v>0.15489339999999999</v>
      </c>
      <c r="R2567">
        <v>2.9856400000000002E-2</v>
      </c>
      <c r="S2567">
        <v>3.0646059999999999</v>
      </c>
      <c r="T2567">
        <v>-0.24881979999999901</v>
      </c>
      <c r="U2567">
        <v>0.41522219999999999</v>
      </c>
      <c r="V2567">
        <v>-3.8680310000000002E-2</v>
      </c>
      <c r="W2567">
        <v>0.166691899999999</v>
      </c>
      <c r="X2567">
        <v>0.98525010000000002</v>
      </c>
      <c r="Y2567">
        <v>-0.14278669999999999</v>
      </c>
      <c r="Z2567">
        <v>6.4954449999999999E-3</v>
      </c>
      <c r="AA2567">
        <v>0.9897321</v>
      </c>
      <c r="AB2567">
        <v>30</v>
      </c>
      <c r="AC2567">
        <v>13.4363999999999</v>
      </c>
      <c r="AD2567">
        <v>-1.1030570697419999</v>
      </c>
      <c r="AE2567">
        <v>1.84233</v>
      </c>
      <c r="AF2567">
        <v>-1.95165251663892</v>
      </c>
      <c r="AG2567">
        <v>-1.1030570697419999</v>
      </c>
      <c r="AH2567">
        <v>13.330886802285001</v>
      </c>
      <c r="AI2567">
        <v>94.6804654278789</v>
      </c>
      <c r="AJ2567">
        <v>98.328978857749803</v>
      </c>
      <c r="AK2567">
        <v>13.5180703275337</v>
      </c>
    </row>
    <row r="2568" spans="1:37" x14ac:dyDescent="0.2">
      <c r="A2568" t="str">
        <f>"20200111150643854"</f>
        <v>20200111150643854</v>
      </c>
      <c r="B2568" t="str">
        <f>"1578726403849252"</f>
        <v>1578726403849252</v>
      </c>
      <c r="C2568" t="s">
        <v>37</v>
      </c>
      <c r="D2568">
        <v>5.2861039999999999</v>
      </c>
      <c r="E2568">
        <v>0.4587154</v>
      </c>
      <c r="F2568" t="s">
        <v>103</v>
      </c>
      <c r="G2568">
        <v>-228.68969999999999</v>
      </c>
      <c r="H2568" s="1">
        <v>-2.9515249999999899E-6</v>
      </c>
      <c r="I2568">
        <v>-60.858709999999903</v>
      </c>
      <c r="J2568">
        <v>-242.23169999999999</v>
      </c>
      <c r="K2568">
        <v>1.103054</v>
      </c>
      <c r="L2568">
        <v>-62.709229999999998</v>
      </c>
      <c r="M2568">
        <v>0.99988500000000002</v>
      </c>
      <c r="N2568">
        <v>0</v>
      </c>
      <c r="O2568">
        <v>-9.3690030000000007E-3</v>
      </c>
      <c r="P2568">
        <v>0.98748359999999902</v>
      </c>
      <c r="Q2568">
        <v>0.15482290000000001</v>
      </c>
      <c r="R2568">
        <v>3.01024999999999E-2</v>
      </c>
      <c r="S2568">
        <v>3.06425499999999</v>
      </c>
      <c r="T2568">
        <v>-0.24656349999999999</v>
      </c>
      <c r="U2568">
        <v>0.41323850000000001</v>
      </c>
      <c r="V2568">
        <v>-3.9189549999999997E-2</v>
      </c>
      <c r="W2568">
        <v>0.166626</v>
      </c>
      <c r="X2568">
        <v>0.98524109999999998</v>
      </c>
      <c r="Y2568">
        <v>-0.14244560000000001</v>
      </c>
      <c r="Z2568">
        <v>6.4454409999999997E-3</v>
      </c>
      <c r="AA2568">
        <v>0.98978159999999904</v>
      </c>
      <c r="AB2568">
        <v>30</v>
      </c>
      <c r="AC2568">
        <v>13.542</v>
      </c>
      <c r="AD2568">
        <v>-1.1030569515249999</v>
      </c>
      <c r="AE2568">
        <v>1.8505200000000099</v>
      </c>
      <c r="AF2568">
        <v>-1.9645274432937301</v>
      </c>
      <c r="AG2568">
        <v>-1.1030569515249999</v>
      </c>
      <c r="AH2568">
        <v>13.436551666204601</v>
      </c>
      <c r="AI2568">
        <v>94.643947308849803</v>
      </c>
      <c r="AJ2568">
        <v>98.318147334209399</v>
      </c>
      <c r="AK2568">
        <v>13.624133858427401</v>
      </c>
    </row>
    <row r="2569" spans="1:37" x14ac:dyDescent="0.2">
      <c r="A2569" t="str">
        <f>"20200111150643865"</f>
        <v>20200111150643865</v>
      </c>
      <c r="B2569" t="str">
        <f>"1578726403859011"</f>
        <v>1578726403859011</v>
      </c>
      <c r="C2569" t="s">
        <v>37</v>
      </c>
      <c r="D2569">
        <v>5.265485</v>
      </c>
      <c r="E2569">
        <v>0.45856570000000002</v>
      </c>
      <c r="F2569" t="s">
        <v>103</v>
      </c>
      <c r="G2569">
        <v>-228.41040000000001</v>
      </c>
      <c r="H2569" s="1">
        <v>-2.826776E-6</v>
      </c>
      <c r="I2569">
        <v>-60.836590000000001</v>
      </c>
      <c r="J2569">
        <v>-242.06360000000001</v>
      </c>
      <c r="K2569">
        <v>1.1030519999999999</v>
      </c>
      <c r="L2569">
        <v>-62.711089999999999</v>
      </c>
      <c r="M2569">
        <v>0.99988250000000001</v>
      </c>
      <c r="N2569">
        <v>0</v>
      </c>
      <c r="O2569">
        <v>-9.6383359999999904E-3</v>
      </c>
      <c r="P2569">
        <v>0.98752390000000001</v>
      </c>
      <c r="Q2569">
        <v>0.1545328</v>
      </c>
      <c r="R2569">
        <v>3.02747999999999E-2</v>
      </c>
      <c r="S2569">
        <v>3.0637209999999899</v>
      </c>
      <c r="T2569">
        <v>-0.24451039999999999</v>
      </c>
      <c r="U2569">
        <v>0.41510010000000003</v>
      </c>
      <c r="V2569">
        <v>-3.9628839999999999E-2</v>
      </c>
      <c r="W2569">
        <v>0.1663434</v>
      </c>
      <c r="X2569">
        <v>0.98527119999999901</v>
      </c>
      <c r="Y2569">
        <v>-0.14332990000000001</v>
      </c>
      <c r="Z2569">
        <v>6.4492269999999897E-3</v>
      </c>
      <c r="AA2569">
        <v>0.98965389999999998</v>
      </c>
      <c r="AB2569">
        <v>30</v>
      </c>
      <c r="AC2569">
        <v>13.653199999999901</v>
      </c>
      <c r="AD2569">
        <v>-1.1030548267760001</v>
      </c>
      <c r="AE2569">
        <v>1.8745000000000001</v>
      </c>
      <c r="AF2569">
        <v>-1.99324682572394</v>
      </c>
      <c r="AG2569">
        <v>-1.1030548267760001</v>
      </c>
      <c r="AH2569">
        <v>13.547705125129699</v>
      </c>
      <c r="AI2569">
        <v>94.6053954199282</v>
      </c>
      <c r="AJ2569">
        <v>98.369765976945303</v>
      </c>
      <c r="AK2569">
        <v>13.7379065732956</v>
      </c>
    </row>
    <row r="2570" spans="1:37" x14ac:dyDescent="0.2">
      <c r="A2570" t="str">
        <f>"20200111150643877"</f>
        <v>20200111150643877</v>
      </c>
      <c r="B2570" t="str">
        <f>"1578726403868771"</f>
        <v>1578726403868771</v>
      </c>
      <c r="C2570" t="s">
        <v>37</v>
      </c>
      <c r="D2570">
        <v>5.4068959999999997</v>
      </c>
      <c r="E2570">
        <v>0.4581364</v>
      </c>
      <c r="F2570" t="s">
        <v>103</v>
      </c>
      <c r="G2570">
        <v>-228.2148</v>
      </c>
      <c r="H2570" s="1">
        <v>-2.740681E-6</v>
      </c>
      <c r="I2570">
        <v>-60.826749999999997</v>
      </c>
      <c r="J2570">
        <v>-241.91200000000001</v>
      </c>
      <c r="K2570">
        <v>1.1030530000000001</v>
      </c>
      <c r="L2570">
        <v>-62.7127699999999</v>
      </c>
      <c r="M2570">
        <v>0.99987999999999899</v>
      </c>
      <c r="N2570">
        <v>0</v>
      </c>
      <c r="O2570">
        <v>-9.8809640000000008E-3</v>
      </c>
      <c r="P2570">
        <v>0.98755380000000004</v>
      </c>
      <c r="Q2570">
        <v>0.1543223</v>
      </c>
      <c r="R2570">
        <v>3.0371840000000001E-2</v>
      </c>
      <c r="S2570">
        <v>3.0633089999999998</v>
      </c>
      <c r="T2570">
        <v>-0.24399129999999999</v>
      </c>
      <c r="U2570">
        <v>0.41680909999999899</v>
      </c>
      <c r="V2570">
        <v>-3.9965210000000001E-2</v>
      </c>
      <c r="W2570">
        <v>0.16613939999999999</v>
      </c>
      <c r="X2570">
        <v>0.9852921</v>
      </c>
      <c r="Y2570">
        <v>-0.14412849999999999</v>
      </c>
      <c r="Z2570">
        <v>6.4870149999999996E-3</v>
      </c>
      <c r="AA2570">
        <v>0.98953769999999996</v>
      </c>
      <c r="AB2570">
        <v>30</v>
      </c>
      <c r="AC2570">
        <v>13.6972</v>
      </c>
      <c r="AD2570">
        <v>-1.103055740681</v>
      </c>
      <c r="AE2570">
        <v>1.88601999999999</v>
      </c>
      <c r="AF2570">
        <v>-2.0084957220705499</v>
      </c>
      <c r="AG2570">
        <v>-1.103055740681</v>
      </c>
      <c r="AH2570">
        <v>13.5913898073299</v>
      </c>
      <c r="AI2570">
        <v>94.590232027470293</v>
      </c>
      <c r="AJ2570">
        <v>98.406163139375806</v>
      </c>
      <c r="AK2570">
        <v>13.7832022377754</v>
      </c>
    </row>
    <row r="2571" spans="1:37" x14ac:dyDescent="0.2">
      <c r="A2571" t="str">
        <f>"20200111150643888"</f>
        <v>20200111150643888</v>
      </c>
      <c r="B2571" t="str">
        <f>"1578726403879507"</f>
        <v>1578726403879507</v>
      </c>
      <c r="C2571" t="s">
        <v>37</v>
      </c>
      <c r="D2571">
        <v>5.3464849999999897</v>
      </c>
      <c r="E2571">
        <v>0.45779520000000001</v>
      </c>
      <c r="F2571" t="s">
        <v>103</v>
      </c>
      <c r="G2571">
        <v>-228.1601</v>
      </c>
      <c r="H2571" s="1">
        <v>-2.7168899999999999E-6</v>
      </c>
      <c r="I2571">
        <v>-60.825299999999999</v>
      </c>
      <c r="J2571">
        <v>-241.7569</v>
      </c>
      <c r="K2571">
        <v>1.1030530000000001</v>
      </c>
      <c r="L2571">
        <v>-62.714569999999902</v>
      </c>
      <c r="M2571">
        <v>0.99987749999999997</v>
      </c>
      <c r="N2571">
        <v>0</v>
      </c>
      <c r="O2571">
        <v>-1.012884E-2</v>
      </c>
      <c r="P2571">
        <v>0.98757950000000005</v>
      </c>
      <c r="Q2571">
        <v>0.1541846</v>
      </c>
      <c r="R2571">
        <v>3.0235749999999999E-2</v>
      </c>
      <c r="S2571">
        <v>3.0632929999999998</v>
      </c>
      <c r="T2571">
        <v>-0.24570980000000001</v>
      </c>
      <c r="U2571">
        <v>0.4204407</v>
      </c>
      <c r="V2571">
        <v>-4.0074159999999998E-2</v>
      </c>
      <c r="W2571">
        <v>0.16600819999999999</v>
      </c>
      <c r="X2571">
        <v>0.98530980000000001</v>
      </c>
      <c r="Y2571">
        <v>-0.14551410000000001</v>
      </c>
      <c r="Z2571">
        <v>6.6070640000000002E-3</v>
      </c>
      <c r="AA2571">
        <v>0.98933409999999999</v>
      </c>
      <c r="AB2571">
        <v>30</v>
      </c>
      <c r="AC2571">
        <v>13.5968</v>
      </c>
      <c r="AD2571">
        <v>-1.1030557168899999</v>
      </c>
      <c r="AE2571">
        <v>1.88926999999999</v>
      </c>
      <c r="AF2571">
        <v>-2.01389936844964</v>
      </c>
      <c r="AG2571">
        <v>-1.1030557168899999</v>
      </c>
      <c r="AH2571">
        <v>13.489863755324301</v>
      </c>
      <c r="AI2571">
        <v>94.623616996382594</v>
      </c>
      <c r="AJ2571">
        <v>98.490966691246598</v>
      </c>
      <c r="AK2571">
        <v>13.6838936972638</v>
      </c>
    </row>
    <row r="2572" spans="1:37" x14ac:dyDescent="0.2">
      <c r="A2572" t="str">
        <f>"20200111150643900"</f>
        <v>20200111150643900</v>
      </c>
      <c r="B2572" t="str">
        <f>"1578726403889268"</f>
        <v>1578726403889268</v>
      </c>
      <c r="C2572" t="s">
        <v>37</v>
      </c>
      <c r="D2572">
        <v>5.2768439999999996</v>
      </c>
      <c r="E2572">
        <v>0.45779709999999901</v>
      </c>
      <c r="F2572" t="s">
        <v>103</v>
      </c>
      <c r="G2572">
        <v>-227.96520000000001</v>
      </c>
      <c r="H2572" s="1">
        <v>-2.6301209999999898E-6</v>
      </c>
      <c r="I2572">
        <v>-60.8110199999999</v>
      </c>
      <c r="J2572">
        <v>-241.6114</v>
      </c>
      <c r="K2572">
        <v>1.103059</v>
      </c>
      <c r="L2572">
        <v>-62.71631</v>
      </c>
      <c r="M2572">
        <v>0.99987490000000001</v>
      </c>
      <c r="N2572">
        <v>0</v>
      </c>
      <c r="O2572">
        <v>-1.0361220000000001E-2</v>
      </c>
      <c r="P2572">
        <v>0.98760740000000002</v>
      </c>
      <c r="Q2572">
        <v>0.1540174</v>
      </c>
      <c r="R2572">
        <v>3.0174799999999901E-2</v>
      </c>
      <c r="S2572">
        <v>3.0630189999999899</v>
      </c>
      <c r="T2572">
        <v>-0.24497869999999999</v>
      </c>
      <c r="U2572">
        <v>0.42276000000000002</v>
      </c>
      <c r="V2572">
        <v>-4.0243000000000001E-2</v>
      </c>
      <c r="W2572">
        <v>0.16584740000000001</v>
      </c>
      <c r="X2572">
        <v>0.98532999999999904</v>
      </c>
      <c r="Y2572">
        <v>-0.14649019999999999</v>
      </c>
      <c r="Z2572">
        <v>6.6449780000000002E-3</v>
      </c>
      <c r="AA2572">
        <v>0.98918980000000001</v>
      </c>
      <c r="AB2572">
        <v>30</v>
      </c>
      <c r="AC2572">
        <v>13.646199999999901</v>
      </c>
      <c r="AD2572">
        <v>-1.1030616301209999</v>
      </c>
      <c r="AE2572">
        <v>1.9052899999999999</v>
      </c>
      <c r="AF2572">
        <v>-2.0335559943699701</v>
      </c>
      <c r="AG2572">
        <v>-1.1030616301209999</v>
      </c>
      <c r="AH2572">
        <v>13.538953453544501</v>
      </c>
      <c r="AI2572">
        <v>94.606337809538402</v>
      </c>
      <c r="AJ2572">
        <v>98.541993740526905</v>
      </c>
      <c r="AK2572">
        <v>13.7351867682725</v>
      </c>
    </row>
    <row r="2573" spans="1:37" x14ac:dyDescent="0.2">
      <c r="A2573" t="str">
        <f>"20200111150643910"</f>
        <v>20200111150643910</v>
      </c>
      <c r="B2573" t="str">
        <f>"1578726403899027"</f>
        <v>1578726403899027</v>
      </c>
      <c r="C2573" t="s">
        <v>37</v>
      </c>
      <c r="D2573">
        <v>5.2718850000000002</v>
      </c>
      <c r="E2573">
        <v>0.4578816</v>
      </c>
      <c r="F2573" t="s">
        <v>103</v>
      </c>
      <c r="G2573">
        <v>-227.76779999999999</v>
      </c>
      <c r="H2573" s="1">
        <v>-2.5444999999999999E-6</v>
      </c>
      <c r="I2573">
        <v>-60.806849999999997</v>
      </c>
      <c r="J2573">
        <v>-241.4546</v>
      </c>
      <c r="K2573">
        <v>1.103057</v>
      </c>
      <c r="L2573">
        <v>-62.718169999999901</v>
      </c>
      <c r="M2573">
        <v>0.99987219999999999</v>
      </c>
      <c r="N2573">
        <v>0</v>
      </c>
      <c r="O2573">
        <v>-1.0611590000000001E-2</v>
      </c>
      <c r="P2573">
        <v>0.98757739999999905</v>
      </c>
      <c r="Q2573">
        <v>0.154200799999999</v>
      </c>
      <c r="R2573">
        <v>3.0221479999999998E-2</v>
      </c>
      <c r="S2573">
        <v>3.062805</v>
      </c>
      <c r="T2573">
        <v>-0.24404499999999901</v>
      </c>
      <c r="U2573">
        <v>0.42245479999999902</v>
      </c>
      <c r="V2573">
        <v>-4.053582E-2</v>
      </c>
      <c r="W2573">
        <v>0.16603689999999999</v>
      </c>
      <c r="X2573">
        <v>0.98528609999999905</v>
      </c>
      <c r="Y2573">
        <v>-0.1466529</v>
      </c>
      <c r="Z2573">
        <v>6.6465059999999999E-3</v>
      </c>
      <c r="AA2573">
        <v>0.98916569999999904</v>
      </c>
      <c r="AB2573">
        <v>30</v>
      </c>
      <c r="AC2573">
        <v>13.6868</v>
      </c>
      <c r="AD2573">
        <v>-1.1030595445</v>
      </c>
      <c r="AE2573">
        <v>1.9113199999999899</v>
      </c>
      <c r="AF2573">
        <v>-2.0434427282973702</v>
      </c>
      <c r="AG2573">
        <v>-1.1030595445</v>
      </c>
      <c r="AH2573">
        <v>13.5792326360483</v>
      </c>
      <c r="AI2573">
        <v>94.592534265527902</v>
      </c>
      <c r="AJ2573">
        <v>98.557824727767098</v>
      </c>
      <c r="AK2573">
        <v>13.776355015985301</v>
      </c>
    </row>
    <row r="2574" spans="1:37" x14ac:dyDescent="0.2">
      <c r="A2574" t="str">
        <f>"20200111150643927"</f>
        <v>20200111150643927</v>
      </c>
      <c r="B2574" t="str">
        <f>"1578726403919523"</f>
        <v>1578726403919523</v>
      </c>
      <c r="C2574" t="s">
        <v>37</v>
      </c>
      <c r="D2574">
        <v>5.2527210000000002</v>
      </c>
      <c r="E2574">
        <v>0.45784649999999999</v>
      </c>
      <c r="F2574" t="s">
        <v>103</v>
      </c>
      <c r="G2574">
        <v>-227.47380000000001</v>
      </c>
      <c r="H2574" s="1">
        <v>-2.4151299999999999E-6</v>
      </c>
      <c r="I2574">
        <v>-60.792269999999903</v>
      </c>
      <c r="J2574">
        <v>-241.2414</v>
      </c>
      <c r="K2574">
        <v>1.1030629999999999</v>
      </c>
      <c r="L2574">
        <v>-62.720829999999999</v>
      </c>
      <c r="M2574">
        <v>0.99986830000000004</v>
      </c>
      <c r="N2574">
        <v>0</v>
      </c>
      <c r="O2574">
        <v>-1.0952089999999999E-2</v>
      </c>
      <c r="P2574">
        <v>0.987560199999999</v>
      </c>
      <c r="Q2574">
        <v>0.1542453</v>
      </c>
      <c r="R2574">
        <v>3.05484E-2</v>
      </c>
      <c r="S2574">
        <v>3.06254599999999</v>
      </c>
      <c r="T2574">
        <v>-0.24162839999999999</v>
      </c>
      <c r="U2574">
        <v>0.421875</v>
      </c>
      <c r="V2574">
        <v>-4.1198819999999997E-2</v>
      </c>
      <c r="W2574">
        <v>0.16608909999999999</v>
      </c>
      <c r="X2574">
        <v>0.98524979999999995</v>
      </c>
      <c r="Y2574">
        <v>-0.14682519999999999</v>
      </c>
      <c r="Z2574">
        <v>6.6149909999999998E-3</v>
      </c>
      <c r="AA2574">
        <v>0.98914029999999997</v>
      </c>
      <c r="AB2574">
        <v>30</v>
      </c>
      <c r="AC2574">
        <v>13.7675999999999</v>
      </c>
      <c r="AD2574">
        <v>-1.1030654151299999</v>
      </c>
      <c r="AE2574">
        <v>1.92856000000001</v>
      </c>
      <c r="AF2574">
        <v>-2.0662306758776099</v>
      </c>
      <c r="AG2574">
        <v>-1.1030654151299999</v>
      </c>
      <c r="AH2574">
        <v>13.6596532638463</v>
      </c>
      <c r="AI2574">
        <v>94.565110130230707</v>
      </c>
      <c r="AJ2574">
        <v>98.601649911476898</v>
      </c>
      <c r="AK2574">
        <v>13.8590111409328</v>
      </c>
    </row>
    <row r="2575" spans="1:37" x14ac:dyDescent="0.2">
      <c r="A2575" t="str">
        <f>"20200111150643939"</f>
        <v>20200111150643939</v>
      </c>
      <c r="B2575" t="str">
        <f>"1578726403929283"</f>
        <v>1578726403929283</v>
      </c>
      <c r="C2575" t="s">
        <v>37</v>
      </c>
      <c r="D2575">
        <v>5.3208609999999998</v>
      </c>
      <c r="E2575">
        <v>0.45757779999999998</v>
      </c>
      <c r="F2575" t="s">
        <v>103</v>
      </c>
      <c r="G2575">
        <v>-227.2747</v>
      </c>
      <c r="H2575" s="1">
        <v>-2.3297910000000001E-6</v>
      </c>
      <c r="I2575">
        <v>-60.792529999999999</v>
      </c>
      <c r="J2575">
        <v>-241.09119999999999</v>
      </c>
      <c r="K2575">
        <v>1.103064</v>
      </c>
      <c r="L2575">
        <v>-62.722719999999903</v>
      </c>
      <c r="M2575">
        <v>0.99986580000000003</v>
      </c>
      <c r="N2575">
        <v>0</v>
      </c>
      <c r="O2575">
        <v>-1.1192560000000001E-2</v>
      </c>
      <c r="P2575">
        <v>0.98752030000000002</v>
      </c>
      <c r="Q2575">
        <v>0.1544702</v>
      </c>
      <c r="R2575">
        <v>3.0705909999999999E-2</v>
      </c>
      <c r="S2575">
        <v>3.0625</v>
      </c>
      <c r="T2575">
        <v>-0.24187159999999999</v>
      </c>
      <c r="U2575">
        <v>0.422821</v>
      </c>
      <c r="V2575">
        <v>-4.1593230000000002E-2</v>
      </c>
      <c r="W2575">
        <v>0.16631949999999901</v>
      </c>
      <c r="X2575">
        <v>0.98519429999999997</v>
      </c>
      <c r="Y2575">
        <v>-0.14736160000000001</v>
      </c>
      <c r="Z2575">
        <v>6.661518E-3</v>
      </c>
      <c r="AA2575">
        <v>0.9890603</v>
      </c>
      <c r="AB2575">
        <v>30</v>
      </c>
      <c r="AC2575">
        <v>13.8164999999999</v>
      </c>
      <c r="AD2575">
        <v>-1.1030663297909999</v>
      </c>
      <c r="AE2575">
        <v>1.9301899999999801</v>
      </c>
      <c r="AF2575">
        <v>-2.0717696279581301</v>
      </c>
      <c r="AG2575">
        <v>-1.1030663297909999</v>
      </c>
      <c r="AH2575">
        <v>13.7083258650652</v>
      </c>
      <c r="AI2575">
        <v>94.549062289329896</v>
      </c>
      <c r="AJ2575">
        <v>98.594198608828293</v>
      </c>
      <c r="AK2575">
        <v>13.9078101346712</v>
      </c>
    </row>
    <row r="2576" spans="1:37" x14ac:dyDescent="0.2">
      <c r="A2576" t="str">
        <f>"20200111150643949"</f>
        <v>20200111150643949</v>
      </c>
      <c r="B2576" t="str">
        <f>"1578726403939044"</f>
        <v>1578726403939044</v>
      </c>
      <c r="C2576" t="s">
        <v>37</v>
      </c>
      <c r="D2576">
        <v>5.3423030000000002</v>
      </c>
      <c r="E2576">
        <v>0.45732129999999999</v>
      </c>
      <c r="F2576" t="s">
        <v>103</v>
      </c>
      <c r="G2576">
        <v>-227.23169999999999</v>
      </c>
      <c r="H2576" s="1">
        <v>-2.3126640000000002E-6</v>
      </c>
      <c r="I2576">
        <v>-60.79851</v>
      </c>
      <c r="J2576">
        <v>-240.93450000000001</v>
      </c>
      <c r="K2576">
        <v>1.1030659999999901</v>
      </c>
      <c r="L2576">
        <v>-62.724699999999999</v>
      </c>
      <c r="M2576">
        <v>0.99986280000000005</v>
      </c>
      <c r="N2576">
        <v>0</v>
      </c>
      <c r="O2576">
        <v>-1.1443160000000001E-2</v>
      </c>
      <c r="P2576">
        <v>0.987512099999999</v>
      </c>
      <c r="Q2576">
        <v>0.1544943</v>
      </c>
      <c r="R2576">
        <v>3.0845830000000001E-2</v>
      </c>
      <c r="S2576">
        <v>3.0628199999999999</v>
      </c>
      <c r="T2576">
        <v>-0.2437676</v>
      </c>
      <c r="U2576">
        <v>0.4252319</v>
      </c>
      <c r="V2576">
        <v>-4.1980580000000003E-2</v>
      </c>
      <c r="W2576">
        <v>0.16634860000000001</v>
      </c>
      <c r="X2576">
        <v>0.98517299999999997</v>
      </c>
      <c r="Y2576">
        <v>-0.14834800000000001</v>
      </c>
      <c r="Z2576">
        <v>6.7713560000000001E-3</v>
      </c>
      <c r="AA2576">
        <v>0.98891200000000001</v>
      </c>
      <c r="AB2576">
        <v>30</v>
      </c>
      <c r="AC2576">
        <v>13.7028</v>
      </c>
      <c r="AD2576">
        <v>-1.103068312664</v>
      </c>
      <c r="AE2576">
        <v>1.9261899999999901</v>
      </c>
      <c r="AF2576">
        <v>-2.0697261582419202</v>
      </c>
      <c r="AG2576">
        <v>-1.103068312664</v>
      </c>
      <c r="AH2576">
        <v>13.5934782548608</v>
      </c>
      <c r="AI2576">
        <v>94.586577966352394</v>
      </c>
      <c r="AJ2576">
        <v>98.657293139293898</v>
      </c>
      <c r="AK2576">
        <v>13.794316842014601</v>
      </c>
    </row>
    <row r="2577" spans="1:37" x14ac:dyDescent="0.2">
      <c r="A2577" t="str">
        <f>"20200111150643962"</f>
        <v>20200111150643962</v>
      </c>
      <c r="B2577" t="str">
        <f>"1578726403959539"</f>
        <v>1578726403959539</v>
      </c>
      <c r="C2577" t="s">
        <v>37</v>
      </c>
      <c r="D2577">
        <v>5.3330390000000003</v>
      </c>
      <c r="E2577">
        <v>0.45701209999999998</v>
      </c>
      <c r="F2577" t="s">
        <v>103</v>
      </c>
      <c r="G2577">
        <v>-227.03870000000001</v>
      </c>
      <c r="H2577" s="1">
        <v>-2.2266419999999999E-6</v>
      </c>
      <c r="I2577">
        <v>-60.783969999999997</v>
      </c>
      <c r="J2577">
        <v>-240.77959999999999</v>
      </c>
      <c r="K2577">
        <v>1.1030610000000001</v>
      </c>
      <c r="L2577">
        <v>-62.726779999999998</v>
      </c>
      <c r="M2577">
        <v>0.99985999999999997</v>
      </c>
      <c r="N2577">
        <v>0</v>
      </c>
      <c r="O2577">
        <v>-1.1691490000000001E-2</v>
      </c>
      <c r="P2577">
        <v>0.98748709999999995</v>
      </c>
      <c r="Q2577">
        <v>0.15459479999999901</v>
      </c>
      <c r="R2577">
        <v>3.1143560000000001E-2</v>
      </c>
      <c r="S2577">
        <v>3.0626220000000002</v>
      </c>
      <c r="T2577">
        <v>-0.24311479999999899</v>
      </c>
      <c r="U2577">
        <v>0.42773440000000001</v>
      </c>
      <c r="V2577">
        <v>-4.2523320000000003E-2</v>
      </c>
      <c r="W2577">
        <v>0.166454399999999</v>
      </c>
      <c r="X2577">
        <v>0.9851318</v>
      </c>
      <c r="Y2577">
        <v>-0.14939349999999901</v>
      </c>
      <c r="Z2577">
        <v>6.8141640000000002E-3</v>
      </c>
      <c r="AA2577">
        <v>0.98875429999999997</v>
      </c>
      <c r="AB2577">
        <v>30</v>
      </c>
      <c r="AC2577">
        <v>13.7408999999999</v>
      </c>
      <c r="AD2577">
        <v>-1.103063226642</v>
      </c>
      <c r="AE2577">
        <v>1.9428099999999999</v>
      </c>
      <c r="AF2577">
        <v>-2.0901349922221</v>
      </c>
      <c r="AG2577">
        <v>-1.103063226642</v>
      </c>
      <c r="AH2577">
        <v>13.6311243655948</v>
      </c>
      <c r="AI2577">
        <v>94.573211532394197</v>
      </c>
      <c r="AJ2577">
        <v>98.717577112347996</v>
      </c>
      <c r="AK2577">
        <v>13.834484603265601</v>
      </c>
    </row>
    <row r="2578" spans="1:37" x14ac:dyDescent="0.2">
      <c r="A2578" t="str">
        <f>"20200111150643974"</f>
        <v>20200111150643974</v>
      </c>
      <c r="B2578" t="str">
        <f>"1578726403969299"</f>
        <v>1578726403969299</v>
      </c>
      <c r="C2578" t="s">
        <v>37</v>
      </c>
      <c r="D2578">
        <v>5.3483510000000001</v>
      </c>
      <c r="E2578">
        <v>0.4568661</v>
      </c>
      <c r="F2578" t="s">
        <v>103</v>
      </c>
      <c r="G2578">
        <v>-226.8424</v>
      </c>
      <c r="H2578" s="1">
        <v>-2.1383049999999998E-6</v>
      </c>
      <c r="I2578">
        <v>-60.765389999999996</v>
      </c>
      <c r="J2578">
        <v>-240.6241</v>
      </c>
      <c r="K2578">
        <v>1.103062</v>
      </c>
      <c r="L2578">
        <v>-62.728819999999899</v>
      </c>
      <c r="M2578">
        <v>0.99985689999999905</v>
      </c>
      <c r="N2578">
        <v>0</v>
      </c>
      <c r="O2578">
        <v>-1.1940650000000001E-2</v>
      </c>
      <c r="P2578">
        <v>0.98747609999999997</v>
      </c>
      <c r="Q2578">
        <v>0.15464910000000001</v>
      </c>
      <c r="R2578">
        <v>3.1228450000000001E-2</v>
      </c>
      <c r="S2578">
        <v>3.0623629999999999</v>
      </c>
      <c r="T2578">
        <v>-0.24237239999999999</v>
      </c>
      <c r="U2578">
        <v>0.4309692</v>
      </c>
      <c r="V2578">
        <v>-4.2854059999999999E-2</v>
      </c>
      <c r="W2578">
        <v>0.16651359999999901</v>
      </c>
      <c r="X2578">
        <v>0.98510750000000002</v>
      </c>
      <c r="Y2578">
        <v>-0.1506739</v>
      </c>
      <c r="Z2578">
        <v>6.8634400000000002E-3</v>
      </c>
      <c r="AA2578">
        <v>0.98855969999999904</v>
      </c>
      <c r="AB2578">
        <v>30</v>
      </c>
      <c r="AC2578">
        <v>13.781700000000001</v>
      </c>
      <c r="AD2578">
        <v>-1.1030641383049999</v>
      </c>
      <c r="AE2578">
        <v>1.96342999999998</v>
      </c>
      <c r="AF2578">
        <v>-2.1145874238579898</v>
      </c>
      <c r="AG2578">
        <v>-1.1030641383049999</v>
      </c>
      <c r="AH2578">
        <v>13.6714322491411</v>
      </c>
      <c r="AI2578">
        <v>94.558876075021502</v>
      </c>
      <c r="AJ2578">
        <v>98.792378557104399</v>
      </c>
      <c r="AK2578">
        <v>13.8779065499523</v>
      </c>
    </row>
    <row r="2579" spans="1:37" x14ac:dyDescent="0.2">
      <c r="A2579" t="str">
        <f>"20200111150643984"</f>
        <v>20200111150643984</v>
      </c>
      <c r="B2579" t="str">
        <f>"1578726403979059"</f>
        <v>1578726403979059</v>
      </c>
      <c r="C2579" t="s">
        <v>37</v>
      </c>
      <c r="D2579">
        <v>5.2232479999999999</v>
      </c>
      <c r="E2579">
        <v>0.45686959999999999</v>
      </c>
      <c r="F2579" t="s">
        <v>103</v>
      </c>
      <c r="G2579">
        <v>-226.6644</v>
      </c>
      <c r="H2579" s="1">
        <v>-2.0601060000000001E-6</v>
      </c>
      <c r="I2579">
        <v>-60.75723</v>
      </c>
      <c r="J2579">
        <v>-240.46969999999999</v>
      </c>
      <c r="K2579">
        <v>1.1030629999999999</v>
      </c>
      <c r="L2579">
        <v>-62.730930000000001</v>
      </c>
      <c r="M2579">
        <v>0.99985380000000001</v>
      </c>
      <c r="N2579">
        <v>0</v>
      </c>
      <c r="O2579">
        <v>-1.218815E-2</v>
      </c>
      <c r="P2579">
        <v>0.98742589999999997</v>
      </c>
      <c r="Q2579">
        <v>0.1549026</v>
      </c>
      <c r="R2579">
        <v>3.1547899999999997E-2</v>
      </c>
      <c r="S2579">
        <v>3.062271</v>
      </c>
      <c r="T2579">
        <v>-0.24197260000000001</v>
      </c>
      <c r="U2579">
        <v>0.43249510000000002</v>
      </c>
      <c r="V2579">
        <v>-4.3417230000000001E-2</v>
      </c>
      <c r="W2579">
        <v>0.16677129999999901</v>
      </c>
      <c r="X2579">
        <v>0.9850392</v>
      </c>
      <c r="Y2579">
        <v>-0.15140429999999999</v>
      </c>
      <c r="Z2579">
        <v>6.9002259999999998E-3</v>
      </c>
      <c r="AA2579">
        <v>0.98844779999999999</v>
      </c>
      <c r="AB2579">
        <v>30</v>
      </c>
      <c r="AC2579">
        <v>13.8052999999999</v>
      </c>
      <c r="AD2579">
        <v>-1.1030650601059999</v>
      </c>
      <c r="AE2579">
        <v>1.9737</v>
      </c>
      <c r="AF2579">
        <v>-2.12850977342949</v>
      </c>
      <c r="AG2579">
        <v>-1.1030650601059999</v>
      </c>
      <c r="AH2579">
        <v>13.6945386651409</v>
      </c>
      <c r="AI2579">
        <v>94.550701630859393</v>
      </c>
      <c r="AJ2579">
        <v>98.834658340879798</v>
      </c>
      <c r="AK2579">
        <v>13.9027945260459</v>
      </c>
    </row>
    <row r="2580" spans="1:37" x14ac:dyDescent="0.2">
      <c r="A2580" t="str">
        <f>"20200111150643996"</f>
        <v>20200111150643996</v>
      </c>
      <c r="B2580" t="str">
        <f>"1578726403988819"</f>
        <v>1578726403988819</v>
      </c>
      <c r="C2580" t="s">
        <v>37</v>
      </c>
      <c r="D2580">
        <v>5.3068489999999997</v>
      </c>
      <c r="E2580">
        <v>0.45673029999999998</v>
      </c>
      <c r="F2580" t="s">
        <v>103</v>
      </c>
      <c r="G2580">
        <v>-226.47099999999901</v>
      </c>
      <c r="H2580" s="1">
        <v>-1.9753500000000001E-6</v>
      </c>
      <c r="I2580">
        <v>-60.749200000000002</v>
      </c>
      <c r="J2580">
        <v>-240.322</v>
      </c>
      <c r="K2580">
        <v>1.1030679999999999</v>
      </c>
      <c r="L2580">
        <v>-62.732969999999902</v>
      </c>
      <c r="M2580">
        <v>0.99985089999999999</v>
      </c>
      <c r="N2580">
        <v>0</v>
      </c>
      <c r="O2580">
        <v>-1.2424549999999999E-2</v>
      </c>
      <c r="P2580">
        <v>0.98736809999999997</v>
      </c>
      <c r="Q2580">
        <v>0.155222</v>
      </c>
      <c r="R2580">
        <v>3.1793019999999998E-2</v>
      </c>
      <c r="S2580">
        <v>3.0622099999999999</v>
      </c>
      <c r="T2580">
        <v>-0.2412946</v>
      </c>
      <c r="U2580">
        <v>0.4335022</v>
      </c>
      <c r="V2580">
        <v>-4.3894820000000001E-2</v>
      </c>
      <c r="W2580">
        <v>0.1670943</v>
      </c>
      <c r="X2580">
        <v>0.98496329999999999</v>
      </c>
      <c r="Y2580">
        <v>-0.1519597</v>
      </c>
      <c r="Z2580">
        <v>6.921188E-3</v>
      </c>
      <c r="AA2580">
        <v>0.98836239999999997</v>
      </c>
      <c r="AB2580">
        <v>30</v>
      </c>
      <c r="AC2580">
        <v>13.851000000000001</v>
      </c>
      <c r="AD2580">
        <v>-1.10306997535</v>
      </c>
      <c r="AE2580">
        <v>1.98376999999999</v>
      </c>
      <c r="AF2580">
        <v>-2.1424070919583</v>
      </c>
      <c r="AG2580">
        <v>-1.10306997535</v>
      </c>
      <c r="AH2580">
        <v>13.739891146875401</v>
      </c>
      <c r="AI2580">
        <v>94.535421462981105</v>
      </c>
      <c r="AJ2580">
        <v>98.862540198928201</v>
      </c>
      <c r="AK2580">
        <v>13.949597852489401</v>
      </c>
    </row>
    <row r="2581" spans="1:37" x14ac:dyDescent="0.2">
      <c r="A2581" t="str">
        <f>"20200111150644007"</f>
        <v>20200111150644007</v>
      </c>
      <c r="B2581" t="str">
        <f>"1578726403999555"</f>
        <v>1578726403999555</v>
      </c>
      <c r="C2581" t="s">
        <v>37</v>
      </c>
      <c r="D2581">
        <v>5.2931879999999998</v>
      </c>
      <c r="E2581">
        <v>0.45664779999999999</v>
      </c>
      <c r="F2581" t="s">
        <v>103</v>
      </c>
      <c r="G2581">
        <v>-226.26910000000001</v>
      </c>
      <c r="H2581" s="1">
        <v>-1.8855659999999999E-6</v>
      </c>
      <c r="I2581">
        <v>-60.734859999999998</v>
      </c>
      <c r="J2581">
        <v>-240.15960000000001</v>
      </c>
      <c r="K2581">
        <v>1.10307</v>
      </c>
      <c r="L2581">
        <v>-62.735259999999997</v>
      </c>
      <c r="M2581">
        <v>0.99984769999999901</v>
      </c>
      <c r="N2581">
        <v>0</v>
      </c>
      <c r="O2581">
        <v>-1.268468E-2</v>
      </c>
      <c r="P2581">
        <v>0.98733899999999997</v>
      </c>
      <c r="Q2581">
        <v>0.1553455</v>
      </c>
      <c r="R2581">
        <v>3.2087919999999999E-2</v>
      </c>
      <c r="S2581">
        <v>3.0621489999999998</v>
      </c>
      <c r="T2581">
        <v>-0.24036160000000001</v>
      </c>
      <c r="U2581">
        <v>0.43539430000000001</v>
      </c>
      <c r="V2581">
        <v>-4.4445699999999998E-2</v>
      </c>
      <c r="W2581">
        <v>0.1672227</v>
      </c>
      <c r="X2581">
        <v>0.98491679999999904</v>
      </c>
      <c r="Y2581">
        <v>-0.15281879999999901</v>
      </c>
      <c r="Z2581">
        <v>6.9481400000000002E-3</v>
      </c>
      <c r="AA2581">
        <v>0.98822980000000005</v>
      </c>
      <c r="AB2581">
        <v>30</v>
      </c>
      <c r="AC2581">
        <v>13.890499999999999</v>
      </c>
      <c r="AD2581">
        <v>-1.103071885566</v>
      </c>
      <c r="AE2581">
        <v>2.0003999999999902</v>
      </c>
      <c r="AF2581">
        <v>-2.16308442933944</v>
      </c>
      <c r="AG2581">
        <v>-1.103071885566</v>
      </c>
      <c r="AH2581">
        <v>13.778878353635999</v>
      </c>
      <c r="AI2581">
        <v>94.521920980309105</v>
      </c>
      <c r="AJ2581">
        <v>98.921792565175906</v>
      </c>
      <c r="AK2581">
        <v>13.991182598961201</v>
      </c>
    </row>
    <row r="2582" spans="1:37" x14ac:dyDescent="0.2">
      <c r="A2582" t="str">
        <f>"20200111150644020"</f>
        <v>20200111150644020</v>
      </c>
      <c r="B2582" t="str">
        <f>"1578726404009315"</f>
        <v>1578726404009315</v>
      </c>
      <c r="C2582" t="s">
        <v>37</v>
      </c>
      <c r="D2582">
        <v>5.2757019999999999</v>
      </c>
      <c r="E2582">
        <v>0.45652559999999898</v>
      </c>
      <c r="F2582" t="s">
        <v>103</v>
      </c>
      <c r="G2582">
        <v>-226.06389999999999</v>
      </c>
      <c r="H2582" s="1">
        <v>-1.795107E-6</v>
      </c>
      <c r="I2582">
        <v>-60.724029999999999</v>
      </c>
      <c r="J2582">
        <v>-240.0035</v>
      </c>
      <c r="K2582">
        <v>1.1030709999999999</v>
      </c>
      <c r="L2582">
        <v>-62.737519999999897</v>
      </c>
      <c r="M2582">
        <v>0.99984430000000002</v>
      </c>
      <c r="N2582">
        <v>0</v>
      </c>
      <c r="O2582">
        <v>-1.293421E-2</v>
      </c>
      <c r="P2582">
        <v>0.98727369999999903</v>
      </c>
      <c r="Q2582">
        <v>0.1556961</v>
      </c>
      <c r="R2582">
        <v>3.2395649999999998E-2</v>
      </c>
      <c r="S2582">
        <v>3.0619509999999899</v>
      </c>
      <c r="T2582">
        <v>-0.23961499999999999</v>
      </c>
      <c r="U2582">
        <v>0.43688959999999999</v>
      </c>
      <c r="V2582">
        <v>-4.4998530000000002E-2</v>
      </c>
      <c r="W2582">
        <v>0.16757659999999999</v>
      </c>
      <c r="X2582">
        <v>0.98483159999999903</v>
      </c>
      <c r="Y2582">
        <v>-0.1535474</v>
      </c>
      <c r="Z2582">
        <v>6.9745609999999998E-3</v>
      </c>
      <c r="AA2582">
        <v>0.98811669999999996</v>
      </c>
      <c r="AB2582">
        <v>30</v>
      </c>
      <c r="AC2582">
        <v>13.9396</v>
      </c>
      <c r="AD2582">
        <v>-1.1030727951069901</v>
      </c>
      <c r="AE2582">
        <v>2.0134899999999898</v>
      </c>
      <c r="AF2582">
        <v>-2.1802586654885601</v>
      </c>
      <c r="AG2582">
        <v>-1.1030727951069901</v>
      </c>
      <c r="AH2582">
        <v>13.8275714486676</v>
      </c>
      <c r="AI2582">
        <v>94.505591839123497</v>
      </c>
      <c r="AJ2582">
        <v>98.960327640198102</v>
      </c>
      <c r="AK2582">
        <v>14.041795811353699</v>
      </c>
    </row>
    <row r="2583" spans="1:37" x14ac:dyDescent="0.2">
      <c r="A2583" t="str">
        <f>"20200111150644031"</f>
        <v>20200111150644031</v>
      </c>
      <c r="B2583" t="str">
        <f>"1578726404028836"</f>
        <v>1578726404028836</v>
      </c>
      <c r="C2583" t="s">
        <v>37</v>
      </c>
      <c r="D2583">
        <v>5.2891349999999999</v>
      </c>
      <c r="E2583">
        <v>0.45615699999999998</v>
      </c>
      <c r="F2583" t="s">
        <v>103</v>
      </c>
      <c r="G2583">
        <v>-225.8613</v>
      </c>
      <c r="H2583" s="1">
        <v>-1.7052129999999999E-6</v>
      </c>
      <c r="I2583">
        <v>-60.710500000000003</v>
      </c>
      <c r="J2583">
        <v>-239.839</v>
      </c>
      <c r="K2583">
        <v>1.1030739999999899</v>
      </c>
      <c r="L2583">
        <v>-62.739899999999999</v>
      </c>
      <c r="M2583">
        <v>0.99984069999999903</v>
      </c>
      <c r="N2583">
        <v>0</v>
      </c>
      <c r="O2583">
        <v>-1.319744E-2</v>
      </c>
      <c r="P2583">
        <v>0.98723890000000003</v>
      </c>
      <c r="Q2583">
        <v>0.15582509999999999</v>
      </c>
      <c r="R2583">
        <v>3.2830369999999998E-2</v>
      </c>
      <c r="S2583">
        <v>3.0619509999999899</v>
      </c>
      <c r="T2583">
        <v>-0.2388284</v>
      </c>
      <c r="U2583">
        <v>0.43887330000000002</v>
      </c>
      <c r="V2583">
        <v>-4.5692480000000001E-2</v>
      </c>
      <c r="W2583">
        <v>0.1677102</v>
      </c>
      <c r="X2583">
        <v>0.98477689999999996</v>
      </c>
      <c r="Y2583">
        <v>-0.15443470000000001</v>
      </c>
      <c r="Z2583">
        <v>7.0061999999999998E-3</v>
      </c>
      <c r="AA2583">
        <v>0.98797819999999903</v>
      </c>
      <c r="AB2583">
        <v>30</v>
      </c>
      <c r="AC2583">
        <v>13.9777</v>
      </c>
      <c r="AD2583">
        <v>-1.10307570521299</v>
      </c>
      <c r="AE2583">
        <v>2.0293999999999901</v>
      </c>
      <c r="AF2583">
        <v>-2.2002862186312702</v>
      </c>
      <c r="AG2583">
        <v>-1.10307570521299</v>
      </c>
      <c r="AH2583">
        <v>13.865130180240699</v>
      </c>
      <c r="AI2583">
        <v>94.492746151749799</v>
      </c>
      <c r="AJ2583">
        <v>99.017193766594303</v>
      </c>
      <c r="AK2583">
        <v>14.081898677747599</v>
      </c>
    </row>
    <row r="2584" spans="1:37" x14ac:dyDescent="0.2">
      <c r="A2584" t="str">
        <f>"20200111150644044"</f>
        <v>20200111150644044</v>
      </c>
      <c r="B2584" t="str">
        <f>"1578726404039571"</f>
        <v>1578726404039571</v>
      </c>
      <c r="C2584" t="s">
        <v>37</v>
      </c>
      <c r="D2584">
        <v>5.1602230000000002</v>
      </c>
      <c r="E2584">
        <v>0.45616190000000001</v>
      </c>
      <c r="F2584" t="s">
        <v>103</v>
      </c>
      <c r="G2584">
        <v>-225.49879999999999</v>
      </c>
      <c r="H2584" s="1">
        <v>-1.539106E-6</v>
      </c>
      <c r="I2584">
        <v>-60.662969999999902</v>
      </c>
      <c r="J2584">
        <v>-239.68020000000001</v>
      </c>
      <c r="K2584">
        <v>1.1030759999999999</v>
      </c>
      <c r="L2584">
        <v>-62.742280000000001</v>
      </c>
      <c r="M2584">
        <v>0.99983739999999999</v>
      </c>
      <c r="N2584">
        <v>0</v>
      </c>
      <c r="O2584">
        <v>-1.345148E-2</v>
      </c>
      <c r="P2584">
        <v>0.98722369999999904</v>
      </c>
      <c r="Q2584">
        <v>0.15584879999999901</v>
      </c>
      <c r="R2584">
        <v>3.3175919999999998E-2</v>
      </c>
      <c r="S2584">
        <v>3.061188</v>
      </c>
      <c r="T2584">
        <v>-0.2354716</v>
      </c>
      <c r="U2584">
        <v>0.44335940000000001</v>
      </c>
      <c r="V2584">
        <v>-4.6288629999999997E-2</v>
      </c>
      <c r="W2584">
        <v>0.16773740000000001</v>
      </c>
      <c r="X2584">
        <v>0.98474439999999996</v>
      </c>
      <c r="Y2584">
        <v>-0.15614649999999999</v>
      </c>
      <c r="Z2584">
        <v>6.9938259999999999E-3</v>
      </c>
      <c r="AA2584">
        <v>0.98770919999999895</v>
      </c>
      <c r="AB2584">
        <v>30</v>
      </c>
      <c r="AC2584">
        <v>14.1814</v>
      </c>
      <c r="AD2584">
        <v>-1.1030775391059999</v>
      </c>
      <c r="AE2584">
        <v>2.0793100000000102</v>
      </c>
      <c r="AF2584">
        <v>-2.2565311566470898</v>
      </c>
      <c r="AG2584">
        <v>-1.1030775391059999</v>
      </c>
      <c r="AH2584">
        <v>14.0688163775996</v>
      </c>
      <c r="AI2584">
        <v>94.426802192086598</v>
      </c>
      <c r="AJ2584">
        <v>99.112196979741299</v>
      </c>
      <c r="AK2584">
        <v>14.2912668152552</v>
      </c>
    </row>
    <row r="2585" spans="1:37" x14ac:dyDescent="0.2">
      <c r="A2585" t="str">
        <f>"20200111150644056"</f>
        <v>20200111150644056</v>
      </c>
      <c r="B2585" t="str">
        <f>"1578726404049331"</f>
        <v>1578726404049331</v>
      </c>
      <c r="C2585" t="s">
        <v>37</v>
      </c>
      <c r="D2585">
        <v>5.1331519999999999</v>
      </c>
      <c r="E2585">
        <v>0.45620549999999999</v>
      </c>
      <c r="F2585" t="s">
        <v>103</v>
      </c>
      <c r="G2585">
        <v>-225.3117</v>
      </c>
      <c r="H2585" s="1">
        <v>-1.457298E-6</v>
      </c>
      <c r="I2585">
        <v>-60.655940000000001</v>
      </c>
      <c r="J2585">
        <v>-239.5264</v>
      </c>
      <c r="K2585">
        <v>1.1030770000000001</v>
      </c>
      <c r="L2585">
        <v>-62.744599999999998</v>
      </c>
      <c r="M2585">
        <v>0.99983409999999995</v>
      </c>
      <c r="N2585">
        <v>0</v>
      </c>
      <c r="O2585">
        <v>-1.3697549999999999E-2</v>
      </c>
      <c r="P2585">
        <v>0.98721170000000003</v>
      </c>
      <c r="Q2585">
        <v>0.1558803</v>
      </c>
      <c r="R2585">
        <v>3.3384610000000002E-2</v>
      </c>
      <c r="S2585">
        <v>3.060959</v>
      </c>
      <c r="T2585">
        <v>-0.23499120000000001</v>
      </c>
      <c r="U2585">
        <v>0.44445800000000002</v>
      </c>
      <c r="V2585">
        <v>-4.6740049999999998E-2</v>
      </c>
      <c r="W2585">
        <v>0.16777310000000001</v>
      </c>
      <c r="X2585">
        <v>0.98471699999999995</v>
      </c>
      <c r="Y2585">
        <v>-0.15674679999999999</v>
      </c>
      <c r="Z2585">
        <v>7.0215969999999897E-3</v>
      </c>
      <c r="AA2585">
        <v>0.98761390000000004</v>
      </c>
      <c r="AB2585">
        <v>30</v>
      </c>
      <c r="AC2585">
        <v>14.214699999999899</v>
      </c>
      <c r="AD2585">
        <v>-1.1030784572979999</v>
      </c>
      <c r="AE2585">
        <v>2.0886599999999902</v>
      </c>
      <c r="AF2585">
        <v>-2.2698048362725101</v>
      </c>
      <c r="AG2585">
        <v>-1.1030784572979999</v>
      </c>
      <c r="AH2585">
        <v>14.1016299868049</v>
      </c>
      <c r="AI2585">
        <v>94.416154364860105</v>
      </c>
      <c r="AJ2585">
        <v>99.143925507505401</v>
      </c>
      <c r="AK2585">
        <v>14.325668024998899</v>
      </c>
    </row>
    <row r="2586" spans="1:37" x14ac:dyDescent="0.2">
      <c r="A2586" t="str">
        <f>"20200111150644067"</f>
        <v>20200111150644067</v>
      </c>
      <c r="B2586" t="str">
        <f>"1578726404059091"</f>
        <v>1578726404059091</v>
      </c>
      <c r="C2586" t="s">
        <v>37</v>
      </c>
      <c r="D2586">
        <v>5.1840510000000002</v>
      </c>
      <c r="E2586">
        <v>0.45621089999999997</v>
      </c>
      <c r="F2586" t="s">
        <v>103</v>
      </c>
      <c r="G2586">
        <v>-225.19810000000001</v>
      </c>
      <c r="H2586" s="1">
        <v>-1.410121E-6</v>
      </c>
      <c r="I2586">
        <v>-60.66301</v>
      </c>
      <c r="J2586">
        <v>-239.35740000000001</v>
      </c>
      <c r="K2586">
        <v>1.1030759999999999</v>
      </c>
      <c r="L2586">
        <v>-62.747190000000003</v>
      </c>
      <c r="M2586">
        <v>0.9998302</v>
      </c>
      <c r="N2586">
        <v>0</v>
      </c>
      <c r="O2586">
        <v>-1.396843E-2</v>
      </c>
      <c r="P2586">
        <v>0.98712619999999895</v>
      </c>
      <c r="Q2586">
        <v>0.1563649</v>
      </c>
      <c r="R2586">
        <v>3.365075E-2</v>
      </c>
      <c r="S2586">
        <v>3.061035</v>
      </c>
      <c r="T2586">
        <v>-0.23565720000000001</v>
      </c>
      <c r="U2586">
        <v>0.44470209999999999</v>
      </c>
      <c r="V2586">
        <v>-4.7271800000000003E-2</v>
      </c>
      <c r="W2586">
        <v>0.16826289999999999</v>
      </c>
      <c r="X2586">
        <v>0.98460809999999999</v>
      </c>
      <c r="Y2586">
        <v>-0.15708339999999901</v>
      </c>
      <c r="Z2586">
        <v>7.074823E-3</v>
      </c>
      <c r="AA2586">
        <v>0.98755999999999999</v>
      </c>
      <c r="AB2586">
        <v>30</v>
      </c>
      <c r="AC2586">
        <v>14.1593</v>
      </c>
      <c r="AD2586">
        <v>-1.1030774101209999</v>
      </c>
      <c r="AE2586">
        <v>2.0841799999999999</v>
      </c>
      <c r="AF2586">
        <v>-2.2682993911704998</v>
      </c>
      <c r="AG2586">
        <v>-1.1030774101209999</v>
      </c>
      <c r="AH2586">
        <v>14.0453677508239</v>
      </c>
      <c r="AI2586">
        <v>94.433396739427906</v>
      </c>
      <c r="AJ2586">
        <v>99.173946353016902</v>
      </c>
      <c r="AK2586">
        <v>14.2700496550148</v>
      </c>
    </row>
    <row r="2587" spans="1:37" x14ac:dyDescent="0.2">
      <c r="A2587" t="str">
        <f>"20200111150644078"</f>
        <v>20200111150644078</v>
      </c>
      <c r="B2587" t="str">
        <f>"1578726404068851"</f>
        <v>1578726404068851</v>
      </c>
      <c r="C2587" t="s">
        <v>37</v>
      </c>
      <c r="D2587">
        <v>5.1534089999999999</v>
      </c>
      <c r="E2587">
        <v>0.45624379999999998</v>
      </c>
      <c r="F2587" t="s">
        <v>103</v>
      </c>
      <c r="G2587">
        <v>-225.0153</v>
      </c>
      <c r="H2587" s="1">
        <v>-1.331274E-6</v>
      </c>
      <c r="I2587">
        <v>-60.661029999999997</v>
      </c>
      <c r="J2587">
        <v>-239.2064</v>
      </c>
      <c r="K2587">
        <v>1.103078</v>
      </c>
      <c r="L2587">
        <v>-62.749540000000003</v>
      </c>
      <c r="M2587">
        <v>0.99982680000000002</v>
      </c>
      <c r="N2587">
        <v>0</v>
      </c>
      <c r="O2587">
        <v>-1.4210469999999999E-2</v>
      </c>
      <c r="P2587">
        <v>0.98711530000000003</v>
      </c>
      <c r="Q2587">
        <v>0.15629709999999999</v>
      </c>
      <c r="R2587">
        <v>3.4279730000000001E-2</v>
      </c>
      <c r="S2587">
        <v>3.0612490000000001</v>
      </c>
      <c r="T2587">
        <v>-0.23544619999999999</v>
      </c>
      <c r="U2587">
        <v>0.44528199999999901</v>
      </c>
      <c r="V2587">
        <v>-4.8138979999999998E-2</v>
      </c>
      <c r="W2587">
        <v>0.1682023</v>
      </c>
      <c r="X2587">
        <v>0.98457629999999996</v>
      </c>
      <c r="Y2587">
        <v>-0.15749489999999999</v>
      </c>
      <c r="Z2587">
        <v>7.1021449999999998E-3</v>
      </c>
      <c r="AA2587">
        <v>0.98749419999999899</v>
      </c>
      <c r="AB2587">
        <v>30</v>
      </c>
      <c r="AC2587">
        <v>14.1911</v>
      </c>
      <c r="AD2587">
        <v>-1.1030793312739999</v>
      </c>
      <c r="AE2587">
        <v>2.0885099999999901</v>
      </c>
      <c r="AF2587">
        <v>-2.2765127390101201</v>
      </c>
      <c r="AG2587">
        <v>-1.1030793312739999</v>
      </c>
      <c r="AH2587">
        <v>14.0767373303103</v>
      </c>
      <c r="AI2587">
        <v>94.423408836944105</v>
      </c>
      <c r="AJ2587">
        <v>99.186430268840098</v>
      </c>
      <c r="AK2587">
        <v>14.3022315786212</v>
      </c>
    </row>
    <row r="2588" spans="1:37" x14ac:dyDescent="0.2">
      <c r="A2588" t="str">
        <f>"20200111150644095"</f>
        <v>20200111150644095</v>
      </c>
      <c r="B2588" t="str">
        <f>"1578726404089350"</f>
        <v>1578726404089350</v>
      </c>
      <c r="C2588" t="s">
        <v>37</v>
      </c>
      <c r="D2588">
        <v>5.1025960000000001</v>
      </c>
      <c r="E2588">
        <v>0.45637029999999901</v>
      </c>
      <c r="F2588" t="s">
        <v>103</v>
      </c>
      <c r="G2588">
        <v>-224.8073</v>
      </c>
      <c r="H2588" s="1">
        <v>-1.239149E-6</v>
      </c>
      <c r="I2588">
        <v>-60.648139999999998</v>
      </c>
      <c r="J2588">
        <v>-238.99459999999999</v>
      </c>
      <c r="K2588">
        <v>1.1030770000000001</v>
      </c>
      <c r="L2588">
        <v>-62.752929999999999</v>
      </c>
      <c r="M2588">
        <v>0.99982169999999904</v>
      </c>
      <c r="N2588">
        <v>0</v>
      </c>
      <c r="O2588">
        <v>-1.4550159999999999E-2</v>
      </c>
      <c r="P2588">
        <v>0.98704239999999999</v>
      </c>
      <c r="Q2588">
        <v>0.15651779999999901</v>
      </c>
      <c r="R2588">
        <v>3.5349980000000003E-2</v>
      </c>
      <c r="S2588">
        <v>3.0607599999999899</v>
      </c>
      <c r="T2588">
        <v>-0.23447649999999901</v>
      </c>
      <c r="U2588">
        <v>0.44668580000000002</v>
      </c>
      <c r="V2588">
        <v>-4.9543040000000003E-2</v>
      </c>
      <c r="W2588">
        <v>0.16843359999999999</v>
      </c>
      <c r="X2588">
        <v>0.98446710000000004</v>
      </c>
      <c r="Y2588">
        <v>-0.15829699999999999</v>
      </c>
      <c r="Z2588">
        <v>7.1302409999999998E-3</v>
      </c>
      <c r="AA2588">
        <v>0.98736579999999996</v>
      </c>
      <c r="AB2588">
        <v>30</v>
      </c>
      <c r="AC2588">
        <v>14.187299999999899</v>
      </c>
      <c r="AD2588">
        <v>-1.1030782391489999</v>
      </c>
      <c r="AE2588">
        <v>2.1047899999999999</v>
      </c>
      <c r="AF2588">
        <v>-2.2974202512355402</v>
      </c>
      <c r="AG2588">
        <v>-1.1030782391489999</v>
      </c>
      <c r="AH2588">
        <v>14.071934555450101</v>
      </c>
      <c r="AI2588">
        <v>94.423833148079396</v>
      </c>
      <c r="AJ2588">
        <v>99.272449280747793</v>
      </c>
      <c r="AK2588">
        <v>14.300848350547</v>
      </c>
    </row>
    <row r="2589" spans="1:37" x14ac:dyDescent="0.2">
      <c r="A2589" t="str">
        <f>"20200111150644105"</f>
        <v>20200111150644105</v>
      </c>
      <c r="B2589" t="str">
        <f>"1578726404099107"</f>
        <v>1578726404099107</v>
      </c>
      <c r="C2589" t="s">
        <v>37</v>
      </c>
      <c r="D2589">
        <v>5.1099220000000001</v>
      </c>
      <c r="E2589">
        <v>0.45647559999999898</v>
      </c>
      <c r="F2589" t="s">
        <v>103</v>
      </c>
      <c r="G2589">
        <v>-224.75899999999999</v>
      </c>
      <c r="H2589" s="1">
        <v>-1.2221529999999899E-6</v>
      </c>
      <c r="I2589">
        <v>-60.664709999999999</v>
      </c>
      <c r="J2589">
        <v>-238.8432</v>
      </c>
      <c r="K2589">
        <v>1.1030789999999999</v>
      </c>
      <c r="L2589">
        <v>-62.755400000000002</v>
      </c>
      <c r="M2589">
        <v>0.99981810000000004</v>
      </c>
      <c r="N2589">
        <v>0</v>
      </c>
      <c r="O2589">
        <v>-1.479257E-2</v>
      </c>
      <c r="P2589">
        <v>0.98702630000000002</v>
      </c>
      <c r="Q2589">
        <v>0.15668289999999899</v>
      </c>
      <c r="R2589">
        <v>3.5069080000000002E-2</v>
      </c>
      <c r="S2589">
        <v>3.0608979999999999</v>
      </c>
      <c r="T2589">
        <v>-0.23718209999999901</v>
      </c>
      <c r="U2589">
        <v>0.44900509999999899</v>
      </c>
      <c r="V2589">
        <v>-4.949978E-2</v>
      </c>
      <c r="W2589">
        <v>0.16860559999999999</v>
      </c>
      <c r="X2589">
        <v>0.98443989999999904</v>
      </c>
      <c r="Y2589">
        <v>-0.15924749999999999</v>
      </c>
      <c r="Z2589">
        <v>7.2668100000000003E-3</v>
      </c>
      <c r="AA2589">
        <v>0.98721190000000003</v>
      </c>
      <c r="AB2589">
        <v>30</v>
      </c>
      <c r="AC2589">
        <v>14.0841999999999</v>
      </c>
      <c r="AD2589">
        <v>-1.1030802221529901</v>
      </c>
      <c r="AE2589">
        <v>2.0906899999999999</v>
      </c>
      <c r="AF2589">
        <v>-2.2851030167898201</v>
      </c>
      <c r="AG2589">
        <v>-1.1030802221529901</v>
      </c>
      <c r="AH2589">
        <v>13.967896813468499</v>
      </c>
      <c r="AI2589">
        <v>94.456422986296005</v>
      </c>
      <c r="AJ2589">
        <v>99.291100054252794</v>
      </c>
      <c r="AK2589">
        <v>14.1965003844451</v>
      </c>
    </row>
    <row r="2590" spans="1:37" x14ac:dyDescent="0.2">
      <c r="A2590" t="str">
        <f>"20200111150644117"</f>
        <v>20200111150644117</v>
      </c>
      <c r="B2590" t="str">
        <f>"1578726404108867"</f>
        <v>1578726404108867</v>
      </c>
      <c r="C2590" t="s">
        <v>37</v>
      </c>
      <c r="D2590">
        <v>5.0934080000000002</v>
      </c>
      <c r="E2590">
        <v>0.456545799999999</v>
      </c>
      <c r="F2590" t="s">
        <v>103</v>
      </c>
      <c r="G2590">
        <v>-224.59139999999999</v>
      </c>
      <c r="H2590" s="1">
        <v>-1.151374E-6</v>
      </c>
      <c r="I2590">
        <v>-60.669780000000003</v>
      </c>
      <c r="J2590">
        <v>-238.69</v>
      </c>
      <c r="K2590">
        <v>1.1030819999999999</v>
      </c>
      <c r="L2590">
        <v>-62.757899999999999</v>
      </c>
      <c r="M2590">
        <v>0.99981430000000004</v>
      </c>
      <c r="N2590">
        <v>0</v>
      </c>
      <c r="O2590">
        <v>-1.503782E-2</v>
      </c>
      <c r="P2590">
        <v>0.98702330000000005</v>
      </c>
      <c r="Q2590">
        <v>0.15676770000000001</v>
      </c>
      <c r="R2590">
        <v>3.4772669999999999E-2</v>
      </c>
      <c r="S2590">
        <v>3.0611269999999999</v>
      </c>
      <c r="T2590">
        <v>-0.236928899999999</v>
      </c>
      <c r="U2590">
        <v>0.44796750000000002</v>
      </c>
      <c r="V2590">
        <v>-4.944548E-2</v>
      </c>
      <c r="W2590">
        <v>0.16869719999999999</v>
      </c>
      <c r="X2590">
        <v>0.98442689999999999</v>
      </c>
      <c r="Y2590">
        <v>-0.15915219999999999</v>
      </c>
      <c r="Z2590">
        <v>7.2739149999999997E-3</v>
      </c>
      <c r="AA2590">
        <v>0.98722730000000003</v>
      </c>
      <c r="AB2590">
        <v>30</v>
      </c>
      <c r="AC2590">
        <v>14.098599999999999</v>
      </c>
      <c r="AD2590">
        <v>-1.10308315137399</v>
      </c>
      <c r="AE2590">
        <v>2.0881199999999902</v>
      </c>
      <c r="AF2590">
        <v>-2.2862165808301298</v>
      </c>
      <c r="AG2590">
        <v>-1.10308315137399</v>
      </c>
      <c r="AH2590">
        <v>13.981848557269</v>
      </c>
      <c r="AI2590">
        <v>94.452064869256304</v>
      </c>
      <c r="AJ2590">
        <v>99.286434865201898</v>
      </c>
      <c r="AK2590">
        <v>14.210407023435801</v>
      </c>
    </row>
    <row r="2591" spans="1:37" x14ac:dyDescent="0.2">
      <c r="A2591" t="str">
        <f>"20200111150644131"</f>
        <v>20200111150644131</v>
      </c>
      <c r="B2591" t="str">
        <f>"1578726404119603"</f>
        <v>1578726404119603</v>
      </c>
      <c r="C2591" t="s">
        <v>37</v>
      </c>
      <c r="D2591">
        <v>5.096247</v>
      </c>
      <c r="E2591">
        <v>0.45664759999999999</v>
      </c>
      <c r="F2591" t="s">
        <v>103</v>
      </c>
      <c r="G2591">
        <v>-224.46690000000001</v>
      </c>
      <c r="H2591" s="1">
        <v>-1.100168E-6</v>
      </c>
      <c r="I2591">
        <v>-60.679789999999997</v>
      </c>
      <c r="J2591">
        <v>-238.5087</v>
      </c>
      <c r="K2591">
        <v>1.1030879999999901</v>
      </c>
      <c r="L2591">
        <v>-62.760959999999997</v>
      </c>
      <c r="M2591">
        <v>0.99980979999999997</v>
      </c>
      <c r="N2591">
        <v>0</v>
      </c>
      <c r="O2591">
        <v>-1.532767E-2</v>
      </c>
      <c r="P2591">
        <v>0.98700030000000005</v>
      </c>
      <c r="Q2591">
        <v>0.1570579</v>
      </c>
      <c r="R2591">
        <v>3.4104490000000001E-2</v>
      </c>
      <c r="S2591">
        <v>3.061401</v>
      </c>
      <c r="T2591">
        <v>-0.23742929999999901</v>
      </c>
      <c r="U2591">
        <v>0.44729609999999898</v>
      </c>
      <c r="V2591">
        <v>-4.9062719999999997E-2</v>
      </c>
      <c r="W2591">
        <v>0.1689947</v>
      </c>
      <c r="X2591">
        <v>0.98439500000000002</v>
      </c>
      <c r="Y2591">
        <v>-0.15921060000000001</v>
      </c>
      <c r="Z2591">
        <v>7.31329099999999E-3</v>
      </c>
      <c r="AA2591">
        <v>0.98721749999999997</v>
      </c>
      <c r="AB2591">
        <v>30</v>
      </c>
      <c r="AC2591">
        <v>14.041799999999901</v>
      </c>
      <c r="AD2591">
        <v>-1.1030891001680001</v>
      </c>
      <c r="AE2591">
        <v>2.08116999999999</v>
      </c>
      <c r="AF2591">
        <v>-2.28238670584363</v>
      </c>
      <c r="AG2591">
        <v>-1.1030891001680001</v>
      </c>
      <c r="AH2591">
        <v>13.92416543237</v>
      </c>
      <c r="AI2591">
        <v>94.470172079474807</v>
      </c>
      <c r="AJ2591">
        <v>99.308884827400604</v>
      </c>
      <c r="AK2591">
        <v>14.153037752579101</v>
      </c>
    </row>
    <row r="2592" spans="1:37" x14ac:dyDescent="0.2">
      <c r="A2592" t="str">
        <f>"20200111150644150"</f>
        <v>20200111150644150</v>
      </c>
      <c r="B2592" t="str">
        <f>"1578726404139123"</f>
        <v>1578726404139123</v>
      </c>
      <c r="C2592" t="s">
        <v>37</v>
      </c>
      <c r="D2592">
        <v>5.0514159999999997</v>
      </c>
      <c r="E2592">
        <v>0.45679730000000002</v>
      </c>
      <c r="F2592" t="s">
        <v>103</v>
      </c>
      <c r="G2592">
        <v>-224.309</v>
      </c>
      <c r="H2592" s="1">
        <v>-1.036663E-6</v>
      </c>
      <c r="I2592">
        <v>-60.698830000000001</v>
      </c>
      <c r="J2592">
        <v>-238.25380000000001</v>
      </c>
      <c r="K2592">
        <v>1.103091</v>
      </c>
      <c r="L2592">
        <v>-62.765319999999903</v>
      </c>
      <c r="M2592">
        <v>0.99980340000000001</v>
      </c>
      <c r="N2592">
        <v>0</v>
      </c>
      <c r="O2592">
        <v>-1.573565E-2</v>
      </c>
      <c r="P2592">
        <v>0.98691700000000004</v>
      </c>
      <c r="Q2592">
        <v>0.15769549999999999</v>
      </c>
      <c r="R2592">
        <v>3.3575870000000001E-2</v>
      </c>
      <c r="S2592">
        <v>3.0619959999999899</v>
      </c>
      <c r="T2592">
        <v>-0.2378672</v>
      </c>
      <c r="U2592">
        <v>0.444671599999999</v>
      </c>
      <c r="V2592">
        <v>-4.8934690000000003E-2</v>
      </c>
      <c r="W2592">
        <v>0.1696414</v>
      </c>
      <c r="X2592">
        <v>0.9842902</v>
      </c>
      <c r="Y2592">
        <v>-0.1587557</v>
      </c>
      <c r="Z2592">
        <v>7.33973E-3</v>
      </c>
      <c r="AA2592">
        <v>0.98729059999999902</v>
      </c>
      <c r="AB2592">
        <v>30</v>
      </c>
      <c r="AC2592">
        <v>13.944799999999899</v>
      </c>
      <c r="AD2592">
        <v>-1.1030920366629999</v>
      </c>
      <c r="AE2592">
        <v>2.06648999999998</v>
      </c>
      <c r="AF2592">
        <v>-2.2717704989130101</v>
      </c>
      <c r="AG2592">
        <v>-1.1030920366629999</v>
      </c>
      <c r="AH2592">
        <v>13.825897194537101</v>
      </c>
      <c r="AI2592">
        <v>94.501541269069605</v>
      </c>
      <c r="AJ2592">
        <v>99.331045173550905</v>
      </c>
      <c r="AK2592">
        <v>14.0546499947523</v>
      </c>
    </row>
    <row r="2593" spans="1:37" x14ac:dyDescent="0.2">
      <c r="A2593" t="str">
        <f>"20200111150644164"</f>
        <v>20200111150644164</v>
      </c>
      <c r="B2593" t="str">
        <f>"1578726404159619"</f>
        <v>1578726404159619</v>
      </c>
      <c r="C2593" t="s">
        <v>37</v>
      </c>
      <c r="D2593">
        <v>4.5153449999999999</v>
      </c>
      <c r="E2593">
        <v>0.40127889999999999</v>
      </c>
      <c r="F2593" t="s">
        <v>103</v>
      </c>
      <c r="G2593">
        <v>-224.13839999999999</v>
      </c>
      <c r="H2593" s="1">
        <v>-9.711638000000001E-7</v>
      </c>
      <c r="I2593">
        <v>-60.733280000000001</v>
      </c>
      <c r="J2593">
        <v>-238.0735</v>
      </c>
      <c r="K2593">
        <v>1.1030949999999999</v>
      </c>
      <c r="L2593">
        <v>-62.768459999999997</v>
      </c>
      <c r="M2593">
        <v>0.99979869999999904</v>
      </c>
      <c r="N2593">
        <v>0</v>
      </c>
      <c r="O2593">
        <v>-1.602464E-2</v>
      </c>
      <c r="P2593">
        <v>0.98690330000000004</v>
      </c>
      <c r="Q2593">
        <v>0.1578455</v>
      </c>
      <c r="R2593">
        <v>3.3266589999999999E-2</v>
      </c>
      <c r="S2593">
        <v>3.0630039999999998</v>
      </c>
      <c r="T2593">
        <v>-0.2393682</v>
      </c>
      <c r="U2593">
        <v>0.44094849999999902</v>
      </c>
      <c r="V2593">
        <v>-4.891036E-2</v>
      </c>
      <c r="W2593">
        <v>0.1697979</v>
      </c>
      <c r="X2593">
        <v>0.98426440000000004</v>
      </c>
      <c r="Y2593">
        <v>-0.15781500000000001</v>
      </c>
      <c r="Z2593">
        <v>7.3700759999999997E-3</v>
      </c>
      <c r="AA2593">
        <v>0.98744120000000002</v>
      </c>
      <c r="AB2593">
        <v>30</v>
      </c>
      <c r="AC2593">
        <v>13.9351</v>
      </c>
      <c r="AD2593">
        <v>-1.1030959711638</v>
      </c>
      <c r="AE2593">
        <v>2.03517999999998</v>
      </c>
      <c r="AF2593">
        <v>-2.24446923821302</v>
      </c>
      <c r="AG2593">
        <v>-1.1030959711638</v>
      </c>
      <c r="AH2593">
        <v>13.815929253392801</v>
      </c>
      <c r="AI2593">
        <v>94.506118009087999</v>
      </c>
      <c r="AJ2593">
        <v>99.227384152240305</v>
      </c>
      <c r="AK2593">
        <v>14.0404545516745</v>
      </c>
    </row>
    <row r="2594" spans="1:37" x14ac:dyDescent="0.2">
      <c r="A2594" t="str">
        <f>"20200111150644176"</f>
        <v>20200111150644176</v>
      </c>
      <c r="B2594" t="str">
        <f>"1578726404169379"</f>
        <v>1578726404169379</v>
      </c>
      <c r="C2594" t="s">
        <v>37</v>
      </c>
      <c r="D2594">
        <v>5.0758900000000002</v>
      </c>
      <c r="E2594">
        <v>0.40127889999999999</v>
      </c>
      <c r="F2594" t="s">
        <v>76</v>
      </c>
      <c r="G2594">
        <v>-157.9383</v>
      </c>
      <c r="H2594">
        <v>25.89133</v>
      </c>
      <c r="I2594">
        <v>-37.919559999999997</v>
      </c>
      <c r="J2594">
        <v>-237.9058</v>
      </c>
      <c r="K2594">
        <v>1.103097</v>
      </c>
      <c r="L2594">
        <v>-62.771450000000002</v>
      </c>
      <c r="M2594">
        <v>0.99979419999999897</v>
      </c>
      <c r="N2594">
        <v>0</v>
      </c>
      <c r="O2594">
        <v>-1.6293479999999999E-2</v>
      </c>
      <c r="P2594">
        <v>0.98692489999999999</v>
      </c>
      <c r="Q2594">
        <v>0.15782839999999901</v>
      </c>
      <c r="R2594">
        <v>3.2704820000000003E-2</v>
      </c>
      <c r="S2594">
        <v>2.86795</v>
      </c>
      <c r="T2594">
        <v>0.88714099999999996</v>
      </c>
      <c r="U2594">
        <v>0.88931269999999996</v>
      </c>
      <c r="V2594">
        <v>-4.8614280000000003E-2</v>
      </c>
      <c r="W2594">
        <v>0.16978750000000001</v>
      </c>
      <c r="X2594">
        <v>0.98428090000000001</v>
      </c>
      <c r="Y2594">
        <v>-0.29824020000000001</v>
      </c>
      <c r="Z2594">
        <v>-4.8926879999999999E-2</v>
      </c>
      <c r="AA2594">
        <v>0.95323599999999997</v>
      </c>
      <c r="AB2594">
        <v>30</v>
      </c>
      <c r="AC2594">
        <v>79.967500000000001</v>
      </c>
      <c r="AD2594">
        <v>24.788232999999899</v>
      </c>
      <c r="AE2594">
        <v>24.851890000000001</v>
      </c>
      <c r="AF2594">
        <v>-24.044737035310099</v>
      </c>
      <c r="AG2594">
        <v>24.788232999999899</v>
      </c>
      <c r="AH2594">
        <v>73.142855596755098</v>
      </c>
      <c r="AI2594">
        <v>72.153957691623205</v>
      </c>
      <c r="AJ2594">
        <v>108.19758915826399</v>
      </c>
      <c r="AK2594">
        <v>80.885617999785794</v>
      </c>
    </row>
    <row r="2595" spans="1:37" x14ac:dyDescent="0.2">
      <c r="A2595" t="str">
        <f>"20200111150644187"</f>
        <v>20200111150644187</v>
      </c>
      <c r="B2595" t="str">
        <f>"1578726404179139"</f>
        <v>1578726404179139</v>
      </c>
      <c r="C2595" t="s">
        <v>37</v>
      </c>
      <c r="D2595">
        <v>4.8487660000000004</v>
      </c>
      <c r="E2595">
        <v>0.46651290000000001</v>
      </c>
      <c r="F2595" t="s">
        <v>76</v>
      </c>
      <c r="G2595">
        <v>-157.71299999999999</v>
      </c>
      <c r="H2595">
        <v>25.903589999999902</v>
      </c>
      <c r="I2595">
        <v>-37.955309999999997</v>
      </c>
      <c r="J2595">
        <v>-237.74</v>
      </c>
      <c r="K2595">
        <v>1.1030979999999999</v>
      </c>
      <c r="L2595">
        <v>-62.774409999999897</v>
      </c>
      <c r="M2595">
        <v>0.99978979999999995</v>
      </c>
      <c r="N2595">
        <v>0</v>
      </c>
      <c r="O2595">
        <v>-1.6559330000000001E-2</v>
      </c>
      <c r="P2595">
        <v>0.98691849999999903</v>
      </c>
      <c r="Q2595">
        <v>0.15795919999999999</v>
      </c>
      <c r="R2595">
        <v>3.2258090000000003E-2</v>
      </c>
      <c r="S2595">
        <v>2.8684689999999899</v>
      </c>
      <c r="T2595">
        <v>0.88710440000000002</v>
      </c>
      <c r="U2595">
        <v>0.88766480000000003</v>
      </c>
      <c r="V2595">
        <v>-4.8430090000000002E-2</v>
      </c>
      <c r="W2595">
        <v>0.1699233</v>
      </c>
      <c r="X2595">
        <v>0.98426650000000004</v>
      </c>
      <c r="Y2595">
        <v>-0.2979482</v>
      </c>
      <c r="Z2595">
        <v>-4.8956180000000002E-2</v>
      </c>
      <c r="AA2595">
        <v>0.95332589999999995</v>
      </c>
      <c r="AB2595">
        <v>30</v>
      </c>
      <c r="AC2595">
        <v>80.027000000000001</v>
      </c>
      <c r="AD2595">
        <v>24.800491999999998</v>
      </c>
      <c r="AE2595">
        <v>24.819099999999999</v>
      </c>
      <c r="AF2595">
        <v>-24.035210053013699</v>
      </c>
      <c r="AG2595">
        <v>24.800491999999998</v>
      </c>
      <c r="AH2595">
        <v>73.192458253742998</v>
      </c>
      <c r="AI2595">
        <v>72.155275357449099</v>
      </c>
      <c r="AJ2595">
        <v>108.179337029273</v>
      </c>
      <c r="AK2595">
        <v>80.931401019384793</v>
      </c>
    </row>
    <row r="2596" spans="1:37" x14ac:dyDescent="0.2">
      <c r="A2596" t="str">
        <f>"20200111150644199"</f>
        <v>20200111150644199</v>
      </c>
      <c r="B2596" t="str">
        <f>"1578726404188899"</f>
        <v>1578726404188899</v>
      </c>
      <c r="C2596" t="s">
        <v>37</v>
      </c>
      <c r="D2596">
        <v>5.0576790000000003</v>
      </c>
      <c r="E2596">
        <v>0.46434350000000002</v>
      </c>
      <c r="F2596" t="s">
        <v>103</v>
      </c>
      <c r="G2596">
        <v>-226.9597</v>
      </c>
      <c r="H2596" s="1">
        <v>-2.3558930000000002E-6</v>
      </c>
      <c r="I2596">
        <v>-61.517650000000003</v>
      </c>
      <c r="J2596">
        <v>-237.58529999999999</v>
      </c>
      <c r="K2596">
        <v>1.1031029999999999</v>
      </c>
      <c r="L2596">
        <v>-62.777250000000002</v>
      </c>
      <c r="M2596">
        <v>0.99978559999999905</v>
      </c>
      <c r="N2596">
        <v>0</v>
      </c>
      <c r="O2596">
        <v>-1.6807539999999999E-2</v>
      </c>
      <c r="P2596">
        <v>0.98688750000000003</v>
      </c>
      <c r="Q2596">
        <v>0.15822239999999901</v>
      </c>
      <c r="R2596">
        <v>3.1920200000000003E-2</v>
      </c>
      <c r="S2596">
        <v>3.0784609999999999</v>
      </c>
      <c r="T2596">
        <v>-0.31500529999999999</v>
      </c>
      <c r="U2596">
        <v>0.3588867</v>
      </c>
      <c r="V2596">
        <v>-4.8336789999999998E-2</v>
      </c>
      <c r="W2596">
        <v>0.17019119999999999</v>
      </c>
      <c r="X2596">
        <v>0.98422489999999996</v>
      </c>
      <c r="Y2596">
        <v>-0.13170960000000001</v>
      </c>
      <c r="Z2596">
        <v>8.4086739999999997E-3</v>
      </c>
      <c r="AA2596">
        <v>0.99125269999999999</v>
      </c>
      <c r="AB2596">
        <v>30</v>
      </c>
      <c r="AC2596">
        <v>10.625599999999899</v>
      </c>
      <c r="AD2596">
        <v>-1.103105355893</v>
      </c>
      <c r="AE2596">
        <v>1.2595999999999901</v>
      </c>
      <c r="AF2596">
        <v>-1.42290217889475</v>
      </c>
      <c r="AG2596">
        <v>-1.103105355893</v>
      </c>
      <c r="AH2596">
        <v>10.491419854059</v>
      </c>
      <c r="AI2596">
        <v>95.948168242199699</v>
      </c>
      <c r="AJ2596">
        <v>97.723631784880894</v>
      </c>
      <c r="AK2596">
        <v>10.644781941921</v>
      </c>
    </row>
    <row r="2597" spans="1:37" x14ac:dyDescent="0.2">
      <c r="A2597" t="str">
        <f>"20200111150644213"</f>
        <v>20200111150644213</v>
      </c>
      <c r="B2597" t="str">
        <f>"1578726404209395"</f>
        <v>1578726404209395</v>
      </c>
      <c r="C2597" t="s">
        <v>37</v>
      </c>
      <c r="D2597">
        <v>5.1416180000000002</v>
      </c>
      <c r="E2597">
        <v>0.43647059999999999</v>
      </c>
      <c r="F2597" t="s">
        <v>103</v>
      </c>
      <c r="G2597">
        <v>-225.79320000000001</v>
      </c>
      <c r="H2597" s="1">
        <v>-1.815506E-6</v>
      </c>
      <c r="I2597">
        <v>-61.337940000000003</v>
      </c>
      <c r="J2597">
        <v>-237.4178</v>
      </c>
      <c r="K2597">
        <v>1.103105</v>
      </c>
      <c r="L2597">
        <v>-62.780329999999999</v>
      </c>
      <c r="M2597">
        <v>0.99978099999999903</v>
      </c>
      <c r="N2597">
        <v>0</v>
      </c>
      <c r="O2597">
        <v>-1.7076020000000001E-2</v>
      </c>
      <c r="P2597">
        <v>0.98688750000000003</v>
      </c>
      <c r="Q2597">
        <v>0.15830139999999901</v>
      </c>
      <c r="R2597">
        <v>3.1524419999999997E-2</v>
      </c>
      <c r="S2597">
        <v>3.0738219999999998</v>
      </c>
      <c r="T2597">
        <v>-0.2875434</v>
      </c>
      <c r="U2597">
        <v>0.37518309999999999</v>
      </c>
      <c r="V2597">
        <v>-4.8206069999999997E-2</v>
      </c>
      <c r="W2597">
        <v>0.170274799999999</v>
      </c>
      <c r="X2597">
        <v>0.98421669999999895</v>
      </c>
      <c r="Y2597">
        <v>-0.1374272</v>
      </c>
      <c r="Z2597">
        <v>7.9788410000000004E-3</v>
      </c>
      <c r="AA2597">
        <v>0.99047980000000002</v>
      </c>
      <c r="AB2597">
        <v>30</v>
      </c>
      <c r="AC2597">
        <v>11.6245999999999</v>
      </c>
      <c r="AD2597">
        <v>-1.103106815506</v>
      </c>
      <c r="AE2597">
        <v>1.4423900000000001</v>
      </c>
      <c r="AF2597">
        <v>-1.62627369942143</v>
      </c>
      <c r="AG2597">
        <v>-1.103106815506</v>
      </c>
      <c r="AH2597">
        <v>11.496319162940599</v>
      </c>
      <c r="AI2597">
        <v>95.427218860269804</v>
      </c>
      <c r="AJ2597">
        <v>98.051659127096897</v>
      </c>
      <c r="AK2597">
        <v>11.6630598510014</v>
      </c>
    </row>
    <row r="2598" spans="1:37" x14ac:dyDescent="0.2">
      <c r="A2598" t="str">
        <f>"20200111150644225"</f>
        <v>20200111150644225</v>
      </c>
      <c r="B2598" t="str">
        <f>"1578726404219155"</f>
        <v>1578726404219155</v>
      </c>
      <c r="C2598" t="s">
        <v>37</v>
      </c>
      <c r="D2598">
        <v>5.0184759999999997</v>
      </c>
      <c r="E2598">
        <v>0.43647059999999999</v>
      </c>
      <c r="F2598" t="s">
        <v>76</v>
      </c>
      <c r="G2598">
        <v>-157.3501</v>
      </c>
      <c r="H2598">
        <v>25.83222</v>
      </c>
      <c r="I2598">
        <v>-45.989409999999999</v>
      </c>
      <c r="J2598">
        <v>-237.23939999999999</v>
      </c>
      <c r="K2598">
        <v>1.103108</v>
      </c>
      <c r="L2598">
        <v>-62.783719999999903</v>
      </c>
      <c r="M2598">
        <v>0.999776</v>
      </c>
      <c r="N2598">
        <v>0</v>
      </c>
      <c r="O2598">
        <v>-1.7361540000000002E-2</v>
      </c>
      <c r="P2598">
        <v>0.98686859999999998</v>
      </c>
      <c r="Q2598">
        <v>0.15843689999999999</v>
      </c>
      <c r="R2598">
        <v>3.1435780000000003E-2</v>
      </c>
      <c r="S2598">
        <v>2.8780209999999999</v>
      </c>
      <c r="T2598">
        <v>0.88888250000000002</v>
      </c>
      <c r="U2598">
        <v>0.60354609999999997</v>
      </c>
      <c r="V2598">
        <v>-4.8398219999999999E-2</v>
      </c>
      <c r="W2598">
        <v>0.17041579999999901</v>
      </c>
      <c r="X2598">
        <v>0.98418300000000003</v>
      </c>
      <c r="Y2598">
        <v>-0.21194959999999999</v>
      </c>
      <c r="Z2598">
        <v>-3.6853070000000002E-2</v>
      </c>
      <c r="AA2598">
        <v>0.9765855</v>
      </c>
      <c r="AB2598">
        <v>30</v>
      </c>
      <c r="AC2598">
        <v>79.889299999999906</v>
      </c>
      <c r="AD2598">
        <v>24.729112000000001</v>
      </c>
      <c r="AE2598">
        <v>16.7943099999999</v>
      </c>
      <c r="AF2598">
        <v>-16.650967696989198</v>
      </c>
      <c r="AG2598">
        <v>24.729112000000001</v>
      </c>
      <c r="AH2598">
        <v>72.8965796323928</v>
      </c>
      <c r="AI2598">
        <v>71.700039549913896</v>
      </c>
      <c r="AJ2598">
        <v>102.866704291654</v>
      </c>
      <c r="AK2598">
        <v>78.757190323528604</v>
      </c>
    </row>
    <row r="2599" spans="1:37" x14ac:dyDescent="0.2">
      <c r="A2599" t="str">
        <f>"20200111150644239"</f>
        <v>20200111150644239</v>
      </c>
      <c r="B2599" t="str">
        <f>"1578726404228915"</f>
        <v>1578726404228915</v>
      </c>
      <c r="C2599" t="s">
        <v>37</v>
      </c>
      <c r="D2599">
        <v>5.0025000000000004</v>
      </c>
      <c r="E2599">
        <v>0.46122979999999902</v>
      </c>
      <c r="F2599" t="s">
        <v>76</v>
      </c>
      <c r="G2599">
        <v>-157.3501</v>
      </c>
      <c r="H2599">
        <v>25.78669</v>
      </c>
      <c r="I2599">
        <v>-46.032139999999998</v>
      </c>
      <c r="J2599">
        <v>-237.05340000000001</v>
      </c>
      <c r="K2599">
        <v>1.103111</v>
      </c>
      <c r="L2599">
        <v>-62.787259999999897</v>
      </c>
      <c r="M2599">
        <v>0.99977079999999996</v>
      </c>
      <c r="N2599">
        <v>0</v>
      </c>
      <c r="O2599">
        <v>-1.7659109999999999E-2</v>
      </c>
      <c r="P2599">
        <v>0.9868304</v>
      </c>
      <c r="Q2599">
        <v>0.15864690000000001</v>
      </c>
      <c r="R2599">
        <v>3.1577969999999997E-2</v>
      </c>
      <c r="S2599">
        <v>2.8779140000000001</v>
      </c>
      <c r="T2599">
        <v>0.88919380000000003</v>
      </c>
      <c r="U2599">
        <v>0.60345459999999995</v>
      </c>
      <c r="V2599">
        <v>-4.883378E-2</v>
      </c>
      <c r="W2599">
        <v>0.17063</v>
      </c>
      <c r="X2599">
        <v>0.98412429999999995</v>
      </c>
      <c r="Y2599">
        <v>-0.2121855</v>
      </c>
      <c r="Z2599">
        <v>-3.6991070000000001E-2</v>
      </c>
      <c r="AA2599">
        <v>0.97652909999999904</v>
      </c>
      <c r="AB2599">
        <v>30</v>
      </c>
      <c r="AC2599">
        <v>79.703299999999999</v>
      </c>
      <c r="AD2599">
        <v>24.683579000000002</v>
      </c>
      <c r="AE2599">
        <v>16.755119999999899</v>
      </c>
      <c r="AF2599">
        <v>-16.632398829516099</v>
      </c>
      <c r="AG2599">
        <v>24.683579000000002</v>
      </c>
      <c r="AH2599">
        <v>72.715943764760794</v>
      </c>
      <c r="AI2599">
        <v>71.690296387309402</v>
      </c>
      <c r="AJ2599">
        <v>102.883696293065</v>
      </c>
      <c r="AK2599">
        <v>78.571777634677403</v>
      </c>
    </row>
    <row r="2600" spans="1:37" x14ac:dyDescent="0.2">
      <c r="A2600" t="str">
        <f>"20200111150644251"</f>
        <v>20200111150644251</v>
      </c>
      <c r="B2600" t="str">
        <f>"1578726404239651"</f>
        <v>1578726404239651</v>
      </c>
      <c r="C2600" t="s">
        <v>37</v>
      </c>
      <c r="D2600">
        <v>5.0154480000000001</v>
      </c>
      <c r="E2600">
        <v>0.46012109999999901</v>
      </c>
      <c r="F2600" t="s">
        <v>103</v>
      </c>
      <c r="G2600">
        <v>-226.2988</v>
      </c>
      <c r="H2600" s="1">
        <v>-2.0448939999999999E-6</v>
      </c>
      <c r="I2600">
        <v>-61.394159999999999</v>
      </c>
      <c r="J2600">
        <v>-236.89750000000001</v>
      </c>
      <c r="K2600">
        <v>1.1031120000000001</v>
      </c>
      <c r="L2600">
        <v>-62.790280000000003</v>
      </c>
      <c r="M2600">
        <v>0.99976620000000005</v>
      </c>
      <c r="N2600">
        <v>0</v>
      </c>
      <c r="O2600">
        <v>-1.7908150000000001E-2</v>
      </c>
      <c r="P2600">
        <v>0.9868538</v>
      </c>
      <c r="Q2600">
        <v>0.1585529</v>
      </c>
      <c r="R2600">
        <v>3.1318430000000001E-2</v>
      </c>
      <c r="S2600">
        <v>3.078033</v>
      </c>
      <c r="T2600">
        <v>-0.31571659999999901</v>
      </c>
      <c r="U2600">
        <v>0.39871220000000002</v>
      </c>
      <c r="V2600">
        <v>-4.8819990000000001E-2</v>
      </c>
      <c r="W2600">
        <v>0.17054029999999901</v>
      </c>
      <c r="X2600">
        <v>0.98414059999999903</v>
      </c>
      <c r="Y2600">
        <v>-0.14535889999999899</v>
      </c>
      <c r="Z2600">
        <v>9.2296730000000007E-3</v>
      </c>
      <c r="AA2600">
        <v>0.98933599999999999</v>
      </c>
      <c r="AB2600">
        <v>30</v>
      </c>
      <c r="AC2600">
        <v>10.598699999999999</v>
      </c>
      <c r="AD2600">
        <v>-1.103114044894</v>
      </c>
      <c r="AE2600">
        <v>1.39612</v>
      </c>
      <c r="AF2600">
        <v>-1.5690064802505701</v>
      </c>
      <c r="AG2600">
        <v>-1.103114044894</v>
      </c>
      <c r="AH2600">
        <v>10.4606126345554</v>
      </c>
      <c r="AI2600">
        <v>95.953710521975594</v>
      </c>
      <c r="AJ2600">
        <v>98.530308062098001</v>
      </c>
      <c r="AK2600">
        <v>10.6349921777748</v>
      </c>
    </row>
    <row r="2601" spans="1:37" x14ac:dyDescent="0.2">
      <c r="A2601" t="str">
        <f>"20200111150644263"</f>
        <v>20200111150644263</v>
      </c>
      <c r="B2601" t="str">
        <f>"1578726404259171"</f>
        <v>1578726404259171</v>
      </c>
      <c r="C2601" t="s">
        <v>37</v>
      </c>
      <c r="D2601">
        <v>5.0830919999999997</v>
      </c>
      <c r="E2601">
        <v>0.45892810000000001</v>
      </c>
      <c r="F2601" t="s">
        <v>103</v>
      </c>
      <c r="G2601">
        <v>-226.10159999999999</v>
      </c>
      <c r="H2601" s="1">
        <v>-1.9532900000000001E-6</v>
      </c>
      <c r="I2601">
        <v>-61.3626199999999</v>
      </c>
      <c r="J2601">
        <v>-236.74969999999999</v>
      </c>
      <c r="K2601">
        <v>1.1031120000000001</v>
      </c>
      <c r="L2601">
        <v>-62.793149999999997</v>
      </c>
      <c r="M2601">
        <v>0.99976200000000004</v>
      </c>
      <c r="N2601">
        <v>0</v>
      </c>
      <c r="O2601">
        <v>-1.8144199999999999E-2</v>
      </c>
      <c r="P2601">
        <v>0.98683410000000005</v>
      </c>
      <c r="Q2601">
        <v>0.15871830000000001</v>
      </c>
      <c r="R2601">
        <v>3.109986E-2</v>
      </c>
      <c r="S2601">
        <v>3.0775759999999899</v>
      </c>
      <c r="T2601">
        <v>-0.31446249999999998</v>
      </c>
      <c r="U2601">
        <v>0.40698240000000002</v>
      </c>
      <c r="V2601">
        <v>-4.883403E-2</v>
      </c>
      <c r="W2601">
        <v>0.170709</v>
      </c>
      <c r="X2601">
        <v>0.98411059999999995</v>
      </c>
      <c r="Y2601">
        <v>-0.1482154</v>
      </c>
      <c r="Z2601">
        <v>9.3618690000000001E-3</v>
      </c>
      <c r="AA2601">
        <v>0.98891079999999998</v>
      </c>
      <c r="AB2601">
        <v>30</v>
      </c>
      <c r="AC2601">
        <v>10.648099999999999</v>
      </c>
      <c r="AD2601">
        <v>-1.1031139532900001</v>
      </c>
      <c r="AE2601">
        <v>1.4305300000000001</v>
      </c>
      <c r="AF2601">
        <v>-1.6065732189203401</v>
      </c>
      <c r="AG2601">
        <v>-1.1031139532900001</v>
      </c>
      <c r="AH2601">
        <v>10.509595726988501</v>
      </c>
      <c r="AI2601">
        <v>95.923654856254601</v>
      </c>
      <c r="AJ2601">
        <v>98.691365149213098</v>
      </c>
      <c r="AK2601">
        <v>10.6887576568295</v>
      </c>
    </row>
    <row r="2602" spans="1:37" x14ac:dyDescent="0.2">
      <c r="A2602" t="str">
        <f>"20200111150644274"</f>
        <v>20200111150644274</v>
      </c>
      <c r="B2602" t="str">
        <f>"1578726404268931"</f>
        <v>1578726404268931</v>
      </c>
      <c r="C2602" t="s">
        <v>37</v>
      </c>
      <c r="D2602">
        <v>5.0527749999999996</v>
      </c>
      <c r="E2602">
        <v>0.45871329999999999</v>
      </c>
      <c r="F2602" t="s">
        <v>103</v>
      </c>
      <c r="G2602">
        <v>-226.1645</v>
      </c>
      <c r="H2602" s="1">
        <v>-1.9803529999999999E-6</v>
      </c>
      <c r="I2602">
        <v>-61.362940000000002</v>
      </c>
      <c r="J2602">
        <v>-236.59190000000001</v>
      </c>
      <c r="K2602">
        <v>1.1031120000000001</v>
      </c>
      <c r="L2602">
        <v>-62.796300000000002</v>
      </c>
      <c r="M2602">
        <v>0.99975740000000002</v>
      </c>
      <c r="N2602">
        <v>0</v>
      </c>
      <c r="O2602">
        <v>-1.8396220000000001E-2</v>
      </c>
      <c r="P2602">
        <v>0.98684799999999995</v>
      </c>
      <c r="Q2602">
        <v>0.15869510000000001</v>
      </c>
      <c r="R2602">
        <v>3.0779330000000001E-2</v>
      </c>
      <c r="S2602">
        <v>3.0785369999999999</v>
      </c>
      <c r="T2602">
        <v>-0.32082339999999998</v>
      </c>
      <c r="U2602">
        <v>0.41595459999999901</v>
      </c>
      <c r="V2602">
        <v>-4.8762409999999999E-2</v>
      </c>
      <c r="W2602">
        <v>0.17068920000000001</v>
      </c>
      <c r="X2602">
        <v>0.98411759999999904</v>
      </c>
      <c r="Y2602">
        <v>-0.15120429999999899</v>
      </c>
      <c r="Z2602">
        <v>9.7262100000000008E-3</v>
      </c>
      <c r="AA2602">
        <v>0.98845469999999902</v>
      </c>
      <c r="AB2602">
        <v>30</v>
      </c>
      <c r="AC2602">
        <v>10.4274</v>
      </c>
      <c r="AD2602">
        <v>-1.1031139803529999</v>
      </c>
      <c r="AE2602">
        <v>1.43336</v>
      </c>
      <c r="AF2602">
        <v>-1.6073016803468501</v>
      </c>
      <c r="AG2602">
        <v>-1.1031139803529999</v>
      </c>
      <c r="AH2602">
        <v>10.286280698823701</v>
      </c>
      <c r="AI2602">
        <v>96.048240738108902</v>
      </c>
      <c r="AJ2602">
        <v>98.881041512125094</v>
      </c>
      <c r="AK2602">
        <v>10.469376760833899</v>
      </c>
    </row>
    <row r="2603" spans="1:37" x14ac:dyDescent="0.2">
      <c r="A2603" t="str">
        <f>"20200111150644285"</f>
        <v>20200111150644285</v>
      </c>
      <c r="B2603" t="str">
        <f>"1578726404279667"</f>
        <v>1578726404279667</v>
      </c>
      <c r="C2603" t="s">
        <v>37</v>
      </c>
      <c r="D2603">
        <v>6.141953</v>
      </c>
      <c r="E2603">
        <v>0.45871329999999999</v>
      </c>
      <c r="F2603" t="s">
        <v>103</v>
      </c>
      <c r="G2603">
        <v>-226.06649999999999</v>
      </c>
      <c r="H2603" s="1">
        <v>-1.9404600000000001E-6</v>
      </c>
      <c r="I2603">
        <v>-61.372569999999897</v>
      </c>
      <c r="J2603">
        <v>-236.4452</v>
      </c>
      <c r="K2603">
        <v>1.1031070000000001</v>
      </c>
      <c r="L2603">
        <v>-62.799259999999997</v>
      </c>
      <c r="M2603">
        <v>0.999753</v>
      </c>
      <c r="N2603">
        <v>0</v>
      </c>
      <c r="O2603">
        <v>-1.863047E-2</v>
      </c>
      <c r="P2603">
        <v>0.9868768</v>
      </c>
      <c r="Q2603">
        <v>0.15858339999999899</v>
      </c>
      <c r="R2603">
        <v>3.042941E-2</v>
      </c>
      <c r="S2603">
        <v>3.0789029999999999</v>
      </c>
      <c r="T2603">
        <v>-0.32268649999999999</v>
      </c>
      <c r="U2603">
        <v>0.41647339999999999</v>
      </c>
      <c r="V2603">
        <v>-4.8644140000000002E-2</v>
      </c>
      <c r="W2603">
        <v>0.17058019999999999</v>
      </c>
      <c r="X2603">
        <v>0.98414239999999997</v>
      </c>
      <c r="Y2603">
        <v>-0.15157029999999999</v>
      </c>
      <c r="Z2603">
        <v>9.8245650000000004E-3</v>
      </c>
      <c r="AA2603">
        <v>0.98839769999999905</v>
      </c>
      <c r="AB2603">
        <v>30</v>
      </c>
      <c r="AC2603">
        <v>10.3787</v>
      </c>
      <c r="AD2603">
        <v>-1.1031089404600001</v>
      </c>
      <c r="AE2603">
        <v>1.42669</v>
      </c>
      <c r="AF2603">
        <v>-1.6020543419375399</v>
      </c>
      <c r="AG2603">
        <v>-1.1031089404600001</v>
      </c>
      <c r="AH2603">
        <v>10.236819105050399</v>
      </c>
      <c r="AI2603">
        <v>96.076995327865205</v>
      </c>
      <c r="AJ2603">
        <v>98.894598315147206</v>
      </c>
      <c r="AK2603">
        <v>10.4199756640104</v>
      </c>
    </row>
    <row r="2604" spans="1:37" x14ac:dyDescent="0.2">
      <c r="A2604" t="str">
        <f>"20200111150644297"</f>
        <v>20200111150644297</v>
      </c>
      <c r="B2604" t="str">
        <f>"1578726404289428"</f>
        <v>1578726404289428</v>
      </c>
      <c r="C2604" t="s">
        <v>37</v>
      </c>
      <c r="D2604">
        <v>4.8994999999999997</v>
      </c>
      <c r="E2604">
        <v>0.430114</v>
      </c>
      <c r="F2604" t="s">
        <v>103</v>
      </c>
      <c r="G2604">
        <v>-225.9316</v>
      </c>
      <c r="H2604" s="1">
        <v>-1.8844759999999899E-6</v>
      </c>
      <c r="I2604">
        <v>-61.381129999999999</v>
      </c>
      <c r="J2604">
        <v>-236.28389999999999</v>
      </c>
      <c r="K2604">
        <v>1.103108</v>
      </c>
      <c r="L2604">
        <v>-62.802519999999902</v>
      </c>
      <c r="M2604">
        <v>0.99974799999999997</v>
      </c>
      <c r="N2604">
        <v>0</v>
      </c>
      <c r="O2604">
        <v>-1.888774E-2</v>
      </c>
      <c r="P2604">
        <v>0.98684179999999999</v>
      </c>
      <c r="Q2604">
        <v>0.15884239999999999</v>
      </c>
      <c r="R2604">
        <v>3.0207319999999999E-2</v>
      </c>
      <c r="S2604">
        <v>3.0790099999999998</v>
      </c>
      <c r="T2604">
        <v>-0.32305719999999999</v>
      </c>
      <c r="U2604">
        <v>0.41531369999999901</v>
      </c>
      <c r="V2604">
        <v>-4.8675219999999998E-2</v>
      </c>
      <c r="W2604">
        <v>0.17084240000000001</v>
      </c>
      <c r="X2604">
        <v>0.98409530000000001</v>
      </c>
      <c r="Y2604">
        <v>-0.15145169999999999</v>
      </c>
      <c r="Z2604">
        <v>9.8563290000000005E-3</v>
      </c>
      <c r="AA2604">
        <v>0.9884155</v>
      </c>
      <c r="AB2604">
        <v>30</v>
      </c>
      <c r="AC2604">
        <v>10.3522999999999</v>
      </c>
      <c r="AD2604">
        <v>-1.1031098844759999</v>
      </c>
      <c r="AE2604">
        <v>1.4213899999999799</v>
      </c>
      <c r="AF2604">
        <v>-1.5988641212692101</v>
      </c>
      <c r="AG2604">
        <v>-1.1031098844759999</v>
      </c>
      <c r="AH2604">
        <v>10.209822828304899</v>
      </c>
      <c r="AI2604">
        <v>96.092854622662998</v>
      </c>
      <c r="AJ2604">
        <v>98.900265840597896</v>
      </c>
      <c r="AK2604">
        <v>10.39296396996</v>
      </c>
    </row>
    <row r="2605" spans="1:37" x14ac:dyDescent="0.2">
      <c r="A2605" t="str">
        <f>"20200111150644307"</f>
        <v>20200111150644307</v>
      </c>
      <c r="B2605" t="str">
        <f>"1578726404299187"</f>
        <v>1578726404299187</v>
      </c>
      <c r="C2605" t="s">
        <v>37</v>
      </c>
      <c r="D2605">
        <v>5.1212710000000001</v>
      </c>
      <c r="E2605">
        <v>0.42831369999999902</v>
      </c>
      <c r="F2605" t="s">
        <v>76</v>
      </c>
      <c r="G2605">
        <v>-157.3501</v>
      </c>
      <c r="H2605">
        <v>23.403110000000002</v>
      </c>
      <c r="I2605">
        <v>-45.042429999999896</v>
      </c>
      <c r="J2605">
        <v>-236.1309</v>
      </c>
      <c r="K2605">
        <v>1.1031089999999999</v>
      </c>
      <c r="L2605">
        <v>-62.805659999999897</v>
      </c>
      <c r="M2605">
        <v>0.99974339999999995</v>
      </c>
      <c r="N2605">
        <v>0</v>
      </c>
      <c r="O2605">
        <v>-1.9132119999999999E-2</v>
      </c>
      <c r="P2605">
        <v>0.98681810000000003</v>
      </c>
      <c r="Q2605">
        <v>0.1590134</v>
      </c>
      <c r="R2605">
        <v>3.0084340000000001E-2</v>
      </c>
      <c r="S2605">
        <v>2.8887330000000002</v>
      </c>
      <c r="T2605">
        <v>0.81610930000000004</v>
      </c>
      <c r="U2605">
        <v>0.64996339999999997</v>
      </c>
      <c r="V2605">
        <v>-4.8792450000000001E-2</v>
      </c>
      <c r="W2605">
        <v>0.17101529999999901</v>
      </c>
      <c r="X2605">
        <v>0.98405949999999998</v>
      </c>
      <c r="Y2605">
        <v>-0.2288801</v>
      </c>
      <c r="Z2605">
        <v>-3.6582660000000003E-2</v>
      </c>
      <c r="AA2605">
        <v>0.97276700000000005</v>
      </c>
      <c r="AB2605">
        <v>30</v>
      </c>
      <c r="AC2605">
        <v>78.780799999999999</v>
      </c>
      <c r="AD2605">
        <v>22.300001000000002</v>
      </c>
      <c r="AE2605">
        <v>17.76323</v>
      </c>
      <c r="AF2605">
        <v>-17.902305090626498</v>
      </c>
      <c r="AG2605">
        <v>22.300001000000002</v>
      </c>
      <c r="AH2605">
        <v>72.870242751175198</v>
      </c>
      <c r="AI2605">
        <v>73.448767813191196</v>
      </c>
      <c r="AJ2605">
        <v>103.802711579741</v>
      </c>
      <c r="AK2605">
        <v>78.280616060255099</v>
      </c>
    </row>
    <row r="2606" spans="1:37" x14ac:dyDescent="0.2">
      <c r="A2606" t="str">
        <f>"20200111150644319"</f>
        <v>20200111150644319</v>
      </c>
      <c r="B2606" t="str">
        <f>"1578726404308947"</f>
        <v>1578726404308947</v>
      </c>
      <c r="C2606" t="s">
        <v>37</v>
      </c>
      <c r="D2606">
        <v>4.9997230000000004</v>
      </c>
      <c r="E2606">
        <v>0.42831369999999902</v>
      </c>
      <c r="F2606" t="s">
        <v>76</v>
      </c>
      <c r="G2606">
        <v>-157.3501</v>
      </c>
      <c r="H2606">
        <v>20.747949999999999</v>
      </c>
      <c r="I2606">
        <v>-44.80395</v>
      </c>
      <c r="J2606">
        <v>-235.97929999999999</v>
      </c>
      <c r="K2606">
        <v>1.1031089999999999</v>
      </c>
      <c r="L2606">
        <v>-62.808839999999996</v>
      </c>
      <c r="M2606">
        <v>0.99973869999999898</v>
      </c>
      <c r="N2606">
        <v>0</v>
      </c>
      <c r="O2606">
        <v>-1.937436E-2</v>
      </c>
      <c r="P2606">
        <v>0.9868207</v>
      </c>
      <c r="Q2606">
        <v>0.15902079999999999</v>
      </c>
      <c r="R2606">
        <v>2.9958820000000001E-2</v>
      </c>
      <c r="S2606">
        <v>2.9031980000000002</v>
      </c>
      <c r="T2606">
        <v>0.72394199999999997</v>
      </c>
      <c r="U2606">
        <v>0.66339110000000001</v>
      </c>
      <c r="V2606">
        <v>-4.8905909999999997E-2</v>
      </c>
      <c r="W2606">
        <v>0.1710256</v>
      </c>
      <c r="X2606">
        <v>0.98405209999999999</v>
      </c>
      <c r="Y2606">
        <v>-0.23421529999999999</v>
      </c>
      <c r="Z2606">
        <v>-3.3114520000000001E-2</v>
      </c>
      <c r="AA2606">
        <v>0.97162059999999995</v>
      </c>
      <c r="AB2606">
        <v>30</v>
      </c>
      <c r="AC2606">
        <v>78.629199999999997</v>
      </c>
      <c r="AD2606">
        <v>19.644841</v>
      </c>
      <c r="AE2606">
        <v>18.00489</v>
      </c>
      <c r="AF2606">
        <v>-18.4318057114148</v>
      </c>
      <c r="AG2606">
        <v>19.644841</v>
      </c>
      <c r="AH2606">
        <v>73.883484952869196</v>
      </c>
      <c r="AI2606">
        <v>75.534098669907607</v>
      </c>
      <c r="AJ2606">
        <v>104.007727113421</v>
      </c>
      <c r="AK2606">
        <v>78.641087152197201</v>
      </c>
    </row>
    <row r="2607" spans="1:37" x14ac:dyDescent="0.2">
      <c r="A2607" t="str">
        <f>"20200111150644331"</f>
        <v>20200111150644331</v>
      </c>
      <c r="B2607" t="str">
        <f>"1578726404329446"</f>
        <v>1578726404329446</v>
      </c>
      <c r="C2607" t="s">
        <v>37</v>
      </c>
      <c r="D2607">
        <v>5.0028100000000002</v>
      </c>
      <c r="E2607">
        <v>0.48409950000000002</v>
      </c>
      <c r="F2607" t="s">
        <v>76</v>
      </c>
      <c r="G2607">
        <v>-157.3501</v>
      </c>
      <c r="H2607">
        <v>20.709119999999999</v>
      </c>
      <c r="I2607">
        <v>-44.851230000000001</v>
      </c>
      <c r="J2607">
        <v>-235.81870000000001</v>
      </c>
      <c r="K2607">
        <v>1.103111</v>
      </c>
      <c r="L2607">
        <v>-62.81223</v>
      </c>
      <c r="M2607">
        <v>0.99973369999999995</v>
      </c>
      <c r="N2607">
        <v>0</v>
      </c>
      <c r="O2607">
        <v>-1.9630910000000001E-2</v>
      </c>
      <c r="P2607">
        <v>0.98678080000000001</v>
      </c>
      <c r="Q2607">
        <v>0.15926940000000001</v>
      </c>
      <c r="R2607">
        <v>2.9955240000000001E-2</v>
      </c>
      <c r="S2607">
        <v>2.9032589999999998</v>
      </c>
      <c r="T2607">
        <v>0.72391989999999995</v>
      </c>
      <c r="U2607">
        <v>0.66305539999999996</v>
      </c>
      <c r="V2607">
        <v>-4.915431E-2</v>
      </c>
      <c r="W2607">
        <v>0.1712765</v>
      </c>
      <c r="X2607">
        <v>0.98399599999999898</v>
      </c>
      <c r="Y2607">
        <v>-0.23434240000000001</v>
      </c>
      <c r="Z2607">
        <v>-3.3190989999999997E-2</v>
      </c>
      <c r="AA2607">
        <v>0.97158739999999999</v>
      </c>
      <c r="AB2607">
        <v>30</v>
      </c>
      <c r="AC2607">
        <v>78.468599999999995</v>
      </c>
      <c r="AD2607">
        <v>19.606009</v>
      </c>
      <c r="AE2607">
        <v>17.960999999999999</v>
      </c>
      <c r="AF2607">
        <v>-18.406187316886101</v>
      </c>
      <c r="AG2607">
        <v>19.606009</v>
      </c>
      <c r="AH2607">
        <v>73.727280023952801</v>
      </c>
      <c r="AI2607">
        <v>75.532778610002794</v>
      </c>
      <c r="AJ2607">
        <v>104.017493731594</v>
      </c>
      <c r="AK2607">
        <v>78.478628556969099</v>
      </c>
    </row>
    <row r="2608" spans="1:37" x14ac:dyDescent="0.2">
      <c r="A2608" t="str">
        <f>"20200111150644344"</f>
        <v>20200111150644344</v>
      </c>
      <c r="B2608" t="str">
        <f>"1578726404339203"</f>
        <v>1578726404339203</v>
      </c>
      <c r="C2608" t="s">
        <v>37</v>
      </c>
      <c r="D2608">
        <v>5.0364440000000004</v>
      </c>
      <c r="E2608">
        <v>0.48369889999999999</v>
      </c>
      <c r="F2608" t="s">
        <v>85</v>
      </c>
      <c r="G2608">
        <v>-208.11770000000001</v>
      </c>
      <c r="H2608" s="1">
        <v>-1.237906E-6</v>
      </c>
      <c r="I2608">
        <v>-60.885809999999999</v>
      </c>
      <c r="J2608">
        <v>-235.66569999999999</v>
      </c>
      <c r="K2608">
        <v>1.1031120000000001</v>
      </c>
      <c r="L2608">
        <v>-62.815489999999997</v>
      </c>
      <c r="M2608">
        <v>0.99972879999999997</v>
      </c>
      <c r="N2608">
        <v>0</v>
      </c>
      <c r="O2608">
        <v>-1.987529E-2</v>
      </c>
      <c r="P2608">
        <v>0.98674669999999898</v>
      </c>
      <c r="Q2608">
        <v>0.15949759999999999</v>
      </c>
      <c r="R2608">
        <v>2.9860600000000001E-2</v>
      </c>
      <c r="S2608">
        <v>3.0533600000000001</v>
      </c>
      <c r="T2608">
        <v>-0.12159149999999901</v>
      </c>
      <c r="U2608">
        <v>0.21234130000000001</v>
      </c>
      <c r="V2608">
        <v>-4.9300110000000001E-2</v>
      </c>
      <c r="W2608">
        <v>0.1715062</v>
      </c>
      <c r="X2608">
        <v>0.98394879999999996</v>
      </c>
      <c r="Y2608">
        <v>-8.9105089999999998E-2</v>
      </c>
      <c r="Z2608">
        <v>2.5617069999999999E-3</v>
      </c>
      <c r="AA2608">
        <v>0.99601890000000004</v>
      </c>
      <c r="AB2608">
        <v>30</v>
      </c>
      <c r="AC2608">
        <v>27.547999999999899</v>
      </c>
      <c r="AD2608">
        <v>-1.103113237906</v>
      </c>
      <c r="AE2608">
        <v>1.9296800000000001</v>
      </c>
      <c r="AF2608">
        <v>-2.4729177057543299</v>
      </c>
      <c r="AG2608">
        <v>-1.103113237906</v>
      </c>
      <c r="AH2608">
        <v>27.4603849558066</v>
      </c>
      <c r="AI2608">
        <v>92.291134770500406</v>
      </c>
      <c r="AJ2608">
        <v>95.145834067124895</v>
      </c>
      <c r="AK2608">
        <v>27.593566690737301</v>
      </c>
    </row>
    <row r="2609" spans="1:37" x14ac:dyDescent="0.2">
      <c r="A2609" t="str">
        <f>"20200111150644355"</f>
        <v>20200111150644355</v>
      </c>
      <c r="B2609" t="str">
        <f>"1578726404348963"</f>
        <v>1578726404348963</v>
      </c>
      <c r="C2609" t="s">
        <v>37</v>
      </c>
      <c r="D2609">
        <v>5.0364190000000004</v>
      </c>
      <c r="E2609">
        <v>0.48360059999999899</v>
      </c>
      <c r="F2609" t="s">
        <v>105</v>
      </c>
      <c r="G2609">
        <v>-215.5309</v>
      </c>
      <c r="H2609" s="1">
        <v>-1.612324E-6</v>
      </c>
      <c r="I2609">
        <v>-61.400559999999999</v>
      </c>
      <c r="J2609">
        <v>-235.51400000000001</v>
      </c>
      <c r="K2609">
        <v>1.1031139999999999</v>
      </c>
      <c r="L2609">
        <v>-62.818759999999997</v>
      </c>
      <c r="M2609">
        <v>0.99972399999999995</v>
      </c>
      <c r="N2609">
        <v>0</v>
      </c>
      <c r="O2609">
        <v>-2.0117759999999998E-2</v>
      </c>
      <c r="P2609">
        <v>0.98671849999999905</v>
      </c>
      <c r="Q2609">
        <v>0.15970860000000001</v>
      </c>
      <c r="R2609">
        <v>2.9665159999999999E-2</v>
      </c>
      <c r="S2609">
        <v>3.060883</v>
      </c>
      <c r="T2609">
        <v>-0.1676946</v>
      </c>
      <c r="U2609">
        <v>0.2150879</v>
      </c>
      <c r="V2609">
        <v>-4.9342829999999997E-2</v>
      </c>
      <c r="W2609">
        <v>0.1717186</v>
      </c>
      <c r="X2609">
        <v>0.98390949999999899</v>
      </c>
      <c r="Y2609">
        <v>-8.998826E-2</v>
      </c>
      <c r="Z2609">
        <v>3.56041E-3</v>
      </c>
      <c r="AA2609">
        <v>0.9959365</v>
      </c>
      <c r="AB2609">
        <v>30</v>
      </c>
      <c r="AC2609">
        <v>19.9831</v>
      </c>
      <c r="AD2609">
        <v>-1.103115612324</v>
      </c>
      <c r="AE2609">
        <v>1.4181999999999899</v>
      </c>
      <c r="AF2609">
        <v>-1.81445624280354</v>
      </c>
      <c r="AG2609">
        <v>-1.103115612324</v>
      </c>
      <c r="AH2609">
        <v>19.890214212874</v>
      </c>
      <c r="AI2609">
        <v>93.161284796285699</v>
      </c>
      <c r="AJ2609">
        <v>95.212298731785395</v>
      </c>
      <c r="AK2609">
        <v>20.0032431606781</v>
      </c>
    </row>
    <row r="2610" spans="1:37" x14ac:dyDescent="0.2">
      <c r="A2610" t="str">
        <f>"20200111150644366"</f>
        <v>20200111150644366</v>
      </c>
      <c r="B2610" t="str">
        <f>"1578726404359698"</f>
        <v>1578726404359698</v>
      </c>
      <c r="C2610" t="s">
        <v>37</v>
      </c>
      <c r="D2610">
        <v>5.0289890000000002</v>
      </c>
      <c r="E2610">
        <v>0.48384319999999997</v>
      </c>
      <c r="F2610" t="s">
        <v>105</v>
      </c>
      <c r="G2610">
        <v>-216.31989999999999</v>
      </c>
      <c r="H2610" s="1">
        <v>-1.9683139999999998E-6</v>
      </c>
      <c r="I2610">
        <v>-61.466389999999997</v>
      </c>
      <c r="J2610">
        <v>-235.3441</v>
      </c>
      <c r="K2610">
        <v>1.103118</v>
      </c>
      <c r="L2610">
        <v>-62.822479999999999</v>
      </c>
      <c r="M2610">
        <v>0.99971840000000001</v>
      </c>
      <c r="N2610">
        <v>0</v>
      </c>
      <c r="O2610">
        <v>-2.0389210000000001E-2</v>
      </c>
      <c r="P2610">
        <v>0.98668979999999995</v>
      </c>
      <c r="Q2610">
        <v>0.15998519999999999</v>
      </c>
      <c r="R2610">
        <v>2.9116179999999998E-2</v>
      </c>
      <c r="S2610">
        <v>3.0623930000000001</v>
      </c>
      <c r="T2610">
        <v>-0.1760003</v>
      </c>
      <c r="U2610">
        <v>0.21575929999999999</v>
      </c>
      <c r="V2610">
        <v>-4.9060800000000002E-2</v>
      </c>
      <c r="W2610">
        <v>0.17199619999999999</v>
      </c>
      <c r="X2610">
        <v>0.98387519999999995</v>
      </c>
      <c r="Y2610">
        <v>-9.0423899999999904E-2</v>
      </c>
      <c r="Z2610">
        <v>3.76267099999999E-3</v>
      </c>
      <c r="AA2610">
        <v>0.99589629999999996</v>
      </c>
      <c r="AB2610">
        <v>30</v>
      </c>
      <c r="AC2610">
        <v>19.0242</v>
      </c>
      <c r="AD2610">
        <v>-1.1031199683140001</v>
      </c>
      <c r="AE2610">
        <v>1.35609</v>
      </c>
      <c r="AF2610">
        <v>-1.73791126453732</v>
      </c>
      <c r="AG2610">
        <v>-1.1031199683140001</v>
      </c>
      <c r="AH2610">
        <v>18.929269423686101</v>
      </c>
      <c r="AI2610">
        <v>93.321253319449596</v>
      </c>
      <c r="AJ2610">
        <v>95.245665063127106</v>
      </c>
      <c r="AK2610">
        <v>19.040862641760601</v>
      </c>
    </row>
    <row r="2611" spans="1:37" x14ac:dyDescent="0.2">
      <c r="A2611" t="str">
        <f>"20200111150644379"</f>
        <v>20200111150644379</v>
      </c>
      <c r="B2611" t="str">
        <f>"1578726404369460"</f>
        <v>1578726404369460</v>
      </c>
      <c r="C2611" t="s">
        <v>37</v>
      </c>
      <c r="D2611">
        <v>4.990615</v>
      </c>
      <c r="E2611">
        <v>0.48395379999999899</v>
      </c>
      <c r="F2611" t="s">
        <v>105</v>
      </c>
      <c r="G2611">
        <v>-216.7587</v>
      </c>
      <c r="H2611" s="1">
        <v>-2.1742840000000001E-6</v>
      </c>
      <c r="I2611">
        <v>-61.532980000000002</v>
      </c>
      <c r="J2611">
        <v>-235.1859</v>
      </c>
      <c r="K2611">
        <v>1.1031169999999999</v>
      </c>
      <c r="L2611">
        <v>-62.825989999999997</v>
      </c>
      <c r="M2611">
        <v>0.99971309999999902</v>
      </c>
      <c r="N2611">
        <v>0</v>
      </c>
      <c r="O2611">
        <v>-2.064181E-2</v>
      </c>
      <c r="P2611">
        <v>0.98664359999999995</v>
      </c>
      <c r="Q2611">
        <v>0.16034489999999901</v>
      </c>
      <c r="R2611">
        <v>2.870315E-2</v>
      </c>
      <c r="S2611">
        <v>3.0636749999999999</v>
      </c>
      <c r="T2611">
        <v>-0.18184139999999999</v>
      </c>
      <c r="U2611">
        <v>0.21255489999999999</v>
      </c>
      <c r="V2611">
        <v>-4.8895800000000003E-2</v>
      </c>
      <c r="W2611">
        <v>0.17235739999999999</v>
      </c>
      <c r="X2611">
        <v>0.98382019999999903</v>
      </c>
      <c r="Y2611">
        <v>-8.9598639999999993E-2</v>
      </c>
      <c r="Z2611">
        <v>3.876376E-3</v>
      </c>
      <c r="AA2611">
        <v>0.99597039999999903</v>
      </c>
      <c r="AB2611">
        <v>30</v>
      </c>
      <c r="AC2611">
        <v>18.427199999999999</v>
      </c>
      <c r="AD2611">
        <v>-1.1031191742839901</v>
      </c>
      <c r="AE2611">
        <v>1.29301</v>
      </c>
      <c r="AF2611">
        <v>-1.6671879529757501</v>
      </c>
      <c r="AG2611">
        <v>-1.1031191742839901</v>
      </c>
      <c r="AH2611">
        <v>18.331210326312402</v>
      </c>
      <c r="AI2611">
        <v>93.429620312918203</v>
      </c>
      <c r="AJ2611">
        <v>95.196643165720701</v>
      </c>
      <c r="AK2611">
        <v>18.4398931561634</v>
      </c>
    </row>
    <row r="2612" spans="1:37" x14ac:dyDescent="0.2">
      <c r="A2612" t="str">
        <f>"20200111150644391"</f>
        <v>20200111150644391</v>
      </c>
      <c r="B2612" t="str">
        <f>"1578726404388979"</f>
        <v>1578726404388979</v>
      </c>
      <c r="C2612" t="s">
        <v>37</v>
      </c>
      <c r="D2612">
        <v>5.062036</v>
      </c>
      <c r="E2612">
        <v>0.48396800000000001</v>
      </c>
      <c r="F2612" t="s">
        <v>105</v>
      </c>
      <c r="G2612">
        <v>-217.0273</v>
      </c>
      <c r="H2612" s="1">
        <v>-2.301426E-6</v>
      </c>
      <c r="I2612">
        <v>-61.577750000000002</v>
      </c>
      <c r="J2612">
        <v>-235.01830000000001</v>
      </c>
      <c r="K2612">
        <v>1.1031169999999999</v>
      </c>
      <c r="L2612">
        <v>-62.829709999999999</v>
      </c>
      <c r="M2612">
        <v>0.99970759999999903</v>
      </c>
      <c r="N2612">
        <v>0</v>
      </c>
      <c r="O2612">
        <v>-2.090968E-2</v>
      </c>
      <c r="P2612">
        <v>0.98663259999999897</v>
      </c>
      <c r="Q2612">
        <v>0.1604689</v>
      </c>
      <c r="R2612">
        <v>2.8386709999999999E-2</v>
      </c>
      <c r="S2612">
        <v>3.064743</v>
      </c>
      <c r="T2612">
        <v>-0.18618009999999999</v>
      </c>
      <c r="U2612">
        <v>0.21066279999999901</v>
      </c>
      <c r="V2612">
        <v>-4.8843119999999997E-2</v>
      </c>
      <c r="W2612">
        <v>0.17248279999999999</v>
      </c>
      <c r="X2612">
        <v>0.98380080000000003</v>
      </c>
      <c r="Y2612">
        <v>-8.9220549999999996E-2</v>
      </c>
      <c r="Z2612">
        <v>3.9721840000000001E-3</v>
      </c>
      <c r="AA2612">
        <v>0.996004</v>
      </c>
      <c r="AB2612">
        <v>30</v>
      </c>
      <c r="AC2612">
        <v>17.991</v>
      </c>
      <c r="AD2612">
        <v>-1.1031193014259999</v>
      </c>
      <c r="AE2612">
        <v>1.25195999999999</v>
      </c>
      <c r="AF2612">
        <v>-1.62183208807071</v>
      </c>
      <c r="AG2612">
        <v>-1.1031193014259999</v>
      </c>
      <c r="AH2612">
        <v>17.893937291750198</v>
      </c>
      <c r="AI2612">
        <v>93.513321242827502</v>
      </c>
      <c r="AJ2612">
        <v>95.178900891684506</v>
      </c>
      <c r="AK2612">
        <v>18.001116724141401</v>
      </c>
    </row>
    <row r="2613" spans="1:37" x14ac:dyDescent="0.2">
      <c r="A2613" t="str">
        <f>"20200111150644404"</f>
        <v>20200111150644404</v>
      </c>
      <c r="B2613" t="str">
        <f>"1578726404399716"</f>
        <v>1578726404399716</v>
      </c>
      <c r="C2613" t="s">
        <v>37</v>
      </c>
      <c r="D2613">
        <v>4.9975040000000002</v>
      </c>
      <c r="E2613">
        <v>0.4837959</v>
      </c>
      <c r="F2613" t="s">
        <v>105</v>
      </c>
      <c r="G2613">
        <v>-217.37299999999999</v>
      </c>
      <c r="H2613" s="1">
        <v>-2.4620750000000001E-6</v>
      </c>
      <c r="I2613">
        <v>-61.624200000000002</v>
      </c>
      <c r="J2613">
        <v>-234.84729999999999</v>
      </c>
      <c r="K2613">
        <v>1.103118</v>
      </c>
      <c r="L2613">
        <v>-62.833590000000001</v>
      </c>
      <c r="M2613">
        <v>0.99970190000000003</v>
      </c>
      <c r="N2613">
        <v>0</v>
      </c>
      <c r="O2613">
        <v>-2.1182779999999998E-2</v>
      </c>
      <c r="P2613">
        <v>0.98659169999999996</v>
      </c>
      <c r="Q2613">
        <v>0.16077629999999901</v>
      </c>
      <c r="R2613">
        <v>2.8075470000000002E-2</v>
      </c>
      <c r="S2613">
        <v>3.0657809999999999</v>
      </c>
      <c r="T2613">
        <v>-0.1916611</v>
      </c>
      <c r="U2613">
        <v>0.20944209999999999</v>
      </c>
      <c r="V2613">
        <v>-4.8800089999999997E-2</v>
      </c>
      <c r="W2613">
        <v>0.17279040000000001</v>
      </c>
      <c r="X2613">
        <v>0.98374899999999998</v>
      </c>
      <c r="Y2613">
        <v>-8.9062710000000003E-2</v>
      </c>
      <c r="Z2613">
        <v>4.0996940000000001E-3</v>
      </c>
      <c r="AA2613">
        <v>0.99601759999999995</v>
      </c>
      <c r="AB2613">
        <v>30</v>
      </c>
      <c r="AC2613">
        <v>17.474299999999999</v>
      </c>
      <c r="AD2613">
        <v>-1.1031204620749999</v>
      </c>
      <c r="AE2613">
        <v>1.20938999999999</v>
      </c>
      <c r="AF2613">
        <v>-1.57306110957108</v>
      </c>
      <c r="AG2613">
        <v>-1.1031204620749999</v>
      </c>
      <c r="AH2613">
        <v>17.3758429060486</v>
      </c>
      <c r="AI2613">
        <v>93.617841129790406</v>
      </c>
      <c r="AJ2613">
        <v>95.172971102787201</v>
      </c>
      <c r="AK2613">
        <v>17.481742267404901</v>
      </c>
    </row>
    <row r="2614" spans="1:37" x14ac:dyDescent="0.2">
      <c r="A2614" t="str">
        <f>"20200111150644419"</f>
        <v>20200111150644419</v>
      </c>
      <c r="B2614" t="str">
        <f>"1578726404409475"</f>
        <v>1578726404409475</v>
      </c>
      <c r="C2614" t="s">
        <v>37</v>
      </c>
      <c r="D2614">
        <v>4.9883410000000001</v>
      </c>
      <c r="E2614">
        <v>0.48384079999999902</v>
      </c>
      <c r="F2614" t="s">
        <v>105</v>
      </c>
      <c r="G2614">
        <v>-217.54859999999999</v>
      </c>
      <c r="H2614" s="1">
        <v>-2.5446609999999999E-6</v>
      </c>
      <c r="I2614">
        <v>-61.651409999999998</v>
      </c>
      <c r="J2614">
        <v>-234.65350000000001</v>
      </c>
      <c r="K2614">
        <v>1.1031229999999901</v>
      </c>
      <c r="L2614">
        <v>-62.838039999999999</v>
      </c>
      <c r="M2614">
        <v>0.99969519999999901</v>
      </c>
      <c r="N2614">
        <v>0</v>
      </c>
      <c r="O2614">
        <v>-2.1492130000000002E-2</v>
      </c>
      <c r="P2614">
        <v>0.98656100000000002</v>
      </c>
      <c r="Q2614">
        <v>0.16105739999999999</v>
      </c>
      <c r="R2614">
        <v>2.7530789999999999E-2</v>
      </c>
      <c r="S2614">
        <v>3.066681</v>
      </c>
      <c r="T2614">
        <v>-0.1955588</v>
      </c>
      <c r="U2614">
        <v>0.20956420000000001</v>
      </c>
      <c r="V2614">
        <v>-4.8559819999999997E-2</v>
      </c>
      <c r="W2614">
        <v>0.1730727</v>
      </c>
      <c r="X2614">
        <v>0.98371119999999901</v>
      </c>
      <c r="Y2614">
        <v>-8.9380580000000001E-2</v>
      </c>
      <c r="Z2614">
        <v>4.2114730000000003E-3</v>
      </c>
      <c r="AA2614">
        <v>0.99598869999999895</v>
      </c>
      <c r="AB2614">
        <v>30</v>
      </c>
      <c r="AC2614">
        <v>17.104900000000001</v>
      </c>
      <c r="AD2614">
        <v>-1.10312554466099</v>
      </c>
      <c r="AE2614">
        <v>1.1866300000000001</v>
      </c>
      <c r="AF2614">
        <v>-1.54759781163782</v>
      </c>
      <c r="AG2614">
        <v>-1.10312554466099</v>
      </c>
      <c r="AH2614">
        <v>17.005054893562399</v>
      </c>
      <c r="AI2614">
        <v>93.6963690456178</v>
      </c>
      <c r="AJ2614">
        <v>95.2000554140388</v>
      </c>
      <c r="AK2614">
        <v>17.1109274116554</v>
      </c>
    </row>
    <row r="2615" spans="1:37" x14ac:dyDescent="0.2">
      <c r="A2615" t="str">
        <f>"20200111150644433"</f>
        <v>20200111150644433</v>
      </c>
      <c r="B2615" t="str">
        <f>"1578726404428996"</f>
        <v>1578726404428996</v>
      </c>
      <c r="C2615" t="s">
        <v>37</v>
      </c>
      <c r="D2615">
        <v>5.0557220000000003</v>
      </c>
      <c r="E2615">
        <v>0.48318420000000001</v>
      </c>
      <c r="F2615" t="s">
        <v>105</v>
      </c>
      <c r="G2615">
        <v>-217.39439999999999</v>
      </c>
      <c r="H2615" s="1">
        <v>-2.4840209999999998E-6</v>
      </c>
      <c r="I2615">
        <v>-61.6721199999999</v>
      </c>
      <c r="J2615">
        <v>-234.4554</v>
      </c>
      <c r="K2615">
        <v>1.103124</v>
      </c>
      <c r="L2615">
        <v>-62.842619999999997</v>
      </c>
      <c r="M2615">
        <v>0.99968829999999997</v>
      </c>
      <c r="N2615">
        <v>0</v>
      </c>
      <c r="O2615">
        <v>-2.1808749999999998E-2</v>
      </c>
      <c r="P2615">
        <v>0.98658509999999999</v>
      </c>
      <c r="Q2615">
        <v>0.16097059999999999</v>
      </c>
      <c r="R2615">
        <v>2.717837E-2</v>
      </c>
      <c r="S2615">
        <v>3.0670929999999998</v>
      </c>
      <c r="T2615">
        <v>-0.1960344</v>
      </c>
      <c r="U2615">
        <v>0.207183799999999</v>
      </c>
      <c r="V2615">
        <v>-4.8520220000000003E-2</v>
      </c>
      <c r="W2615">
        <v>0.17298769999999999</v>
      </c>
      <c r="X2615">
        <v>0.98372809999999899</v>
      </c>
      <c r="Y2615">
        <v>-8.8916709999999996E-2</v>
      </c>
      <c r="Z2615">
        <v>4.2266439999999999E-3</v>
      </c>
      <c r="AA2615">
        <v>0.99603009999999903</v>
      </c>
      <c r="AB2615">
        <v>30</v>
      </c>
      <c r="AC2615">
        <v>17.061</v>
      </c>
      <c r="AD2615">
        <v>-1.103126484021</v>
      </c>
      <c r="AE2615">
        <v>1.1705000000000001</v>
      </c>
      <c r="AF2615">
        <v>-1.53593702849279</v>
      </c>
      <c r="AG2615">
        <v>-1.103126484021</v>
      </c>
      <c r="AH2615">
        <v>16.960837813797401</v>
      </c>
      <c r="AI2615">
        <v>93.7061316740742</v>
      </c>
      <c r="AJ2615">
        <v>95.174468683947197</v>
      </c>
      <c r="AK2615">
        <v>17.065931264984702</v>
      </c>
    </row>
    <row r="2616" spans="1:37" x14ac:dyDescent="0.2">
      <c r="A2616" t="str">
        <f>"20200111150644446"</f>
        <v>20200111150644446</v>
      </c>
      <c r="B2616" t="str">
        <f>"1578726404438757"</f>
        <v>1578726404438757</v>
      </c>
      <c r="C2616" t="s">
        <v>37</v>
      </c>
      <c r="D2616">
        <v>5.8254449999999904</v>
      </c>
      <c r="E2616">
        <v>0.48316049999999899</v>
      </c>
      <c r="F2616" t="s">
        <v>105</v>
      </c>
      <c r="G2616">
        <v>-218.31469999999999</v>
      </c>
      <c r="H2616" s="1">
        <v>-2.8945599999999902E-6</v>
      </c>
      <c r="I2616">
        <v>-61.731319999999997</v>
      </c>
      <c r="J2616">
        <v>-234.2807</v>
      </c>
      <c r="K2616">
        <v>1.1031249999999999</v>
      </c>
      <c r="L2616">
        <v>-62.846739999999997</v>
      </c>
      <c r="M2616">
        <v>0.99968219999999997</v>
      </c>
      <c r="N2616">
        <v>0</v>
      </c>
      <c r="O2616">
        <v>-2.208794E-2</v>
      </c>
      <c r="P2616">
        <v>0.98661580000000004</v>
      </c>
      <c r="Q2616">
        <v>0.1608617</v>
      </c>
      <c r="R2616">
        <v>2.670523E-2</v>
      </c>
      <c r="S2616">
        <v>3.0691830000000002</v>
      </c>
      <c r="T2616">
        <v>-0.2097601</v>
      </c>
      <c r="U2616">
        <v>0.21130370000000001</v>
      </c>
      <c r="V2616">
        <v>-4.8323199999999997E-2</v>
      </c>
      <c r="W2616">
        <v>0.17288010000000001</v>
      </c>
      <c r="X2616">
        <v>0.98375669999999904</v>
      </c>
      <c r="Y2616">
        <v>-9.0443599999999999E-2</v>
      </c>
      <c r="Z2616">
        <v>4.5897469999999999E-3</v>
      </c>
      <c r="AA2616">
        <v>0.99589099999999997</v>
      </c>
      <c r="AB2616">
        <v>30</v>
      </c>
      <c r="AC2616">
        <v>15.965999999999999</v>
      </c>
      <c r="AD2616">
        <v>-1.1031278945599901</v>
      </c>
      <c r="AE2616">
        <v>1.1154200000000001</v>
      </c>
      <c r="AF2616">
        <v>-1.4608898679856499</v>
      </c>
      <c r="AG2616">
        <v>-1.1031278945599901</v>
      </c>
      <c r="AH2616">
        <v>15.862111139893599</v>
      </c>
      <c r="AI2616">
        <v>93.961508096938104</v>
      </c>
      <c r="AJ2616">
        <v>95.262058527656606</v>
      </c>
      <c r="AK2616">
        <v>15.967393656213099</v>
      </c>
    </row>
    <row r="2617" spans="1:37" x14ac:dyDescent="0.2">
      <c r="A2617" t="str">
        <f>"20200111150644458"</f>
        <v>20200111150644458</v>
      </c>
      <c r="B2617" t="str">
        <f>"1578726404449491"</f>
        <v>1578726404449491</v>
      </c>
      <c r="C2617" t="s">
        <v>37</v>
      </c>
      <c r="D2617">
        <v>4.9951189999999999</v>
      </c>
      <c r="E2617">
        <v>0.48296359999999899</v>
      </c>
      <c r="F2617" t="s">
        <v>105</v>
      </c>
      <c r="G2617">
        <v>-217.23079999999999</v>
      </c>
      <c r="H2617" s="1">
        <v>-2.41521E-6</v>
      </c>
      <c r="I2617">
        <v>-61.677230000000002</v>
      </c>
      <c r="J2617">
        <v>-234.1276</v>
      </c>
      <c r="K2617">
        <v>1.1031249999999999</v>
      </c>
      <c r="L2617">
        <v>-62.8504</v>
      </c>
      <c r="M2617">
        <v>0.99967659999999903</v>
      </c>
      <c r="N2617">
        <v>0</v>
      </c>
      <c r="O2617">
        <v>-2.233255E-2</v>
      </c>
      <c r="P2617">
        <v>0.98663009999999995</v>
      </c>
      <c r="Q2617">
        <v>0.16082360000000001</v>
      </c>
      <c r="R2617">
        <v>2.639905E-2</v>
      </c>
      <c r="S2617">
        <v>3.0673520000000001</v>
      </c>
      <c r="T2617">
        <v>-0.19845699999999999</v>
      </c>
      <c r="U2617">
        <v>0.2103882</v>
      </c>
      <c r="V2617">
        <v>-4.8258780000000001E-2</v>
      </c>
      <c r="W2617">
        <v>0.172843</v>
      </c>
      <c r="X2617">
        <v>0.98376640000000004</v>
      </c>
      <c r="Y2617">
        <v>-9.0458709999999998E-2</v>
      </c>
      <c r="Z2617">
        <v>4.3618600000000004E-3</v>
      </c>
      <c r="AA2617">
        <v>0.99589069999999902</v>
      </c>
      <c r="AB2617">
        <v>30</v>
      </c>
      <c r="AC2617">
        <v>16.896799999999999</v>
      </c>
      <c r="AD2617">
        <v>-1.1031274152099999</v>
      </c>
      <c r="AE2617">
        <v>1.1731699999999901</v>
      </c>
      <c r="AF2617">
        <v>-1.5437057677517501</v>
      </c>
      <c r="AG2617">
        <v>-1.1031274152099999</v>
      </c>
      <c r="AH2617">
        <v>16.7951412267305</v>
      </c>
      <c r="AI2617">
        <v>93.742137307918895</v>
      </c>
      <c r="AJ2617">
        <v>95.251519204503495</v>
      </c>
      <c r="AK2617">
        <v>16.9019728557763</v>
      </c>
    </row>
    <row r="2618" spans="1:37" x14ac:dyDescent="0.2">
      <c r="A2618" t="str">
        <f>"20200111150644469"</f>
        <v>20200111150644469</v>
      </c>
      <c r="B2618" t="str">
        <f>"1578726404459252"</f>
        <v>1578726404459252</v>
      </c>
      <c r="C2618" t="s">
        <v>37</v>
      </c>
      <c r="D2618">
        <v>5.0030989999999997</v>
      </c>
      <c r="E2618">
        <v>0.482888699999999</v>
      </c>
      <c r="F2618" t="s">
        <v>105</v>
      </c>
      <c r="G2618">
        <v>-217.24010000000001</v>
      </c>
      <c r="H2618" s="1">
        <v>-2.4220770000000001E-6</v>
      </c>
      <c r="I2618">
        <v>-61.688130000000001</v>
      </c>
      <c r="J2618">
        <v>-233.96780000000001</v>
      </c>
      <c r="K2618">
        <v>1.103124</v>
      </c>
      <c r="L2618">
        <v>-62.854219999999998</v>
      </c>
      <c r="M2618">
        <v>0.99967099999999898</v>
      </c>
      <c r="N2618">
        <v>0</v>
      </c>
      <c r="O2618">
        <v>-2.2587659999999999E-2</v>
      </c>
      <c r="P2618">
        <v>0.98668549999999999</v>
      </c>
      <c r="Q2618">
        <v>0.16054019999999999</v>
      </c>
      <c r="R2618">
        <v>2.6050980000000001E-2</v>
      </c>
      <c r="S2618">
        <v>3.0676730000000001</v>
      </c>
      <c r="T2618">
        <v>-0.2003865</v>
      </c>
      <c r="U2618">
        <v>0.21112059999999999</v>
      </c>
      <c r="V2618">
        <v>-4.816409E-2</v>
      </c>
      <c r="W2618">
        <v>0.1725612</v>
      </c>
      <c r="X2618">
        <v>0.98382060000000005</v>
      </c>
      <c r="Y2618">
        <v>-9.0936320000000001E-2</v>
      </c>
      <c r="Z2618">
        <v>4.435881E-3</v>
      </c>
      <c r="AA2618">
        <v>0.99584680000000003</v>
      </c>
      <c r="AB2618">
        <v>30</v>
      </c>
      <c r="AC2618">
        <v>16.727699999999999</v>
      </c>
      <c r="AD2618">
        <v>-1.1031264220770001</v>
      </c>
      <c r="AE2618">
        <v>1.1660899999999901</v>
      </c>
      <c r="AF2618">
        <v>-1.53700800307469</v>
      </c>
      <c r="AG2618">
        <v>-1.1031264220770001</v>
      </c>
      <c r="AH2618">
        <v>16.6251391764348</v>
      </c>
      <c r="AI2618">
        <v>93.780104110516902</v>
      </c>
      <c r="AJ2618">
        <v>95.282028045369699</v>
      </c>
      <c r="AK2618">
        <v>16.7324395752809</v>
      </c>
    </row>
    <row r="2619" spans="1:37" x14ac:dyDescent="0.2">
      <c r="A2619" t="str">
        <f>"20200111150644481"</f>
        <v>20200111150644481</v>
      </c>
      <c r="B2619" t="str">
        <f>"1578726404478771"</f>
        <v>1578726404478771</v>
      </c>
      <c r="C2619" t="s">
        <v>37</v>
      </c>
      <c r="D2619">
        <v>4.9767700000000001</v>
      </c>
      <c r="E2619">
        <v>0.48273969999999999</v>
      </c>
      <c r="F2619" t="s">
        <v>105</v>
      </c>
      <c r="G2619">
        <v>-217.30599999999899</v>
      </c>
      <c r="H2619" s="1">
        <v>-2.4560899999999998E-6</v>
      </c>
      <c r="I2619">
        <v>-61.70973</v>
      </c>
      <c r="J2619">
        <v>-233.81389999999999</v>
      </c>
      <c r="K2619">
        <v>1.1031229999999901</v>
      </c>
      <c r="L2619">
        <v>-62.857969999999902</v>
      </c>
      <c r="M2619">
        <v>0.99966540000000004</v>
      </c>
      <c r="N2619">
        <v>0</v>
      </c>
      <c r="O2619">
        <v>-2.2833579999999999E-2</v>
      </c>
      <c r="P2619">
        <v>0.98674479999999998</v>
      </c>
      <c r="Q2619">
        <v>0.1602346</v>
      </c>
      <c r="R2619">
        <v>2.5684080000000001E-2</v>
      </c>
      <c r="S2619">
        <v>3.0679630000000002</v>
      </c>
      <c r="T2619">
        <v>-0.2031192</v>
      </c>
      <c r="U2619">
        <v>0.21072389999999999</v>
      </c>
      <c r="V2619">
        <v>-4.8041430000000003E-2</v>
      </c>
      <c r="W2619">
        <v>0.17225679999999999</v>
      </c>
      <c r="X2619">
        <v>0.98387990000000003</v>
      </c>
      <c r="Y2619">
        <v>-9.1039339999999996E-2</v>
      </c>
      <c r="Z2619">
        <v>4.5154899999999996E-3</v>
      </c>
      <c r="AA2619">
        <v>0.99583699999999997</v>
      </c>
      <c r="AB2619">
        <v>30</v>
      </c>
      <c r="AC2619">
        <v>16.507899999999999</v>
      </c>
      <c r="AD2619">
        <v>-1.1031254560899999</v>
      </c>
      <c r="AE2619">
        <v>1.1482399999999799</v>
      </c>
      <c r="AF2619">
        <v>-1.51815626042648</v>
      </c>
      <c r="AG2619">
        <v>-1.1031254560899999</v>
      </c>
      <c r="AH2619">
        <v>16.404474246582598</v>
      </c>
      <c r="AI2619">
        <v>93.830765394285706</v>
      </c>
      <c r="AJ2619">
        <v>95.287392033051802</v>
      </c>
      <c r="AK2619">
        <v>16.511464487129501</v>
      </c>
    </row>
    <row r="2620" spans="1:37" x14ac:dyDescent="0.2">
      <c r="A2620" t="str">
        <f>"20200111150644497"</f>
        <v>20200111150644497</v>
      </c>
      <c r="B2620" t="str">
        <f>"1578726404489507"</f>
        <v>1578726404489507</v>
      </c>
      <c r="C2620" t="s">
        <v>37</v>
      </c>
      <c r="D2620">
        <v>4.9809369999999999</v>
      </c>
      <c r="E2620">
        <v>0.48252020000000001</v>
      </c>
      <c r="F2620" t="s">
        <v>105</v>
      </c>
      <c r="G2620">
        <v>-217.26689999999999</v>
      </c>
      <c r="H2620" s="1">
        <v>-2.4419479999999999E-6</v>
      </c>
      <c r="I2620">
        <v>-61.719580000000001</v>
      </c>
      <c r="J2620">
        <v>-233.6054</v>
      </c>
      <c r="K2620">
        <v>1.1031139999999999</v>
      </c>
      <c r="L2620">
        <v>-62.863100000000003</v>
      </c>
      <c r="M2620">
        <v>0.99965759999999904</v>
      </c>
      <c r="N2620">
        <v>0</v>
      </c>
      <c r="O2620">
        <v>-2.316677E-2</v>
      </c>
      <c r="P2620">
        <v>0.98682739999999902</v>
      </c>
      <c r="Q2620">
        <v>0.1598366</v>
      </c>
      <c r="R2620">
        <v>2.4980099999999901E-2</v>
      </c>
      <c r="S2620">
        <v>3.0680079999999998</v>
      </c>
      <c r="T2620">
        <v>-0.2045313</v>
      </c>
      <c r="U2620">
        <v>0.21105960000000001</v>
      </c>
      <c r="V2620">
        <v>-4.7668519999999999E-2</v>
      </c>
      <c r="W2620">
        <v>0.17186089999999901</v>
      </c>
      <c r="X2620">
        <v>0.98396719999999904</v>
      </c>
      <c r="Y2620">
        <v>-9.1473540000000006E-2</v>
      </c>
      <c r="Z2620">
        <v>4.5833380000000002E-3</v>
      </c>
      <c r="AA2620">
        <v>0.99579699999999904</v>
      </c>
      <c r="AB2620">
        <v>30</v>
      </c>
      <c r="AC2620">
        <v>16.3385</v>
      </c>
      <c r="AD2620">
        <v>-1.103116441948</v>
      </c>
      <c r="AE2620">
        <v>1.1435199999999901</v>
      </c>
      <c r="AF2620">
        <v>-1.5148794727348001</v>
      </c>
      <c r="AG2620">
        <v>-1.103116441948</v>
      </c>
      <c r="AH2620">
        <v>16.2339794582598</v>
      </c>
      <c r="AI2620">
        <v>93.870570387250197</v>
      </c>
      <c r="AJ2620">
        <v>95.331137400938502</v>
      </c>
      <c r="AK2620">
        <v>16.341781260089402</v>
      </c>
    </row>
    <row r="2621" spans="1:37" x14ac:dyDescent="0.2">
      <c r="A2621" t="str">
        <f>"20200111150644508"</f>
        <v>20200111150644508</v>
      </c>
      <c r="B2621" t="str">
        <f>"1578726404499267"</f>
        <v>1578726404499267</v>
      </c>
      <c r="C2621" t="s">
        <v>37</v>
      </c>
      <c r="D2621">
        <v>4.9830480000000001</v>
      </c>
      <c r="E2621">
        <v>0.48237749999999902</v>
      </c>
      <c r="F2621" t="s">
        <v>105</v>
      </c>
      <c r="G2621">
        <v>-217.06180000000001</v>
      </c>
      <c r="H2621" s="1">
        <v>-2.3552380000000001E-6</v>
      </c>
      <c r="I2621">
        <v>-61.72439</v>
      </c>
      <c r="J2621">
        <v>-233.44980000000001</v>
      </c>
      <c r="K2621">
        <v>1.103113</v>
      </c>
      <c r="L2621">
        <v>-62.866969999999903</v>
      </c>
      <c r="M2621">
        <v>0.99965199999999999</v>
      </c>
      <c r="N2621">
        <v>0</v>
      </c>
      <c r="O2621">
        <v>-2.341532E-2</v>
      </c>
      <c r="P2621">
        <v>0.98685669999999903</v>
      </c>
      <c r="Q2621">
        <v>0.1597585</v>
      </c>
      <c r="R2621">
        <v>2.4314780000000001E-2</v>
      </c>
      <c r="S2621">
        <v>3.0678559999999999</v>
      </c>
      <c r="T2621">
        <v>-0.20456199999999999</v>
      </c>
      <c r="U2621">
        <v>0.21115110000000001</v>
      </c>
      <c r="V2621">
        <v>-4.7249230000000003E-2</v>
      </c>
      <c r="W2621">
        <v>0.171783399999999</v>
      </c>
      <c r="X2621">
        <v>0.98400100000000001</v>
      </c>
      <c r="Y2621">
        <v>-9.1752799999999995E-2</v>
      </c>
      <c r="Z2621">
        <v>4.6100749999999999E-3</v>
      </c>
      <c r="AA2621">
        <v>0.99577119999999997</v>
      </c>
      <c r="AB2621">
        <v>30</v>
      </c>
      <c r="AC2621">
        <v>16.388000000000002</v>
      </c>
      <c r="AD2621">
        <v>-1.103115355238</v>
      </c>
      <c r="AE2621">
        <v>1.1425799999999899</v>
      </c>
      <c r="AF2621">
        <v>-1.5191752521648401</v>
      </c>
      <c r="AG2621">
        <v>-1.103115355238</v>
      </c>
      <c r="AH2621">
        <v>16.283328126720399</v>
      </c>
      <c r="AI2621">
        <v>93.858878599860105</v>
      </c>
      <c r="AJ2621">
        <v>95.330058785202098</v>
      </c>
      <c r="AK2621">
        <v>16.391202878867499</v>
      </c>
    </row>
    <row r="2622" spans="1:37" x14ac:dyDescent="0.2">
      <c r="A2622" t="str">
        <f>"20200111150644519"</f>
        <v>20200111150644519</v>
      </c>
      <c r="B2622" t="str">
        <f>"1578726404509027"</f>
        <v>1578726404509027</v>
      </c>
      <c r="C2622" t="s">
        <v>37</v>
      </c>
      <c r="D2622">
        <v>4.9581980000000003</v>
      </c>
      <c r="E2622">
        <v>0.48222920000000002</v>
      </c>
      <c r="F2622" t="s">
        <v>105</v>
      </c>
      <c r="G2622">
        <v>-216.8835</v>
      </c>
      <c r="H2622" s="1">
        <v>-2.28031499999999E-6</v>
      </c>
      <c r="I2622">
        <v>-61.730159999999998</v>
      </c>
      <c r="J2622">
        <v>-233.30359999999999</v>
      </c>
      <c r="K2622">
        <v>1.103116</v>
      </c>
      <c r="L2622">
        <v>-62.870669999999997</v>
      </c>
      <c r="M2622">
        <v>0.99964640000000005</v>
      </c>
      <c r="N2622">
        <v>0</v>
      </c>
      <c r="O2622">
        <v>-2.3649199999999999E-2</v>
      </c>
      <c r="P2622">
        <v>0.98688829999999905</v>
      </c>
      <c r="Q2622">
        <v>0.15966169999999999</v>
      </c>
      <c r="R2622">
        <v>2.3661740000000001E-2</v>
      </c>
      <c r="S2622">
        <v>3.067841</v>
      </c>
      <c r="T2622">
        <v>-0.20428099999999999</v>
      </c>
      <c r="U2622">
        <v>0.21051030000000001</v>
      </c>
      <c r="V2622">
        <v>-4.682774E-2</v>
      </c>
      <c r="W2622">
        <v>0.17168710000000001</v>
      </c>
      <c r="X2622">
        <v>0.98403790000000002</v>
      </c>
      <c r="Y2622">
        <v>-9.177921E-2</v>
      </c>
      <c r="Z2622">
        <v>4.6202309999999998E-3</v>
      </c>
      <c r="AA2622">
        <v>0.99576869999999995</v>
      </c>
      <c r="AB2622">
        <v>30</v>
      </c>
      <c r="AC2622">
        <v>16.420099999999898</v>
      </c>
      <c r="AD2622">
        <v>-1.1031182803149999</v>
      </c>
      <c r="AE2622">
        <v>1.1405099999999899</v>
      </c>
      <c r="AF2622">
        <v>-1.5217069809606201</v>
      </c>
      <c r="AG2622">
        <v>-1.1031182803149999</v>
      </c>
      <c r="AH2622">
        <v>16.315250979706899</v>
      </c>
      <c r="AI2622">
        <v>93.851370861628993</v>
      </c>
      <c r="AJ2622">
        <v>95.328504097219394</v>
      </c>
      <c r="AK2622">
        <v>16.423150629738998</v>
      </c>
    </row>
    <row r="2623" spans="1:37" x14ac:dyDescent="0.2">
      <c r="A2623" t="str">
        <f>"20200111150644531"</f>
        <v>20200111150644531</v>
      </c>
      <c r="B2623" t="str">
        <f>"1578726404518787"</f>
        <v>1578726404518787</v>
      </c>
      <c r="C2623" t="s">
        <v>37</v>
      </c>
      <c r="D2623">
        <v>4.9561140000000004</v>
      </c>
      <c r="E2623">
        <v>0.48226809999999998</v>
      </c>
      <c r="F2623" t="s">
        <v>105</v>
      </c>
      <c r="G2623">
        <v>-216.66990000000001</v>
      </c>
      <c r="H2623" s="1">
        <v>-2.189587E-6</v>
      </c>
      <c r="I2623">
        <v>-61.733649999999997</v>
      </c>
      <c r="J2623">
        <v>-233.14590000000001</v>
      </c>
      <c r="K2623">
        <v>1.1031150000000001</v>
      </c>
      <c r="L2623">
        <v>-62.874659999999999</v>
      </c>
      <c r="M2623">
        <v>0.99964030000000004</v>
      </c>
      <c r="N2623">
        <v>0</v>
      </c>
      <c r="O2623">
        <v>-2.3901080000000002E-2</v>
      </c>
      <c r="P2623">
        <v>0.98694009999999999</v>
      </c>
      <c r="Q2623">
        <v>0.15943869999999999</v>
      </c>
      <c r="R2623">
        <v>2.2986900000000001E-2</v>
      </c>
      <c r="S2623">
        <v>3.0677189999999999</v>
      </c>
      <c r="T2623">
        <v>-0.20344589999999901</v>
      </c>
      <c r="U2623">
        <v>0.20968629999999999</v>
      </c>
      <c r="V2623">
        <v>-4.6402560000000002E-2</v>
      </c>
      <c r="W2623">
        <v>0.17146539999999999</v>
      </c>
      <c r="X2623">
        <v>0.98409679999999999</v>
      </c>
      <c r="Y2623">
        <v>-9.1768119999999995E-2</v>
      </c>
      <c r="Z2623">
        <v>4.6179120000000001E-3</v>
      </c>
      <c r="AA2623">
        <v>0.99576969999999998</v>
      </c>
      <c r="AB2623">
        <v>30</v>
      </c>
      <c r="AC2623">
        <v>16.475999999999999</v>
      </c>
      <c r="AD2623">
        <v>-1.103117189587</v>
      </c>
      <c r="AE2623">
        <v>1.1410100000000001</v>
      </c>
      <c r="AF2623">
        <v>-1.5276918390738501</v>
      </c>
      <c r="AG2623">
        <v>-1.103117189587</v>
      </c>
      <c r="AH2623">
        <v>16.3709832479753</v>
      </c>
      <c r="AI2623">
        <v>93.838277980416294</v>
      </c>
      <c r="AJ2623">
        <v>95.331233890389598</v>
      </c>
      <c r="AK2623">
        <v>16.479071648446102</v>
      </c>
    </row>
    <row r="2624" spans="1:37" x14ac:dyDescent="0.2">
      <c r="A2624" t="str">
        <f>"20200111150644543"</f>
        <v>20200111150644543</v>
      </c>
      <c r="B2624" t="str">
        <f>"1578726404539283"</f>
        <v>1578726404539283</v>
      </c>
      <c r="C2624" t="s">
        <v>37</v>
      </c>
      <c r="D2624">
        <v>4.9401039999999998</v>
      </c>
      <c r="E2624">
        <v>0.4822864</v>
      </c>
      <c r="F2624" t="s">
        <v>105</v>
      </c>
      <c r="G2624">
        <v>-216.5652</v>
      </c>
      <c r="H2624" s="1">
        <v>-2.14987599999999E-6</v>
      </c>
      <c r="I2624">
        <v>-61.753189999999996</v>
      </c>
      <c r="J2624">
        <v>-232.9958</v>
      </c>
      <c r="K2624">
        <v>1.1031139999999999</v>
      </c>
      <c r="L2624">
        <v>-62.878540000000001</v>
      </c>
      <c r="M2624">
        <v>0.99963469999999999</v>
      </c>
      <c r="N2624">
        <v>0</v>
      </c>
      <c r="O2624">
        <v>-2.4141159999999998E-2</v>
      </c>
      <c r="P2624">
        <v>0.98700569999999899</v>
      </c>
      <c r="Q2624">
        <v>0.15913389999999999</v>
      </c>
      <c r="R2624">
        <v>2.22819E-2</v>
      </c>
      <c r="S2624">
        <v>3.067841</v>
      </c>
      <c r="T2624">
        <v>-0.20410429999999999</v>
      </c>
      <c r="U2624">
        <v>0.20748899999999901</v>
      </c>
      <c r="V2624">
        <v>-4.5936699999999997E-2</v>
      </c>
      <c r="W2624">
        <v>0.17116139999999999</v>
      </c>
      <c r="X2624">
        <v>0.98417149999999998</v>
      </c>
      <c r="Y2624">
        <v>-9.1293529999999998E-2</v>
      </c>
      <c r="Z2624">
        <v>4.6329379999999996E-3</v>
      </c>
      <c r="AA2624">
        <v>0.99581330000000001</v>
      </c>
      <c r="AB2624">
        <v>30</v>
      </c>
      <c r="AC2624">
        <v>16.430599999999998</v>
      </c>
      <c r="AD2624">
        <v>-1.10311614987599</v>
      </c>
      <c r="AE2624">
        <v>1.1253499999999901</v>
      </c>
      <c r="AF2624">
        <v>-1.51490844768322</v>
      </c>
      <c r="AG2624">
        <v>-1.10311614987599</v>
      </c>
      <c r="AH2624">
        <v>16.325398362557301</v>
      </c>
      <c r="AI2624">
        <v>93.849144666533903</v>
      </c>
      <c r="AJ2624">
        <v>95.301555514063594</v>
      </c>
      <c r="AK2624">
        <v>16.432603096927998</v>
      </c>
    </row>
    <row r="2625" spans="1:37" x14ac:dyDescent="0.2">
      <c r="A2625" t="str">
        <f>"20200111150644553"</f>
        <v>20200111150644553</v>
      </c>
      <c r="B2625" t="str">
        <f>"1578726404549043"</f>
        <v>1578726404549043</v>
      </c>
      <c r="C2625" t="s">
        <v>37</v>
      </c>
      <c r="D2625">
        <v>5.030297</v>
      </c>
      <c r="E2625">
        <v>0.48224669999999997</v>
      </c>
      <c r="F2625" t="s">
        <v>105</v>
      </c>
      <c r="G2625">
        <v>-216.41909999999999</v>
      </c>
      <c r="H2625" s="1">
        <v>-2.0916399999999998E-6</v>
      </c>
      <c r="I2625">
        <v>-61.769859999999902</v>
      </c>
      <c r="J2625">
        <v>-232.8408</v>
      </c>
      <c r="K2625">
        <v>1.10311</v>
      </c>
      <c r="L2625">
        <v>-62.882539999999999</v>
      </c>
      <c r="M2625">
        <v>0.99962859999999998</v>
      </c>
      <c r="N2625">
        <v>0</v>
      </c>
      <c r="O2625">
        <v>-2.4388759999999999E-2</v>
      </c>
      <c r="P2625">
        <v>0.98705509999999996</v>
      </c>
      <c r="Q2625">
        <v>0.15888050000000001</v>
      </c>
      <c r="R2625">
        <v>2.1897E-2</v>
      </c>
      <c r="S2625">
        <v>3.06778</v>
      </c>
      <c r="T2625">
        <v>-0.20414959999999999</v>
      </c>
      <c r="U2625">
        <v>0.20516970000000001</v>
      </c>
      <c r="V2625">
        <v>-4.5797480000000002E-2</v>
      </c>
      <c r="W2625">
        <v>0.17090910000000001</v>
      </c>
      <c r="X2625">
        <v>0.98422189999999998</v>
      </c>
      <c r="Y2625">
        <v>-9.0792449999999997E-2</v>
      </c>
      <c r="Z2625">
        <v>4.63397799999999E-3</v>
      </c>
      <c r="AA2625">
        <v>0.99585900000000005</v>
      </c>
      <c r="AB2625">
        <v>30</v>
      </c>
      <c r="AC2625">
        <v>16.421700000000001</v>
      </c>
      <c r="AD2625">
        <v>-1.1031120916399999</v>
      </c>
      <c r="AE2625">
        <v>1.1126800000000101</v>
      </c>
      <c r="AF2625">
        <v>-1.5061184155182099</v>
      </c>
      <c r="AG2625">
        <v>-1.1031120916399999</v>
      </c>
      <c r="AH2625">
        <v>16.316386920444899</v>
      </c>
      <c r="AI2625">
        <v>93.851421767709894</v>
      </c>
      <c r="AJ2625">
        <v>95.273862503767802</v>
      </c>
      <c r="AK2625">
        <v>16.4228417487946</v>
      </c>
    </row>
    <row r="2626" spans="1:37" x14ac:dyDescent="0.2">
      <c r="A2626" t="str">
        <f>"20200111150644565"</f>
        <v>20200111150644565</v>
      </c>
      <c r="B2626" t="str">
        <f>"1578726404558803"</f>
        <v>1578726404558803</v>
      </c>
      <c r="C2626" t="s">
        <v>37</v>
      </c>
      <c r="D2626">
        <v>5.5336889999999999</v>
      </c>
      <c r="E2626">
        <v>0.4823287</v>
      </c>
      <c r="F2626" t="s">
        <v>105</v>
      </c>
      <c r="G2626">
        <v>-216.4521</v>
      </c>
      <c r="H2626" s="1">
        <v>-2.1114880000000001E-6</v>
      </c>
      <c r="I2626">
        <v>-61.791249999999998</v>
      </c>
      <c r="J2626">
        <v>-232.69319999999999</v>
      </c>
      <c r="K2626">
        <v>1.1031089999999999</v>
      </c>
      <c r="L2626">
        <v>-62.886380000000003</v>
      </c>
      <c r="M2626">
        <v>0.99962280000000003</v>
      </c>
      <c r="N2626">
        <v>0</v>
      </c>
      <c r="O2626">
        <v>-2.4624549999999999E-2</v>
      </c>
      <c r="P2626">
        <v>0.98705689999999902</v>
      </c>
      <c r="Q2626">
        <v>0.1589219</v>
      </c>
      <c r="R2626">
        <v>2.1506859999999999E-2</v>
      </c>
      <c r="S2626">
        <v>3.0680540000000001</v>
      </c>
      <c r="T2626">
        <v>-0.2065082</v>
      </c>
      <c r="U2626">
        <v>0.20428470000000001</v>
      </c>
      <c r="V2626">
        <v>-4.5640409999999999E-2</v>
      </c>
      <c r="W2626">
        <v>0.17095050000000001</v>
      </c>
      <c r="X2626">
        <v>0.98422199999999904</v>
      </c>
      <c r="Y2626">
        <v>-9.0729190000000001E-2</v>
      </c>
      <c r="Z2626">
        <v>4.7007359999999996E-3</v>
      </c>
      <c r="AA2626">
        <v>0.99586450000000004</v>
      </c>
      <c r="AB2626">
        <v>30</v>
      </c>
      <c r="AC2626">
        <v>16.2410999999999</v>
      </c>
      <c r="AD2626">
        <v>-1.1031111114879999</v>
      </c>
      <c r="AE2626">
        <v>1.0951299999999999</v>
      </c>
      <c r="AF2626">
        <v>-1.48792412153145</v>
      </c>
      <c r="AG2626">
        <v>-1.1031111114879999</v>
      </c>
      <c r="AH2626">
        <v>16.1351069155556</v>
      </c>
      <c r="AI2626">
        <v>93.894589271203699</v>
      </c>
      <c r="AJ2626">
        <v>95.268718766854803</v>
      </c>
      <c r="AK2626">
        <v>16.2410728553299</v>
      </c>
    </row>
    <row r="2627" spans="1:37" x14ac:dyDescent="0.2">
      <c r="A2627" t="str">
        <f>"20200111150644577"</f>
        <v>20200111150644577</v>
      </c>
      <c r="B2627" t="str">
        <f>"1578726404569539"</f>
        <v>1578726404569539</v>
      </c>
      <c r="C2627" t="s">
        <v>37</v>
      </c>
      <c r="D2627">
        <v>4.9993059999999998</v>
      </c>
      <c r="E2627">
        <v>0.48220569999999902</v>
      </c>
      <c r="F2627" t="s">
        <v>105</v>
      </c>
      <c r="G2627">
        <v>-215.9058</v>
      </c>
      <c r="H2627" s="1">
        <v>-1.8738040000000001E-6</v>
      </c>
      <c r="I2627">
        <v>-61.778819999999897</v>
      </c>
      <c r="J2627">
        <v>-232.53469999999999</v>
      </c>
      <c r="K2627">
        <v>1.103108</v>
      </c>
      <c r="L2627">
        <v>-62.890529999999998</v>
      </c>
      <c r="M2627">
        <v>0.99961659999999997</v>
      </c>
      <c r="N2627">
        <v>0</v>
      </c>
      <c r="O2627">
        <v>-2.4877739999999999E-2</v>
      </c>
      <c r="P2627">
        <v>0.98711409999999999</v>
      </c>
      <c r="Q2627">
        <v>0.15861040000000001</v>
      </c>
      <c r="R2627">
        <v>2.1180290000000001E-2</v>
      </c>
      <c r="S2627">
        <v>3.067383</v>
      </c>
      <c r="T2627">
        <v>-0.20155909999999999</v>
      </c>
      <c r="U2627">
        <v>0.20236209999999999</v>
      </c>
      <c r="V2627">
        <v>-4.5565460000000002E-2</v>
      </c>
      <c r="W2627">
        <v>0.17063989999999901</v>
      </c>
      <c r="X2627">
        <v>0.98427929999999997</v>
      </c>
      <c r="Y2627">
        <v>-9.038678E-2</v>
      </c>
      <c r="Z2627">
        <v>4.5947959999999999E-3</v>
      </c>
      <c r="AA2627">
        <v>0.99589619999999901</v>
      </c>
      <c r="AB2627">
        <v>30</v>
      </c>
      <c r="AC2627">
        <v>16.628899999999899</v>
      </c>
      <c r="AD2627">
        <v>-1.1031098738039999</v>
      </c>
      <c r="AE2627">
        <v>1.11171</v>
      </c>
      <c r="AF2627">
        <v>-1.51843362628775</v>
      </c>
      <c r="AG2627">
        <v>-1.1031098738039999</v>
      </c>
      <c r="AH2627">
        <v>16.523703309295001</v>
      </c>
      <c r="AI2627">
        <v>93.803377563452003</v>
      </c>
      <c r="AJ2627">
        <v>95.250407751442395</v>
      </c>
      <c r="AK2627">
        <v>16.629950785397199</v>
      </c>
    </row>
    <row r="2628" spans="1:37" x14ac:dyDescent="0.2">
      <c r="A2628" t="str">
        <f>"20200111150644590"</f>
        <v>20200111150644590</v>
      </c>
      <c r="B2628" t="str">
        <f>"1578726404579299"</f>
        <v>1578726404579299</v>
      </c>
      <c r="C2628" t="s">
        <v>37</v>
      </c>
      <c r="D2628">
        <v>5.0217859999999996</v>
      </c>
      <c r="E2628">
        <v>0.48218069999999902</v>
      </c>
      <c r="F2628" t="s">
        <v>105</v>
      </c>
      <c r="G2628">
        <v>-215.851</v>
      </c>
      <c r="H2628" s="1">
        <v>-1.853127E-6</v>
      </c>
      <c r="I2628">
        <v>-61.789479999999998</v>
      </c>
      <c r="J2628">
        <v>-232.35910000000001</v>
      </c>
      <c r="K2628">
        <v>1.10311</v>
      </c>
      <c r="L2628">
        <v>-62.895229999999998</v>
      </c>
      <c r="M2628">
        <v>0.99960959999999999</v>
      </c>
      <c r="N2628">
        <v>0</v>
      </c>
      <c r="O2628">
        <v>-2.5158710000000001E-2</v>
      </c>
      <c r="P2628">
        <v>0.9871221</v>
      </c>
      <c r="Q2628">
        <v>0.15857470000000001</v>
      </c>
      <c r="R2628">
        <v>2.108208E-2</v>
      </c>
      <c r="S2628">
        <v>3.0673979999999998</v>
      </c>
      <c r="T2628">
        <v>-0.202812299999999</v>
      </c>
      <c r="U2628">
        <v>0.20242309999999999</v>
      </c>
      <c r="V2628">
        <v>-4.5745019999999997E-2</v>
      </c>
      <c r="W2628">
        <v>0.1706046</v>
      </c>
      <c r="X2628">
        <v>0.98427710000000002</v>
      </c>
      <c r="Y2628">
        <v>-9.0681719999999993E-2</v>
      </c>
      <c r="Z2628">
        <v>4.6515469999999998E-3</v>
      </c>
      <c r="AA2628">
        <v>0.995869</v>
      </c>
      <c r="AB2628">
        <v>30</v>
      </c>
      <c r="AC2628">
        <v>16.508099999999999</v>
      </c>
      <c r="AD2628">
        <v>-1.1031118531270001</v>
      </c>
      <c r="AE2628">
        <v>1.10575</v>
      </c>
      <c r="AF2628">
        <v>-1.5140228366929001</v>
      </c>
      <c r="AG2628">
        <v>-1.1031118531270001</v>
      </c>
      <c r="AH2628">
        <v>16.402140232438899</v>
      </c>
      <c r="AI2628">
        <v>93.831345390527304</v>
      </c>
      <c r="AJ2628">
        <v>95.273823645929497</v>
      </c>
      <c r="AK2628">
        <v>16.508765099641099</v>
      </c>
    </row>
    <row r="2629" spans="1:37" x14ac:dyDescent="0.2">
      <c r="A2629" t="str">
        <f>"20200111150644601"</f>
        <v>20200111150644601</v>
      </c>
      <c r="B2629" t="str">
        <f>"1578726404598819"</f>
        <v>1578726404598819</v>
      </c>
      <c r="C2629" t="s">
        <v>37</v>
      </c>
      <c r="D2629">
        <v>5.0217660000000004</v>
      </c>
      <c r="E2629">
        <v>0.48206509999999902</v>
      </c>
      <c r="F2629" t="s">
        <v>105</v>
      </c>
      <c r="G2629">
        <v>-215.6927</v>
      </c>
      <c r="H2629" s="1">
        <v>-1.7871260000000001E-6</v>
      </c>
      <c r="I2629">
        <v>-61.796669999999999</v>
      </c>
      <c r="J2629">
        <v>-232.2081</v>
      </c>
      <c r="K2629">
        <v>1.1031089999999999</v>
      </c>
      <c r="L2629">
        <v>-62.899290000000001</v>
      </c>
      <c r="M2629">
        <v>0.99960349999999998</v>
      </c>
      <c r="N2629">
        <v>0</v>
      </c>
      <c r="O2629">
        <v>-2.5400099999999998E-2</v>
      </c>
      <c r="P2629">
        <v>0.98713059999999997</v>
      </c>
      <c r="Q2629">
        <v>0.15850149999999999</v>
      </c>
      <c r="R2629">
        <v>2.1229540000000002E-2</v>
      </c>
      <c r="S2629">
        <v>3.0674290000000002</v>
      </c>
      <c r="T2629">
        <v>-0.20302609999999999</v>
      </c>
      <c r="U2629">
        <v>0.202179</v>
      </c>
      <c r="V2629">
        <v>-4.613047E-2</v>
      </c>
      <c r="W2629">
        <v>0.1705323</v>
      </c>
      <c r="X2629">
        <v>0.98427160000000002</v>
      </c>
      <c r="Y2629">
        <v>-9.0841279999999996E-2</v>
      </c>
      <c r="Z2629">
        <v>4.6776209999999999E-3</v>
      </c>
      <c r="AA2629">
        <v>0.99585440000000003</v>
      </c>
      <c r="AB2629">
        <v>30</v>
      </c>
      <c r="AC2629">
        <v>16.5154</v>
      </c>
      <c r="AD2629">
        <v>-1.103110787126</v>
      </c>
      <c r="AE2629">
        <v>1.1026199999999999</v>
      </c>
      <c r="AF2629">
        <v>-1.5150588767294899</v>
      </c>
      <c r="AG2629">
        <v>-1.103110787126</v>
      </c>
      <c r="AH2629">
        <v>16.409180852240201</v>
      </c>
      <c r="AI2629">
        <v>93.829694469036497</v>
      </c>
      <c r="AJ2629">
        <v>95.275160552944101</v>
      </c>
      <c r="AK2629">
        <v>16.515855201900902</v>
      </c>
    </row>
    <row r="2630" spans="1:37" x14ac:dyDescent="0.2">
      <c r="A2630" t="str">
        <f>"20200111150644615"</f>
        <v>20200111150644615</v>
      </c>
      <c r="B2630" t="str">
        <f>"1578726404609555"</f>
        <v>1578726404609555</v>
      </c>
      <c r="C2630" t="s">
        <v>37</v>
      </c>
      <c r="D2630">
        <v>4.9807079999999999</v>
      </c>
      <c r="E2630">
        <v>0.48198279999999899</v>
      </c>
      <c r="F2630" t="s">
        <v>105</v>
      </c>
      <c r="G2630">
        <v>-215.5558</v>
      </c>
      <c r="H2630" s="1">
        <v>-1.7279119999999999E-6</v>
      </c>
      <c r="I2630">
        <v>-61.794849999999997</v>
      </c>
      <c r="J2630">
        <v>-232.03139999999999</v>
      </c>
      <c r="K2630">
        <v>1.1031120000000001</v>
      </c>
      <c r="L2630">
        <v>-62.904049999999998</v>
      </c>
      <c r="M2630">
        <v>0.99959619999999905</v>
      </c>
      <c r="N2630">
        <v>0</v>
      </c>
      <c r="O2630">
        <v>-2.5682259999999998E-2</v>
      </c>
      <c r="P2630">
        <v>0.98714659999999999</v>
      </c>
      <c r="Q2630">
        <v>0.15841449999999899</v>
      </c>
      <c r="R2630">
        <v>2.1137090000000001E-2</v>
      </c>
      <c r="S2630">
        <v>3.067383</v>
      </c>
      <c r="T2630">
        <v>-0.20319489999999901</v>
      </c>
      <c r="U2630">
        <v>0.20343020000000001</v>
      </c>
      <c r="V2630">
        <v>-4.6317499999999998E-2</v>
      </c>
      <c r="W2630">
        <v>0.17044589999999901</v>
      </c>
      <c r="X2630">
        <v>0.98427779999999998</v>
      </c>
      <c r="Y2630">
        <v>-9.1525229999999999E-2</v>
      </c>
      <c r="Z2630">
        <v>4.7227689999999999E-3</v>
      </c>
      <c r="AA2630">
        <v>0.995791599999999</v>
      </c>
      <c r="AB2630">
        <v>30</v>
      </c>
      <c r="AC2630">
        <v>16.475599999999901</v>
      </c>
      <c r="AD2630">
        <v>-1.103113727912</v>
      </c>
      <c r="AE2630">
        <v>1.1092</v>
      </c>
      <c r="AF2630">
        <v>-1.5251896038803701</v>
      </c>
      <c r="AG2630">
        <v>-1.103113727912</v>
      </c>
      <c r="AH2630">
        <v>16.368628280568299</v>
      </c>
      <c r="AI2630">
        <v>93.838865871638504</v>
      </c>
      <c r="AJ2630">
        <v>95.323313314109697</v>
      </c>
      <c r="AK2630">
        <v>16.476500083813701</v>
      </c>
    </row>
    <row r="2631" spans="1:37" x14ac:dyDescent="0.2">
      <c r="A2631" t="str">
        <f>"20200111150644628"</f>
        <v>20200111150644628</v>
      </c>
      <c r="B2631" t="str">
        <f>"1578726404619315"</f>
        <v>1578726404619315</v>
      </c>
      <c r="C2631" t="s">
        <v>37</v>
      </c>
      <c r="D2631">
        <v>6.0277699999999896</v>
      </c>
      <c r="E2631">
        <v>0.48198279999999899</v>
      </c>
      <c r="F2631" t="s">
        <v>105</v>
      </c>
      <c r="G2631">
        <v>-215.44900000000001</v>
      </c>
      <c r="H2631" s="1">
        <v>-1.6838689999999899E-6</v>
      </c>
      <c r="I2631">
        <v>-61.801459999999999</v>
      </c>
      <c r="J2631">
        <v>-231.84780000000001</v>
      </c>
      <c r="K2631">
        <v>1.1031120000000001</v>
      </c>
      <c r="L2631">
        <v>-62.909089999999999</v>
      </c>
      <c r="M2631">
        <v>0.999588699999999</v>
      </c>
      <c r="N2631">
        <v>0</v>
      </c>
      <c r="O2631">
        <v>-2.5975749999999999E-2</v>
      </c>
      <c r="P2631">
        <v>0.98708700000000005</v>
      </c>
      <c r="Q2631">
        <v>0.15876419999999999</v>
      </c>
      <c r="R2631">
        <v>2.1291919999999999E-2</v>
      </c>
      <c r="S2631">
        <v>3.0674589999999999</v>
      </c>
      <c r="T2631">
        <v>-0.2040563</v>
      </c>
      <c r="U2631">
        <v>0.20394899999999999</v>
      </c>
      <c r="V2631">
        <v>-4.6759549999999997E-2</v>
      </c>
      <c r="W2631">
        <v>0.17079539999999899</v>
      </c>
      <c r="X2631">
        <v>0.98419639999999997</v>
      </c>
      <c r="Y2631">
        <v>-9.1979829999999999E-2</v>
      </c>
      <c r="Z2631">
        <v>4.777178E-3</v>
      </c>
      <c r="AA2631">
        <v>0.99574940000000001</v>
      </c>
      <c r="AB2631">
        <v>30</v>
      </c>
      <c r="AC2631">
        <v>16.398799999999898</v>
      </c>
      <c r="AD2631">
        <v>-1.1031136838690001</v>
      </c>
      <c r="AE2631">
        <v>1.1076299999999999</v>
      </c>
      <c r="AF2631">
        <v>-1.5263833063664001</v>
      </c>
      <c r="AG2631">
        <v>-1.1031136838690001</v>
      </c>
      <c r="AH2631">
        <v>16.291110018165401</v>
      </c>
      <c r="AI2631">
        <v>93.856893231659996</v>
      </c>
      <c r="AJ2631">
        <v>95.352658517321402</v>
      </c>
      <c r="AK2631">
        <v>16.399602782429199</v>
      </c>
    </row>
    <row r="2632" spans="1:37" x14ac:dyDescent="0.2">
      <c r="A2632" t="str">
        <f>"20200111150644641"</f>
        <v>20200111150644641</v>
      </c>
      <c r="B2632" t="str">
        <f>"1578726404638835"</f>
        <v>1578726404638835</v>
      </c>
      <c r="C2632" t="s">
        <v>37</v>
      </c>
      <c r="D2632">
        <v>5.010427</v>
      </c>
      <c r="E2632">
        <v>0.48213080000000003</v>
      </c>
      <c r="F2632" t="s">
        <v>105</v>
      </c>
      <c r="G2632">
        <v>-215.17400000000001</v>
      </c>
      <c r="H2632" s="1">
        <v>-1.5648009999999899E-6</v>
      </c>
      <c r="I2632">
        <v>-61.797280000000001</v>
      </c>
      <c r="J2632">
        <v>-231.67080000000001</v>
      </c>
      <c r="K2632">
        <v>1.1031169999999999</v>
      </c>
      <c r="L2632">
        <v>-62.914029999999997</v>
      </c>
      <c r="M2632">
        <v>0.99958119999999995</v>
      </c>
      <c r="N2632">
        <v>0</v>
      </c>
      <c r="O2632">
        <v>-2.6258380000000001E-2</v>
      </c>
      <c r="P2632">
        <v>0.98698790000000003</v>
      </c>
      <c r="Q2632">
        <v>0.1593677</v>
      </c>
      <c r="R2632">
        <v>2.1375729999999999E-2</v>
      </c>
      <c r="S2632">
        <v>3.0674739999999998</v>
      </c>
      <c r="T2632">
        <v>-0.2029398</v>
      </c>
      <c r="U2632">
        <v>0.20452879999999901</v>
      </c>
      <c r="V2632">
        <v>-4.7118720000000003E-2</v>
      </c>
      <c r="W2632">
        <v>0.1713982</v>
      </c>
      <c r="X2632">
        <v>0.98407440000000002</v>
      </c>
      <c r="Y2632">
        <v>-9.244964E-2</v>
      </c>
      <c r="Z2632">
        <v>4.7852149999999998E-3</v>
      </c>
      <c r="AA2632">
        <v>0.99570579999999997</v>
      </c>
      <c r="AB2632">
        <v>30</v>
      </c>
      <c r="AC2632">
        <v>16.4968</v>
      </c>
      <c r="AD2632">
        <v>-1.103118564801</v>
      </c>
      <c r="AE2632">
        <v>1.1167499999999899</v>
      </c>
      <c r="AF2632">
        <v>-1.5427095334604799</v>
      </c>
      <c r="AG2632">
        <v>-1.103118564801</v>
      </c>
      <c r="AH2632">
        <v>16.388837664708799</v>
      </c>
      <c r="AI2632">
        <v>93.833824379472802</v>
      </c>
      <c r="AJ2632">
        <v>95.377504858924993</v>
      </c>
      <c r="AK2632">
        <v>16.498206668387201</v>
      </c>
    </row>
    <row r="2633" spans="1:37" x14ac:dyDescent="0.2">
      <c r="A2633" t="str">
        <f>"20200111150644654"</f>
        <v>20200111150644654</v>
      </c>
      <c r="B2633" t="str">
        <f>"1578726404649571"</f>
        <v>1578726404649571</v>
      </c>
      <c r="C2633" t="s">
        <v>37</v>
      </c>
      <c r="D2633">
        <v>4.9865659999999998</v>
      </c>
      <c r="E2633">
        <v>0.48208249999999903</v>
      </c>
      <c r="F2633" t="s">
        <v>105</v>
      </c>
      <c r="G2633">
        <v>-214.74340000000001</v>
      </c>
      <c r="H2633" s="1">
        <v>-1.377817E-6</v>
      </c>
      <c r="I2633">
        <v>-61.788819999999902</v>
      </c>
      <c r="J2633">
        <v>-231.50569999999999</v>
      </c>
      <c r="K2633">
        <v>1.1031120000000001</v>
      </c>
      <c r="L2633">
        <v>-62.918640000000003</v>
      </c>
      <c r="M2633">
        <v>0.99957430000000003</v>
      </c>
      <c r="N2633">
        <v>0</v>
      </c>
      <c r="O2633">
        <v>-2.6522299999999999E-2</v>
      </c>
      <c r="P2633">
        <v>0.98687979999999997</v>
      </c>
      <c r="Q2633">
        <v>0.160128399999999</v>
      </c>
      <c r="R2633">
        <v>2.0677419999999998E-2</v>
      </c>
      <c r="S2633">
        <v>3.0673979999999998</v>
      </c>
      <c r="T2633">
        <v>-0.1998952</v>
      </c>
      <c r="U2633">
        <v>0.20388789999999901</v>
      </c>
      <c r="V2633">
        <v>-4.6677929999999999E-2</v>
      </c>
      <c r="W2633">
        <v>0.17215729999999899</v>
      </c>
      <c r="X2633">
        <v>0.98396299999999903</v>
      </c>
      <c r="Y2633">
        <v>-9.251405E-2</v>
      </c>
      <c r="Z2633">
        <v>4.7329850000000003E-3</v>
      </c>
      <c r="AA2633">
        <v>0.99570009999999998</v>
      </c>
      <c r="AB2633">
        <v>30</v>
      </c>
      <c r="AC2633">
        <v>16.7622999999999</v>
      </c>
      <c r="AD2633">
        <v>-1.1031133778169999</v>
      </c>
      <c r="AE2633">
        <v>1.12982</v>
      </c>
      <c r="AF2633">
        <v>-1.56727317252165</v>
      </c>
      <c r="AG2633">
        <v>-1.1031133778169999</v>
      </c>
      <c r="AH2633">
        <v>16.654632379298398</v>
      </c>
      <c r="AI2633">
        <v>93.772809643405907</v>
      </c>
      <c r="AJ2633">
        <v>95.375949630512693</v>
      </c>
      <c r="AK2633">
        <v>16.764545446006</v>
      </c>
    </row>
    <row r="2634" spans="1:37" x14ac:dyDescent="0.2">
      <c r="A2634" t="str">
        <f>"20200111150644666"</f>
        <v>20200111150644666</v>
      </c>
      <c r="B2634" t="str">
        <f>"1578726404659330"</f>
        <v>1578726404659330</v>
      </c>
      <c r="C2634" t="s">
        <v>37</v>
      </c>
      <c r="D2634">
        <v>5.4648129999999897</v>
      </c>
      <c r="E2634">
        <v>0.48208249999999903</v>
      </c>
      <c r="F2634" t="s">
        <v>105</v>
      </c>
      <c r="G2634">
        <v>-214.32310000000001</v>
      </c>
      <c r="H2634" s="1">
        <v>-1.1968740000000001E-6</v>
      </c>
      <c r="I2634">
        <v>-61.786459999999998</v>
      </c>
      <c r="J2634">
        <v>-231.34540000000001</v>
      </c>
      <c r="K2634">
        <v>1.1031150000000001</v>
      </c>
      <c r="L2634">
        <v>-62.923159999999903</v>
      </c>
      <c r="M2634">
        <v>0.99956739999999999</v>
      </c>
      <c r="N2634">
        <v>0</v>
      </c>
      <c r="O2634">
        <v>-2.6778360000000001E-2</v>
      </c>
      <c r="P2634">
        <v>0.98677039999999905</v>
      </c>
      <c r="Q2634">
        <v>0.16082340000000001</v>
      </c>
      <c r="R2634">
        <v>2.0495010000000001E-2</v>
      </c>
      <c r="S2634">
        <v>3.0676269999999999</v>
      </c>
      <c r="T2634">
        <v>-0.19693949999999999</v>
      </c>
      <c r="U2634">
        <v>0.20211789999999999</v>
      </c>
      <c r="V2634">
        <v>-4.674441E-2</v>
      </c>
      <c r="W2634">
        <v>0.17285149999999999</v>
      </c>
      <c r="X2634">
        <v>0.98383809999999905</v>
      </c>
      <c r="Y2634">
        <v>-9.2199680000000006E-2</v>
      </c>
      <c r="Z2634">
        <v>4.6692219999999998E-3</v>
      </c>
      <c r="AA2634">
        <v>0.99572959999999999</v>
      </c>
      <c r="AB2634">
        <v>30</v>
      </c>
      <c r="AC2634">
        <v>17.022300000000001</v>
      </c>
      <c r="AD2634">
        <v>-1.103116196874</v>
      </c>
      <c r="AE2634">
        <v>1.1366999999999901</v>
      </c>
      <c r="AF2634">
        <v>-1.5855263233727199</v>
      </c>
      <c r="AG2634">
        <v>-1.103116196874</v>
      </c>
      <c r="AH2634">
        <v>16.915032901083499</v>
      </c>
      <c r="AI2634">
        <v>93.715029508505907</v>
      </c>
      <c r="AJ2634">
        <v>95.354958702722897</v>
      </c>
      <c r="AK2634">
        <v>17.024955128007001</v>
      </c>
    </row>
    <row r="2635" spans="1:37" x14ac:dyDescent="0.2">
      <c r="A2635" t="str">
        <f>"20200111150644676"</f>
        <v>20200111150644676</v>
      </c>
      <c r="B2635" t="str">
        <f>"1578726404669091"</f>
        <v>1578726404669091</v>
      </c>
      <c r="C2635" t="s">
        <v>37</v>
      </c>
      <c r="D2635">
        <v>5.5880869999999998</v>
      </c>
      <c r="E2635">
        <v>0.46399849999999998</v>
      </c>
      <c r="F2635" t="s">
        <v>105</v>
      </c>
      <c r="G2635">
        <v>-213.9777</v>
      </c>
      <c r="H2635" s="1">
        <v>-1.0481519999999999E-6</v>
      </c>
      <c r="I2635">
        <v>-61.784379999999999</v>
      </c>
      <c r="J2635">
        <v>-231.19399999999999</v>
      </c>
      <c r="K2635">
        <v>1.103118</v>
      </c>
      <c r="L2635">
        <v>-62.927459999999897</v>
      </c>
      <c r="M2635">
        <v>0.99956080000000003</v>
      </c>
      <c r="N2635">
        <v>0</v>
      </c>
      <c r="O2635">
        <v>-2.702034E-2</v>
      </c>
      <c r="P2635">
        <v>0.98665709999999995</v>
      </c>
      <c r="Q2635">
        <v>0.16156779999999901</v>
      </c>
      <c r="R2635">
        <v>2.0095060000000001E-2</v>
      </c>
      <c r="S2635">
        <v>3.0677949999999998</v>
      </c>
      <c r="T2635">
        <v>-0.19485189999999999</v>
      </c>
      <c r="U2635">
        <v>0.2011414</v>
      </c>
      <c r="V2635">
        <v>-4.6579669999999997E-2</v>
      </c>
      <c r="W2635">
        <v>0.173594</v>
      </c>
      <c r="X2635">
        <v>0.98371509999999995</v>
      </c>
      <c r="Y2635">
        <v>-9.2126379999999994E-2</v>
      </c>
      <c r="Z2635">
        <v>4.6326409999999998E-3</v>
      </c>
      <c r="AA2635">
        <v>0.99573650000000002</v>
      </c>
      <c r="AB2635">
        <v>30</v>
      </c>
      <c r="AC2635">
        <v>17.2163</v>
      </c>
      <c r="AD2635">
        <v>-1.1031190481519999</v>
      </c>
      <c r="AE2635">
        <v>1.1430799999999901</v>
      </c>
      <c r="AF2635">
        <v>-1.6013418734487499</v>
      </c>
      <c r="AG2635">
        <v>-1.1031190481519999</v>
      </c>
      <c r="AH2635">
        <v>17.1091910793427</v>
      </c>
      <c r="AI2635">
        <v>93.673043607055106</v>
      </c>
      <c r="AJ2635">
        <v>95.347045128893598</v>
      </c>
      <c r="AK2635">
        <v>17.219337583644599</v>
      </c>
    </row>
    <row r="2636" spans="1:37" x14ac:dyDescent="0.2">
      <c r="A2636" t="str">
        <f>"20200111150644689"</f>
        <v>20200111150644689</v>
      </c>
      <c r="B2636" t="str">
        <f>"1578726404678851"</f>
        <v>1578726404678851</v>
      </c>
      <c r="C2636" t="s">
        <v>37</v>
      </c>
      <c r="D2636">
        <v>5.3280010000000004</v>
      </c>
      <c r="E2636">
        <v>0.46502329999999997</v>
      </c>
      <c r="F2636" t="s">
        <v>103</v>
      </c>
      <c r="G2636">
        <v>-223.50020000000001</v>
      </c>
      <c r="H2636" s="1">
        <v>-9.968971E-7</v>
      </c>
      <c r="I2636">
        <v>-62.080419999999997</v>
      </c>
      <c r="J2636">
        <v>-231.0198</v>
      </c>
      <c r="K2636">
        <v>1.103124</v>
      </c>
      <c r="L2636">
        <v>-62.932499999999997</v>
      </c>
      <c r="M2636">
        <v>0.99955339999999904</v>
      </c>
      <c r="N2636">
        <v>0</v>
      </c>
      <c r="O2636">
        <v>-2.7298800000000002E-2</v>
      </c>
      <c r="P2636">
        <v>0.98654809999999904</v>
      </c>
      <c r="Q2636">
        <v>0.16227659999999999</v>
      </c>
      <c r="R2636">
        <v>1.9737310000000001E-2</v>
      </c>
      <c r="S2636">
        <v>3.1065520000000002</v>
      </c>
      <c r="T2636">
        <v>-0.44540829999999998</v>
      </c>
      <c r="U2636">
        <v>0.3420105</v>
      </c>
      <c r="V2636">
        <v>-4.6493079999999999E-2</v>
      </c>
      <c r="W2636">
        <v>0.1743016</v>
      </c>
      <c r="X2636">
        <v>0.98359409999999903</v>
      </c>
      <c r="Y2636">
        <v>-0.13488820000000001</v>
      </c>
      <c r="Z2636">
        <v>1.3476129999999999E-2</v>
      </c>
      <c r="AA2636">
        <v>0.99076919999999902</v>
      </c>
      <c r="AB2636">
        <v>30</v>
      </c>
      <c r="AC2636">
        <v>7.5195999999999898</v>
      </c>
      <c r="AD2636">
        <v>-1.1031249968971</v>
      </c>
      <c r="AE2636">
        <v>0.85207999999999995</v>
      </c>
      <c r="AF2636">
        <v>-1.03506060606289</v>
      </c>
      <c r="AG2636">
        <v>-1.1031249968971</v>
      </c>
      <c r="AH2636">
        <v>7.3376244869465896</v>
      </c>
      <c r="AI2636">
        <v>98.4671200272834</v>
      </c>
      <c r="AJ2636">
        <v>98.029284844449705</v>
      </c>
      <c r="AK2636">
        <v>7.4919268768749196</v>
      </c>
    </row>
    <row r="2637" spans="1:37" x14ac:dyDescent="0.2">
      <c r="A2637" t="str">
        <f>"20200111150644702"</f>
        <v>20200111150644702</v>
      </c>
      <c r="B2637" t="str">
        <f>"1578726404699347"</f>
        <v>1578726404699347</v>
      </c>
      <c r="C2637" t="s">
        <v>37</v>
      </c>
      <c r="D2637">
        <v>5.0212779999999997</v>
      </c>
      <c r="E2637">
        <v>0.47866609999999998</v>
      </c>
      <c r="F2637" t="s">
        <v>103</v>
      </c>
      <c r="G2637">
        <v>-223.1866</v>
      </c>
      <c r="H2637" s="1">
        <v>-8.6578999999999997E-7</v>
      </c>
      <c r="I2637">
        <v>-62.095649999999999</v>
      </c>
      <c r="J2637">
        <v>-230.8629</v>
      </c>
      <c r="K2637">
        <v>1.103124</v>
      </c>
      <c r="L2637">
        <v>-62.937069999999999</v>
      </c>
      <c r="M2637">
        <v>0.99954639999999995</v>
      </c>
      <c r="N2637">
        <v>0</v>
      </c>
      <c r="O2637">
        <v>-2.7550689999999999E-2</v>
      </c>
      <c r="P2637">
        <v>0.986541</v>
      </c>
      <c r="Q2637">
        <v>0.16235550000000001</v>
      </c>
      <c r="R2637">
        <v>1.943249E-2</v>
      </c>
      <c r="S2637">
        <v>3.106201</v>
      </c>
      <c r="T2637">
        <v>-0.43743859999999901</v>
      </c>
      <c r="U2637">
        <v>0.33184809999999998</v>
      </c>
      <c r="V2637">
        <v>-4.6436140000000001E-2</v>
      </c>
      <c r="W2637">
        <v>0.17438049999999999</v>
      </c>
      <c r="X2637">
        <v>0.98358279999999998</v>
      </c>
      <c r="Y2637">
        <v>-0.13202800000000001</v>
      </c>
      <c r="Z2637">
        <v>1.307646E-2</v>
      </c>
      <c r="AA2637">
        <v>0.99115969999999998</v>
      </c>
      <c r="AB2637">
        <v>30</v>
      </c>
      <c r="AC2637">
        <v>7.6762999999999897</v>
      </c>
      <c r="AD2637">
        <v>-1.1031248657899999</v>
      </c>
      <c r="AE2637">
        <v>0.84141999999999895</v>
      </c>
      <c r="AF2637">
        <v>-1.0315536488913499</v>
      </c>
      <c r="AG2637">
        <v>-1.1031248657899999</v>
      </c>
      <c r="AH2637">
        <v>7.49721390753054</v>
      </c>
      <c r="AI2637">
        <v>98.293293023659203</v>
      </c>
      <c r="AJ2637">
        <v>97.834227293991603</v>
      </c>
      <c r="AK2637">
        <v>7.64782346653835</v>
      </c>
    </row>
    <row r="2638" spans="1:37" x14ac:dyDescent="0.2">
      <c r="A2638" t="str">
        <f>"20200111150644714"</f>
        <v>20200111150644714</v>
      </c>
      <c r="B2638" t="str">
        <f>"1578726404709107"</f>
        <v>1578726404709107</v>
      </c>
      <c r="C2638" t="s">
        <v>37</v>
      </c>
      <c r="D2638">
        <v>4.9781069999999996</v>
      </c>
      <c r="E2638">
        <v>0.4796977</v>
      </c>
      <c r="F2638" t="s">
        <v>105</v>
      </c>
      <c r="G2638">
        <v>-214.47739999999999</v>
      </c>
      <c r="H2638" s="1">
        <v>-1.252437E-6</v>
      </c>
      <c r="I2638">
        <v>-61.746559999999903</v>
      </c>
      <c r="J2638">
        <v>-230.696</v>
      </c>
      <c r="K2638">
        <v>1.103121</v>
      </c>
      <c r="L2638">
        <v>-62.941959999999902</v>
      </c>
      <c r="M2638">
        <v>0.99953899999999996</v>
      </c>
      <c r="N2638">
        <v>0</v>
      </c>
      <c r="O2638">
        <v>-2.7820709999999998E-2</v>
      </c>
      <c r="P2638">
        <v>0.986487</v>
      </c>
      <c r="Q2638">
        <v>0.16273470000000001</v>
      </c>
      <c r="R2638">
        <v>1.9000240000000002E-2</v>
      </c>
      <c r="S2638">
        <v>3.070557</v>
      </c>
      <c r="T2638">
        <v>-0.2067194</v>
      </c>
      <c r="U2638">
        <v>0.22308349999999999</v>
      </c>
      <c r="V2638">
        <v>-4.6267889999999999E-2</v>
      </c>
      <c r="W2638">
        <v>0.17475940000000001</v>
      </c>
      <c r="X2638">
        <v>0.98352349999999999</v>
      </c>
      <c r="Y2638">
        <v>-9.9895319999999996E-2</v>
      </c>
      <c r="Z2638">
        <v>5.2232570000000002E-3</v>
      </c>
      <c r="AA2638">
        <v>0.99498430000000004</v>
      </c>
      <c r="AB2638">
        <v>30</v>
      </c>
      <c r="AC2638">
        <v>16.218599999999999</v>
      </c>
      <c r="AD2638">
        <v>-1.1031222524369999</v>
      </c>
      <c r="AE2638">
        <v>1.19539999999999</v>
      </c>
      <c r="AF2638">
        <v>-1.6386438736009801</v>
      </c>
      <c r="AG2638">
        <v>-1.1031222524369999</v>
      </c>
      <c r="AH2638">
        <v>16.104960437126302</v>
      </c>
      <c r="AI2638">
        <v>93.898335836913702</v>
      </c>
      <c r="AJ2638">
        <v>95.8097244677097</v>
      </c>
      <c r="AK2638">
        <v>16.2256520093867</v>
      </c>
    </row>
    <row r="2639" spans="1:37" x14ac:dyDescent="0.2">
      <c r="A2639" t="str">
        <f>"20200111150644726"</f>
        <v>20200111150644726</v>
      </c>
      <c r="B2639" t="str">
        <f>"1578726404718868"</f>
        <v>1578726404718868</v>
      </c>
      <c r="C2639" t="s">
        <v>37</v>
      </c>
      <c r="D2639">
        <v>5.4430759999999996</v>
      </c>
      <c r="E2639">
        <v>0.4796977</v>
      </c>
      <c r="F2639" t="s">
        <v>105</v>
      </c>
      <c r="G2639">
        <v>-214.6651</v>
      </c>
      <c r="H2639" s="1">
        <v>-1.35495E-6</v>
      </c>
      <c r="I2639">
        <v>-61.829140000000002</v>
      </c>
      <c r="J2639">
        <v>-230.52119999999999</v>
      </c>
      <c r="K2639">
        <v>1.1031200000000001</v>
      </c>
      <c r="L2639">
        <v>-62.947109999999903</v>
      </c>
      <c r="M2639">
        <v>0.99953060000000005</v>
      </c>
      <c r="N2639">
        <v>0</v>
      </c>
      <c r="O2639">
        <v>-2.8111549999999999E-2</v>
      </c>
      <c r="P2639">
        <v>0.98643400000000003</v>
      </c>
      <c r="Q2639">
        <v>0.1631348</v>
      </c>
      <c r="R2639">
        <v>1.829894E-2</v>
      </c>
      <c r="S2639">
        <v>3.0718380000000001</v>
      </c>
      <c r="T2639">
        <v>-0.211380499999999</v>
      </c>
      <c r="U2639">
        <v>0.21322629999999901</v>
      </c>
      <c r="V2639">
        <v>-4.5849979999999999E-2</v>
      </c>
      <c r="W2639">
        <v>0.17516219999999999</v>
      </c>
      <c r="X2639">
        <v>0.9834714</v>
      </c>
      <c r="Y2639">
        <v>-9.6970920000000002E-2</v>
      </c>
      <c r="Z2639">
        <v>5.2587160000000001E-3</v>
      </c>
      <c r="AA2639">
        <v>0.99527339999999997</v>
      </c>
      <c r="AB2639">
        <v>30</v>
      </c>
      <c r="AC2639">
        <v>15.8560999999999</v>
      </c>
      <c r="AD2639">
        <v>-1.1031213549500001</v>
      </c>
      <c r="AE2639">
        <v>1.1179699999999899</v>
      </c>
      <c r="AF2639">
        <v>-1.55580770546243</v>
      </c>
      <c r="AG2639">
        <v>-1.1031213549500001</v>
      </c>
      <c r="AH2639">
        <v>15.7425837405815</v>
      </c>
      <c r="AI2639">
        <v>93.9889341758673</v>
      </c>
      <c r="AJ2639">
        <v>95.644098356647902</v>
      </c>
      <c r="AK2639">
        <v>15.8576907893093</v>
      </c>
    </row>
    <row r="2640" spans="1:37" x14ac:dyDescent="0.2">
      <c r="A2640" t="str">
        <f>"20200111150644739"</f>
        <v>20200111150644739</v>
      </c>
      <c r="B2640" t="str">
        <f>"1578726404729603"</f>
        <v>1578726404729603</v>
      </c>
      <c r="C2640" t="s">
        <v>37</v>
      </c>
      <c r="D2640">
        <v>5.1306560000000001</v>
      </c>
      <c r="E2640">
        <v>0.47818459999999902</v>
      </c>
      <c r="F2640" t="s">
        <v>105</v>
      </c>
      <c r="G2640">
        <v>-214.399</v>
      </c>
      <c r="H2640" s="1">
        <v>-1.244068E-6</v>
      </c>
      <c r="I2640">
        <v>-61.841349999999998</v>
      </c>
      <c r="J2640">
        <v>-230.3673</v>
      </c>
      <c r="K2640">
        <v>1.1031139999999999</v>
      </c>
      <c r="L2640">
        <v>-62.951719999999902</v>
      </c>
      <c r="M2640">
        <v>0.9995231</v>
      </c>
      <c r="N2640">
        <v>0</v>
      </c>
      <c r="O2640">
        <v>-2.837574E-2</v>
      </c>
      <c r="P2640">
        <v>0.98631950000000002</v>
      </c>
      <c r="Q2640">
        <v>0.16392609999999999</v>
      </c>
      <c r="R2640">
        <v>1.7382419999999999E-2</v>
      </c>
      <c r="S2640">
        <v>3.0721129999999999</v>
      </c>
      <c r="T2640">
        <v>-0.210202</v>
      </c>
      <c r="U2640">
        <v>0.210693399999999</v>
      </c>
      <c r="V2640">
        <v>-4.518693E-2</v>
      </c>
      <c r="W2640">
        <v>0.175957</v>
      </c>
      <c r="X2640">
        <v>0.98336019999999902</v>
      </c>
      <c r="Y2640">
        <v>-9.6415089999999995E-2</v>
      </c>
      <c r="Z2640">
        <v>5.228211E-3</v>
      </c>
      <c r="AA2640">
        <v>0.99532749999999903</v>
      </c>
      <c r="AB2640">
        <v>30</v>
      </c>
      <c r="AC2640">
        <v>15.968299999999999</v>
      </c>
      <c r="AD2640">
        <v>-1.1031152440680001</v>
      </c>
      <c r="AE2640">
        <v>1.1103699999999901</v>
      </c>
      <c r="AF2640">
        <v>-1.55568037786015</v>
      </c>
      <c r="AG2640">
        <v>-1.1031152440680001</v>
      </c>
      <c r="AH2640">
        <v>15.855058722931</v>
      </c>
      <c r="AI2640">
        <v>93.960978442444599</v>
      </c>
      <c r="AJ2640">
        <v>95.603859466063</v>
      </c>
      <c r="AK2640">
        <v>15.9693422465468</v>
      </c>
    </row>
    <row r="2641" spans="1:37" x14ac:dyDescent="0.2">
      <c r="A2641" t="str">
        <f>"20200111150644754"</f>
        <v>20200111150644754</v>
      </c>
      <c r="B2641" t="str">
        <f>"1578726404749123"</f>
        <v>1578726404749123</v>
      </c>
      <c r="C2641" t="s">
        <v>37</v>
      </c>
      <c r="D2641">
        <v>4.7728900000000003</v>
      </c>
      <c r="E2641">
        <v>0.47995729999999998</v>
      </c>
      <c r="F2641" t="s">
        <v>105</v>
      </c>
      <c r="G2641">
        <v>-214.09889999999999</v>
      </c>
      <c r="H2641" s="1">
        <v>-1.1013149999999999E-6</v>
      </c>
      <c r="I2641">
        <v>-61.788849999999996</v>
      </c>
      <c r="J2641">
        <v>-230.17619999999999</v>
      </c>
      <c r="K2641">
        <v>1.103113</v>
      </c>
      <c r="L2641">
        <v>-62.95749</v>
      </c>
      <c r="M2641">
        <v>0.9995134</v>
      </c>
      <c r="N2641">
        <v>0</v>
      </c>
      <c r="O2641">
        <v>-2.8712499999999998E-2</v>
      </c>
      <c r="P2641">
        <v>0.98623280000000002</v>
      </c>
      <c r="Q2641">
        <v>0.16470860000000001</v>
      </c>
      <c r="R2641">
        <v>1.4692220000000001E-2</v>
      </c>
      <c r="S2641">
        <v>3.0723880000000001</v>
      </c>
      <c r="T2641">
        <v>-0.208329299999999</v>
      </c>
      <c r="U2641">
        <v>0.21960450000000001</v>
      </c>
      <c r="V2641">
        <v>-4.2821150000000002E-2</v>
      </c>
      <c r="W2641">
        <v>0.17674409999999999</v>
      </c>
      <c r="X2641">
        <v>0.98332489999999995</v>
      </c>
      <c r="Y2641">
        <v>-9.9613779999999999E-2</v>
      </c>
      <c r="Z2641">
        <v>5.3117449999999997E-3</v>
      </c>
      <c r="AA2641">
        <v>0.99501200000000001</v>
      </c>
      <c r="AB2641">
        <v>30</v>
      </c>
      <c r="AC2641">
        <v>16.077300000000001</v>
      </c>
      <c r="AD2641">
        <v>-1.1031141013150001</v>
      </c>
      <c r="AE2641">
        <v>1.1686399999999999</v>
      </c>
      <c r="AF2641">
        <v>-1.6222150139273099</v>
      </c>
      <c r="AG2641">
        <v>-1.1031141013150001</v>
      </c>
      <c r="AH2641">
        <v>15.9623613970991</v>
      </c>
      <c r="AI2641">
        <v>93.933071115798398</v>
      </c>
      <c r="AJ2641">
        <v>95.802904273274095</v>
      </c>
      <c r="AK2641">
        <v>16.0824570151308</v>
      </c>
    </row>
    <row r="2642" spans="1:37" x14ac:dyDescent="0.2">
      <c r="A2642" t="str">
        <f>"20200111150644766"</f>
        <v>20200111150644766</v>
      </c>
      <c r="B2642" t="str">
        <f>"1578726404758883"</f>
        <v>1578726404758883</v>
      </c>
      <c r="C2642" t="s">
        <v>37</v>
      </c>
      <c r="D2642">
        <v>5.1442050000000004</v>
      </c>
      <c r="E2642">
        <v>0.47897109999999898</v>
      </c>
      <c r="F2642" t="s">
        <v>105</v>
      </c>
      <c r="G2642">
        <v>-217.80959999999999</v>
      </c>
      <c r="H2642" s="1">
        <v>-2.794758E-6</v>
      </c>
      <c r="I2642">
        <v>-62.170559999999902</v>
      </c>
      <c r="J2642">
        <v>-230.0042</v>
      </c>
      <c r="K2642">
        <v>1.1030979999999999</v>
      </c>
      <c r="L2642">
        <v>-62.962800000000001</v>
      </c>
      <c r="M2642">
        <v>0.99950409999999901</v>
      </c>
      <c r="N2642">
        <v>0</v>
      </c>
      <c r="O2642">
        <v>-2.9040320000000001E-2</v>
      </c>
      <c r="P2642">
        <v>0.98627430000000005</v>
      </c>
      <c r="Q2642">
        <v>0.16458129999999899</v>
      </c>
      <c r="R2642">
        <v>1.3278140000000001E-2</v>
      </c>
      <c r="S2642">
        <v>3.0849150000000001</v>
      </c>
      <c r="T2642">
        <v>-0.2751767</v>
      </c>
      <c r="U2642">
        <v>0.19628909999999999</v>
      </c>
      <c r="V2642">
        <v>-4.1723429999999999E-2</v>
      </c>
      <c r="W2642">
        <v>0.17662439999999999</v>
      </c>
      <c r="X2642">
        <v>0.98339359999999998</v>
      </c>
      <c r="Y2642">
        <v>-9.1978560000000001E-2</v>
      </c>
      <c r="Z2642">
        <v>6.6732409999999999E-3</v>
      </c>
      <c r="AA2642">
        <v>0.99573860000000003</v>
      </c>
      <c r="AB2642">
        <v>30</v>
      </c>
      <c r="AC2642">
        <v>12.194599999999999</v>
      </c>
      <c r="AD2642">
        <v>-1.1031007947579901</v>
      </c>
      <c r="AE2642">
        <v>0.79224000000000605</v>
      </c>
      <c r="AF2642">
        <v>-1.1368041466379599</v>
      </c>
      <c r="AG2642">
        <v>-1.1031007947579901</v>
      </c>
      <c r="AH2642">
        <v>12.0681130397325</v>
      </c>
      <c r="AI2642">
        <v>95.199786450651999</v>
      </c>
      <c r="AJ2642">
        <v>95.381325488262902</v>
      </c>
      <c r="AK2642">
        <v>12.171627145578</v>
      </c>
    </row>
    <row r="2643" spans="1:37" x14ac:dyDescent="0.2">
      <c r="A2643" t="str">
        <f>"20200111150644778"</f>
        <v>20200111150644778</v>
      </c>
      <c r="B2643" t="str">
        <f>"1578726404769619"</f>
        <v>1578726404769619</v>
      </c>
      <c r="C2643" t="s">
        <v>37</v>
      </c>
      <c r="D2643">
        <v>5.1128169999999997</v>
      </c>
      <c r="E2643">
        <v>0.47816340000000002</v>
      </c>
      <c r="F2643" t="s">
        <v>105</v>
      </c>
      <c r="G2643">
        <v>-217.37530000000001</v>
      </c>
      <c r="H2643" s="1">
        <v>-2.60151999999999E-6</v>
      </c>
      <c r="I2643">
        <v>-62.144449999999999</v>
      </c>
      <c r="J2643">
        <v>-229.8364</v>
      </c>
      <c r="K2643">
        <v>1.1030789999999999</v>
      </c>
      <c r="L2643">
        <v>-62.968019999999903</v>
      </c>
      <c r="M2643">
        <v>0.99949429999999995</v>
      </c>
      <c r="N2643">
        <v>0</v>
      </c>
      <c r="O2643">
        <v>-2.937449E-2</v>
      </c>
      <c r="P2643">
        <v>0.98649370000000003</v>
      </c>
      <c r="Q2643">
        <v>0.16335520000000001</v>
      </c>
      <c r="R2643">
        <v>1.2058360000000001E-2</v>
      </c>
      <c r="S2643">
        <v>3.084015</v>
      </c>
      <c r="T2643">
        <v>-0.26938129999999999</v>
      </c>
      <c r="U2643">
        <v>0.19982910000000001</v>
      </c>
      <c r="V2643">
        <v>-4.0831640000000002E-2</v>
      </c>
      <c r="W2643">
        <v>0.17540819999999999</v>
      </c>
      <c r="X2643">
        <v>0.98364869999999904</v>
      </c>
      <c r="Y2643">
        <v>-9.3480800000000003E-2</v>
      </c>
      <c r="Z2643">
        <v>6.6294309999999999E-3</v>
      </c>
      <c r="AA2643">
        <v>0.99559900000000001</v>
      </c>
      <c r="AB2643">
        <v>30</v>
      </c>
      <c r="AC2643">
        <v>12.461099999999901</v>
      </c>
      <c r="AD2643">
        <v>-1.10308160152</v>
      </c>
      <c r="AE2643">
        <v>0.82356999999999603</v>
      </c>
      <c r="AF2643">
        <v>-1.18007314788238</v>
      </c>
      <c r="AG2643">
        <v>-1.10308160152</v>
      </c>
      <c r="AH2643">
        <v>12.3352874743362</v>
      </c>
      <c r="AI2643">
        <v>95.086973239024701</v>
      </c>
      <c r="AJ2643">
        <v>95.4646532889155</v>
      </c>
      <c r="AK2643">
        <v>12.440606043456199</v>
      </c>
    </row>
    <row r="2644" spans="1:37" x14ac:dyDescent="0.2">
      <c r="A2644" t="str">
        <f>"20200111150644791"</f>
        <v>20200111150644791</v>
      </c>
      <c r="B2644" t="str">
        <f>"1578726404789139"</f>
        <v>1578726404789139</v>
      </c>
      <c r="C2644" t="s">
        <v>37</v>
      </c>
      <c r="D2644">
        <v>5.0421339999999999</v>
      </c>
      <c r="E2644">
        <v>0.47735050000000001</v>
      </c>
      <c r="F2644" t="s">
        <v>105</v>
      </c>
      <c r="G2644">
        <v>-216.9709</v>
      </c>
      <c r="H2644" s="1">
        <v>-2.421852E-6</v>
      </c>
      <c r="I2644">
        <v>-62.121279999999999</v>
      </c>
      <c r="J2644">
        <v>-229.66419999999999</v>
      </c>
      <c r="K2644">
        <v>1.1030519999999999</v>
      </c>
      <c r="L2644">
        <v>-62.97345</v>
      </c>
      <c r="M2644">
        <v>0.99948359999999903</v>
      </c>
      <c r="N2644">
        <v>0</v>
      </c>
      <c r="O2644">
        <v>-2.9731489999999999E-2</v>
      </c>
      <c r="P2644">
        <v>0.98676790000000003</v>
      </c>
      <c r="Q2644">
        <v>0.1617402</v>
      </c>
      <c r="R2644">
        <v>1.137837E-2</v>
      </c>
      <c r="S2644">
        <v>3.0823520000000002</v>
      </c>
      <c r="T2644">
        <v>-0.2642794</v>
      </c>
      <c r="U2644">
        <v>0.20285029999999901</v>
      </c>
      <c r="V2644">
        <v>-4.0503280000000003E-2</v>
      </c>
      <c r="W2644">
        <v>0.1738044</v>
      </c>
      <c r="X2644">
        <v>0.98394689999999996</v>
      </c>
      <c r="Y2644">
        <v>-9.4853370000000006E-2</v>
      </c>
      <c r="Z2644">
        <v>6.5968240000000003E-3</v>
      </c>
      <c r="AA2644">
        <v>0.99546939999999995</v>
      </c>
      <c r="AB2644">
        <v>30</v>
      </c>
      <c r="AC2644">
        <v>12.693299999999899</v>
      </c>
      <c r="AD2644">
        <v>-1.103054421852</v>
      </c>
      <c r="AE2644">
        <v>0.85216999999999299</v>
      </c>
      <c r="AF2644">
        <v>-1.22003994089949</v>
      </c>
      <c r="AG2644">
        <v>-1.103054421852</v>
      </c>
      <c r="AH2644">
        <v>12.567866643196499</v>
      </c>
      <c r="AI2644">
        <v>94.992523747093799</v>
      </c>
      <c r="AJ2644">
        <v>95.544679209913795</v>
      </c>
      <c r="AK2644">
        <v>12.6750344566052</v>
      </c>
    </row>
    <row r="2645" spans="1:37" x14ac:dyDescent="0.2">
      <c r="A2645" t="str">
        <f>"20200111150644804"</f>
        <v>20200111150644804</v>
      </c>
      <c r="B2645" t="str">
        <f>"1578726404798899"</f>
        <v>1578726404798899</v>
      </c>
      <c r="C2645" t="s">
        <v>37</v>
      </c>
      <c r="D2645">
        <v>5.1505409999999996</v>
      </c>
      <c r="E2645">
        <v>0.476643599999999</v>
      </c>
      <c r="F2645" t="s">
        <v>105</v>
      </c>
      <c r="G2645">
        <v>-216.22450000000001</v>
      </c>
      <c r="H2645" s="1">
        <v>-2.0873849999999999E-6</v>
      </c>
      <c r="I2645">
        <v>-62.06765</v>
      </c>
      <c r="J2645">
        <v>-229.49879999999999</v>
      </c>
      <c r="K2645">
        <v>1.1030199999999999</v>
      </c>
      <c r="L2645">
        <v>-62.978760000000001</v>
      </c>
      <c r="M2645">
        <v>0.99947229999999998</v>
      </c>
      <c r="N2645">
        <v>0</v>
      </c>
      <c r="O2645">
        <v>-3.010521E-2</v>
      </c>
      <c r="P2645">
        <v>0.98705330000000002</v>
      </c>
      <c r="Q2645">
        <v>0.1600027</v>
      </c>
      <c r="R2645">
        <v>1.1188119999999999E-2</v>
      </c>
      <c r="S2645">
        <v>3.079269</v>
      </c>
      <c r="T2645">
        <v>-0.25272820000000001</v>
      </c>
      <c r="U2645">
        <v>0.2075195</v>
      </c>
      <c r="V2645">
        <v>-4.0680479999999998E-2</v>
      </c>
      <c r="W2645">
        <v>0.17207839999999999</v>
      </c>
      <c r="X2645">
        <v>0.98424290000000003</v>
      </c>
      <c r="Y2645">
        <v>-9.6823720000000002E-2</v>
      </c>
      <c r="Z2645">
        <v>6.4266749999999997E-3</v>
      </c>
      <c r="AA2645">
        <v>0.99528079999999997</v>
      </c>
      <c r="AB2645">
        <v>30</v>
      </c>
      <c r="AC2645">
        <v>13.274299999999901</v>
      </c>
      <c r="AD2645">
        <v>-1.1030220873850001</v>
      </c>
      <c r="AE2645">
        <v>0.91110999999999998</v>
      </c>
      <c r="AF2645">
        <v>-1.30140858010802</v>
      </c>
      <c r="AG2645">
        <v>-1.1030220873850001</v>
      </c>
      <c r="AH2645">
        <v>13.1504767255967</v>
      </c>
      <c r="AI2645">
        <v>94.771374083439298</v>
      </c>
      <c r="AJ2645">
        <v>95.651750831845604</v>
      </c>
      <c r="AK2645">
        <v>13.260669671177901</v>
      </c>
    </row>
    <row r="2646" spans="1:37" x14ac:dyDescent="0.2">
      <c r="A2646" t="str">
        <f>"20200111150644820"</f>
        <v>20200111150644820</v>
      </c>
      <c r="B2646" t="str">
        <f>"1578726404809636"</f>
        <v>1578726404809636</v>
      </c>
      <c r="C2646" t="s">
        <v>37</v>
      </c>
      <c r="D2646">
        <v>5.3090570000000001</v>
      </c>
      <c r="E2646">
        <v>0.47544709999999901</v>
      </c>
      <c r="F2646" t="s">
        <v>105</v>
      </c>
      <c r="G2646">
        <v>-216.83150000000001</v>
      </c>
      <c r="H2646" s="1">
        <v>-2.358056E-6</v>
      </c>
      <c r="I2646">
        <v>-62.106259999999999</v>
      </c>
      <c r="J2646">
        <v>-229.27780000000001</v>
      </c>
      <c r="K2646">
        <v>1.1029679999999999</v>
      </c>
      <c r="L2646">
        <v>-62.985959999999999</v>
      </c>
      <c r="M2646">
        <v>0.99945640000000002</v>
      </c>
      <c r="N2646">
        <v>0</v>
      </c>
      <c r="O2646">
        <v>-3.0627749999999999E-2</v>
      </c>
      <c r="P2646">
        <v>0.98760029999999999</v>
      </c>
      <c r="Q2646">
        <v>0.1565714</v>
      </c>
      <c r="R2646">
        <v>1.146192E-2</v>
      </c>
      <c r="S2646">
        <v>3.08041399999999</v>
      </c>
      <c r="T2646">
        <v>-0.268231099999999</v>
      </c>
      <c r="U2646">
        <v>0.21215819999999999</v>
      </c>
      <c r="V2646">
        <v>-4.1475919999999999E-2</v>
      </c>
      <c r="W2646">
        <v>0.16866579999999901</v>
      </c>
      <c r="X2646">
        <v>0.98480029999999996</v>
      </c>
      <c r="Y2646">
        <v>-9.8748420000000003E-2</v>
      </c>
      <c r="Z2646">
        <v>6.945527E-3</v>
      </c>
      <c r="AA2646">
        <v>0.99508819999999998</v>
      </c>
      <c r="AB2646">
        <v>30</v>
      </c>
      <c r="AC2646">
        <v>12.446300000000001</v>
      </c>
      <c r="AD2646">
        <v>-1.102970358056</v>
      </c>
      <c r="AE2646">
        <v>0.87969999999999904</v>
      </c>
      <c r="AF2646">
        <v>-1.2507442434352001</v>
      </c>
      <c r="AG2646">
        <v>-1.102970358056</v>
      </c>
      <c r="AH2646">
        <v>12.317265604869901</v>
      </c>
      <c r="AI2646">
        <v>95.090958471566694</v>
      </c>
      <c r="AJ2646">
        <v>95.798167670743197</v>
      </c>
      <c r="AK2646">
        <v>12.429639445862801</v>
      </c>
    </row>
    <row r="2647" spans="1:37" x14ac:dyDescent="0.2">
      <c r="A2647" t="str">
        <f>"20200111150644834"</f>
        <v>20200111150644834</v>
      </c>
      <c r="B2647" t="str">
        <f>"1578726404829664"</f>
        <v>1578726404829664</v>
      </c>
      <c r="C2647" t="s">
        <v>37</v>
      </c>
      <c r="D2647">
        <v>5.1378029999999999</v>
      </c>
      <c r="E2647">
        <v>0.47483159999999902</v>
      </c>
      <c r="F2647" t="s">
        <v>105</v>
      </c>
      <c r="G2647">
        <v>-217.52199999999999</v>
      </c>
      <c r="H2647" s="1">
        <v>-2.66296299999999E-6</v>
      </c>
      <c r="I2647">
        <v>-62.13888</v>
      </c>
      <c r="J2647">
        <v>-229.09790000000001</v>
      </c>
      <c r="K2647">
        <v>1.102935</v>
      </c>
      <c r="L2647">
        <v>-62.991909999999997</v>
      </c>
      <c r="M2647">
        <v>0.99944249999999901</v>
      </c>
      <c r="N2647">
        <v>0</v>
      </c>
      <c r="O2647">
        <v>-3.1074339999999999E-2</v>
      </c>
      <c r="P2647">
        <v>0.98778559999999904</v>
      </c>
      <c r="Q2647">
        <v>0.1554092</v>
      </c>
      <c r="R2647">
        <v>1.1324829999999999E-2</v>
      </c>
      <c r="S2647">
        <v>3.0809329999999999</v>
      </c>
      <c r="T2647">
        <v>-0.28906300000000001</v>
      </c>
      <c r="U2647">
        <v>0.22198490000000001</v>
      </c>
      <c r="V2647">
        <v>-4.1775380000000001E-2</v>
      </c>
      <c r="W2647">
        <v>0.16751459999999899</v>
      </c>
      <c r="X2647">
        <v>0.98498410000000003</v>
      </c>
      <c r="Y2647">
        <v>-0.10224370000000001</v>
      </c>
      <c r="Z2647">
        <v>7.6857940000000001E-3</v>
      </c>
      <c r="AA2647">
        <v>0.99472969999999905</v>
      </c>
      <c r="AB2647">
        <v>30</v>
      </c>
      <c r="AC2647">
        <v>11.575899999999899</v>
      </c>
      <c r="AD2647">
        <v>-1.1029376629630001</v>
      </c>
      <c r="AE2647">
        <v>0.85302999999998896</v>
      </c>
      <c r="AF2647">
        <v>-1.20150980531074</v>
      </c>
      <c r="AG2647">
        <v>-1.1029376629630001</v>
      </c>
      <c r="AH2647">
        <v>11.4405030734188</v>
      </c>
      <c r="AI2647">
        <v>95.476725757445195</v>
      </c>
      <c r="AJ2647">
        <v>95.995365919563696</v>
      </c>
      <c r="AK2647">
        <v>11.556176178716999</v>
      </c>
    </row>
    <row r="2648" spans="1:37" x14ac:dyDescent="0.2">
      <c r="A2648" t="str">
        <f>"20200111150644846"</f>
        <v>20200111150644846</v>
      </c>
      <c r="B2648" t="str">
        <f>"1578726404839423"</f>
        <v>1578726404839423</v>
      </c>
      <c r="C2648" t="s">
        <v>37</v>
      </c>
      <c r="D2648">
        <v>5.1193439999999999</v>
      </c>
      <c r="E2648">
        <v>0.47431409999999902</v>
      </c>
      <c r="F2648" t="s">
        <v>105</v>
      </c>
      <c r="G2648">
        <v>-217.39699999999999</v>
      </c>
      <c r="H2648" s="1">
        <v>-2.60727599999999E-6</v>
      </c>
      <c r="I2648">
        <v>-62.1312</v>
      </c>
      <c r="J2648">
        <v>-228.922</v>
      </c>
      <c r="K2648">
        <v>1.1029059999999999</v>
      </c>
      <c r="L2648">
        <v>-62.997889999999998</v>
      </c>
      <c r="M2648">
        <v>0.99942799999999998</v>
      </c>
      <c r="N2648">
        <v>0</v>
      </c>
      <c r="O2648">
        <v>-3.1536960000000003E-2</v>
      </c>
      <c r="P2648">
        <v>0.98784629999999995</v>
      </c>
      <c r="Q2648">
        <v>0.15504479999999901</v>
      </c>
      <c r="R2648">
        <v>1.10137999999999E-2</v>
      </c>
      <c r="S2648">
        <v>3.0802</v>
      </c>
      <c r="T2648">
        <v>-0.29034120000000002</v>
      </c>
      <c r="U2648">
        <v>0.2265625</v>
      </c>
      <c r="V2648">
        <v>-4.1913220000000001E-2</v>
      </c>
      <c r="W2648">
        <v>0.16715869999999999</v>
      </c>
      <c r="X2648">
        <v>0.98503869999999905</v>
      </c>
      <c r="Y2648">
        <v>-0.1041755</v>
      </c>
      <c r="Z2648">
        <v>7.8552420000000001E-3</v>
      </c>
      <c r="AA2648">
        <v>0.99452790000000002</v>
      </c>
      <c r="AB2648">
        <v>30</v>
      </c>
      <c r="AC2648">
        <v>11.524999999999901</v>
      </c>
      <c r="AD2648">
        <v>-1.1029086072759999</v>
      </c>
      <c r="AE2648">
        <v>0.86669000000000496</v>
      </c>
      <c r="AF2648">
        <v>-1.2186518282088501</v>
      </c>
      <c r="AG2648">
        <v>-1.1029086072759999</v>
      </c>
      <c r="AH2648">
        <v>11.388225582526101</v>
      </c>
      <c r="AI2648">
        <v>95.500429542058399</v>
      </c>
      <c r="AJ2648">
        <v>96.107966799206196</v>
      </c>
      <c r="AK2648">
        <v>11.506224471689301</v>
      </c>
    </row>
    <row r="2649" spans="1:37" x14ac:dyDescent="0.2">
      <c r="A2649" t="str">
        <f>"20200111150644857"</f>
        <v>20200111150644857</v>
      </c>
      <c r="B2649" t="str">
        <f>"1578726404849183"</f>
        <v>1578726404849183</v>
      </c>
      <c r="C2649" t="s">
        <v>37</v>
      </c>
      <c r="D2649">
        <v>5.1713110000000002</v>
      </c>
      <c r="E2649">
        <v>0.47385059999999901</v>
      </c>
      <c r="F2649" t="s">
        <v>105</v>
      </c>
      <c r="G2649">
        <v>-217.4332</v>
      </c>
      <c r="H2649" s="1">
        <v>-2.6250389999999999E-6</v>
      </c>
      <c r="I2649">
        <v>-62.139509999999902</v>
      </c>
      <c r="J2649">
        <v>-228.77279999999999</v>
      </c>
      <c r="K2649">
        <v>1.1028849999999999</v>
      </c>
      <c r="L2649">
        <v>-63.0030199999999</v>
      </c>
      <c r="M2649">
        <v>0.99941499999999905</v>
      </c>
      <c r="N2649">
        <v>0</v>
      </c>
      <c r="O2649">
        <v>-3.1938649999999999E-2</v>
      </c>
      <c r="P2649">
        <v>0.98789130000000003</v>
      </c>
      <c r="Q2649">
        <v>0.15475369999999999</v>
      </c>
      <c r="R2649">
        <v>1.104609E-2</v>
      </c>
      <c r="S2649">
        <v>3.080765</v>
      </c>
      <c r="T2649">
        <v>-0.29575000000000001</v>
      </c>
      <c r="U2649">
        <v>0.2301636</v>
      </c>
      <c r="V2649">
        <v>-4.2336600000000002E-2</v>
      </c>
      <c r="W2649">
        <v>0.1668742</v>
      </c>
      <c r="X2649">
        <v>0.98506890000000003</v>
      </c>
      <c r="Y2649">
        <v>-0.105686999999999</v>
      </c>
      <c r="Z2649">
        <v>8.1098490000000006E-3</v>
      </c>
      <c r="AA2649">
        <v>0.99436639999999998</v>
      </c>
      <c r="AB2649">
        <v>30</v>
      </c>
      <c r="AC2649">
        <v>11.3395999999999</v>
      </c>
      <c r="AD2649">
        <v>-1.1028876250390001</v>
      </c>
      <c r="AE2649">
        <v>0.863509999999997</v>
      </c>
      <c r="AF2649">
        <v>-1.21385180270812</v>
      </c>
      <c r="AG2649">
        <v>-1.1028876250390001</v>
      </c>
      <c r="AH2649">
        <v>11.2008889512081</v>
      </c>
      <c r="AI2649">
        <v>95.590935969413906</v>
      </c>
      <c r="AJ2649">
        <v>96.185064609761397</v>
      </c>
      <c r="AK2649">
        <v>11.320322902183401</v>
      </c>
    </row>
    <row r="2650" spans="1:37" x14ac:dyDescent="0.2">
      <c r="A2650" t="str">
        <f>"20200111150644869"</f>
        <v>20200111150644869</v>
      </c>
      <c r="B2650" t="str">
        <f>"1578726404858944"</f>
        <v>1578726404858944</v>
      </c>
      <c r="C2650" t="s">
        <v>37</v>
      </c>
      <c r="D2650">
        <v>5.1593439999999999</v>
      </c>
      <c r="E2650">
        <v>0.4734003</v>
      </c>
      <c r="F2650" t="s">
        <v>105</v>
      </c>
      <c r="G2650">
        <v>-217.4348</v>
      </c>
      <c r="H2650" s="1">
        <v>-2.6260840000000001E-6</v>
      </c>
      <c r="I2650">
        <v>-62.140839999999997</v>
      </c>
      <c r="J2650">
        <v>-228.6146</v>
      </c>
      <c r="K2650">
        <v>1.1028690000000001</v>
      </c>
      <c r="L2650">
        <v>-63.008479999999999</v>
      </c>
      <c r="M2650">
        <v>0.99940099999999998</v>
      </c>
      <c r="N2650">
        <v>0</v>
      </c>
      <c r="O2650">
        <v>-3.237466E-2</v>
      </c>
      <c r="P2650">
        <v>0.98789869999999902</v>
      </c>
      <c r="Q2650">
        <v>0.15472060000000001</v>
      </c>
      <c r="R2650">
        <v>1.0872980000000001E-2</v>
      </c>
      <c r="S2650">
        <v>3.0811000000000002</v>
      </c>
      <c r="T2650">
        <v>-0.2997108</v>
      </c>
      <c r="U2650">
        <v>0.234283399999999</v>
      </c>
      <c r="V2650">
        <v>-4.2587630000000001E-2</v>
      </c>
      <c r="W2650">
        <v>0.166847</v>
      </c>
      <c r="X2650">
        <v>0.98506260000000001</v>
      </c>
      <c r="Y2650">
        <v>-0.1074078</v>
      </c>
      <c r="Z2650">
        <v>8.3423170000000001E-3</v>
      </c>
      <c r="AA2650">
        <v>0.99417999999999995</v>
      </c>
      <c r="AB2650">
        <v>30</v>
      </c>
      <c r="AC2650">
        <v>11.1798</v>
      </c>
      <c r="AD2650">
        <v>-1.1028716260839999</v>
      </c>
      <c r="AE2650">
        <v>0.86764000000000097</v>
      </c>
      <c r="AF2650">
        <v>-1.2173783569644401</v>
      </c>
      <c r="AG2650">
        <v>-1.1028716260839999</v>
      </c>
      <c r="AH2650">
        <v>11.039063061637099</v>
      </c>
      <c r="AI2650">
        <v>95.671121694127706</v>
      </c>
      <c r="AJ2650">
        <v>96.293100222979703</v>
      </c>
      <c r="AK2650">
        <v>11.1606115050398</v>
      </c>
    </row>
    <row r="2651" spans="1:37" x14ac:dyDescent="0.2">
      <c r="A2651" t="str">
        <f>"20200111150644881"</f>
        <v>20200111150644881</v>
      </c>
      <c r="B2651" t="str">
        <f>"1578726404879440"</f>
        <v>1578726404879440</v>
      </c>
      <c r="C2651" t="s">
        <v>37</v>
      </c>
      <c r="D2651">
        <v>5.1540419999999996</v>
      </c>
      <c r="E2651">
        <v>0.44865929999999998</v>
      </c>
      <c r="F2651" t="s">
        <v>105</v>
      </c>
      <c r="G2651">
        <v>-217.01429999999999</v>
      </c>
      <c r="H2651" s="1">
        <v>-2.438493E-6</v>
      </c>
      <c r="I2651">
        <v>-62.113750000000003</v>
      </c>
      <c r="J2651">
        <v>-228.4632</v>
      </c>
      <c r="K2651">
        <v>1.102857</v>
      </c>
      <c r="L2651">
        <v>-63.013849999999998</v>
      </c>
      <c r="M2651">
        <v>0.99938709999999997</v>
      </c>
      <c r="N2651">
        <v>0</v>
      </c>
      <c r="O2651">
        <v>-3.2802119999999997E-2</v>
      </c>
      <c r="P2651">
        <v>0.98784669999999897</v>
      </c>
      <c r="Q2651">
        <v>0.15504409999999999</v>
      </c>
      <c r="R2651">
        <v>1.0975550000000001E-2</v>
      </c>
      <c r="S2651">
        <v>3.0800019999999999</v>
      </c>
      <c r="T2651">
        <v>-0.29282579999999903</v>
      </c>
      <c r="U2651">
        <v>0.23754879999999901</v>
      </c>
      <c r="V2651">
        <v>-4.3105159999999997E-2</v>
      </c>
      <c r="W2651">
        <v>0.1671752</v>
      </c>
      <c r="X2651">
        <v>0.98498449999999904</v>
      </c>
      <c r="Y2651">
        <v>-0.108928199999999</v>
      </c>
      <c r="Z2651">
        <v>8.2666179999999999E-3</v>
      </c>
      <c r="AA2651">
        <v>0.99401530000000005</v>
      </c>
      <c r="AB2651">
        <v>30</v>
      </c>
      <c r="AC2651">
        <v>11.4489</v>
      </c>
      <c r="AD2651">
        <v>-1.1028594384929999</v>
      </c>
      <c r="AE2651">
        <v>0.90009999999999402</v>
      </c>
      <c r="AF2651">
        <v>-1.26353914034694</v>
      </c>
      <c r="AG2651">
        <v>-1.1028594384929999</v>
      </c>
      <c r="AH2651">
        <v>11.3089170187948</v>
      </c>
      <c r="AI2651">
        <v>95.535712370943102</v>
      </c>
      <c r="AJ2651">
        <v>96.375185832922895</v>
      </c>
      <c r="AK2651">
        <v>11.432604000762399</v>
      </c>
    </row>
    <row r="2652" spans="1:37" x14ac:dyDescent="0.2">
      <c r="A2652" t="str">
        <f>"20200111150644894"</f>
        <v>20200111150644894</v>
      </c>
      <c r="B2652" t="str">
        <f>"1578726404889199"</f>
        <v>1578726404889199</v>
      </c>
      <c r="C2652" t="s">
        <v>37</v>
      </c>
      <c r="D2652">
        <v>4.2677649999999998</v>
      </c>
      <c r="E2652">
        <v>0.44865929999999998</v>
      </c>
      <c r="F2652" t="s">
        <v>76</v>
      </c>
      <c r="G2652">
        <v>-157.9383</v>
      </c>
      <c r="H2652">
        <v>17.26857</v>
      </c>
      <c r="I2652">
        <v>-52.304319999999997</v>
      </c>
      <c r="J2652">
        <v>-228.297</v>
      </c>
      <c r="K2652">
        <v>1.1028469999999999</v>
      </c>
      <c r="L2652">
        <v>-63.019779999999997</v>
      </c>
      <c r="M2652">
        <v>0.99937129999999996</v>
      </c>
      <c r="N2652">
        <v>0</v>
      </c>
      <c r="O2652">
        <v>-3.3275109999999997E-2</v>
      </c>
      <c r="P2652">
        <v>0.98783929999999998</v>
      </c>
      <c r="Q2652">
        <v>0.1550945</v>
      </c>
      <c r="R2652">
        <v>1.093305E-2</v>
      </c>
      <c r="S2652">
        <v>2.926666</v>
      </c>
      <c r="T2652">
        <v>0.67084869999999996</v>
      </c>
      <c r="U2652">
        <v>0.44442749999999998</v>
      </c>
      <c r="V2652">
        <v>-4.3525109999999999E-2</v>
      </c>
      <c r="W2652">
        <v>0.16723109999999999</v>
      </c>
      <c r="X2652">
        <v>0.98495650000000001</v>
      </c>
      <c r="Y2652">
        <v>-0.177596799999999</v>
      </c>
      <c r="Z2652">
        <v>-2.7476009999999999E-2</v>
      </c>
      <c r="AA2652">
        <v>0.98371969999999997</v>
      </c>
      <c r="AB2652">
        <v>30</v>
      </c>
      <c r="AC2652">
        <v>70.358699999999999</v>
      </c>
      <c r="AD2652">
        <v>16.165723</v>
      </c>
      <c r="AE2652">
        <v>10.71546</v>
      </c>
      <c r="AF2652">
        <v>-12.410586324751099</v>
      </c>
      <c r="AG2652">
        <v>16.165723</v>
      </c>
      <c r="AH2652">
        <v>66.530589457604094</v>
      </c>
      <c r="AI2652">
        <v>76.565960450920002</v>
      </c>
      <c r="AJ2652">
        <v>100.56648533265199</v>
      </c>
      <c r="AK2652">
        <v>69.5821283564471</v>
      </c>
    </row>
    <row r="2653" spans="1:37" x14ac:dyDescent="0.2">
      <c r="A2653" t="str">
        <f>"20200111150644905"</f>
        <v>20200111150644905</v>
      </c>
      <c r="B2653" t="str">
        <f>"1578726404898960"</f>
        <v>1578726404898960</v>
      </c>
      <c r="C2653" t="s">
        <v>37</v>
      </c>
      <c r="D2653">
        <v>5.1882519999999896</v>
      </c>
      <c r="E2653">
        <v>0.4578449</v>
      </c>
      <c r="F2653" t="s">
        <v>76</v>
      </c>
      <c r="G2653">
        <v>-157.9383</v>
      </c>
      <c r="H2653">
        <v>17.22936</v>
      </c>
      <c r="I2653">
        <v>-52.33558</v>
      </c>
      <c r="J2653">
        <v>-228.13669999999999</v>
      </c>
      <c r="K2653">
        <v>1.102841</v>
      </c>
      <c r="L2653">
        <v>-63.025599999999997</v>
      </c>
      <c r="M2653">
        <v>0.99935569999999896</v>
      </c>
      <c r="N2653">
        <v>0</v>
      </c>
      <c r="O2653">
        <v>-3.3738599999999903E-2</v>
      </c>
      <c r="P2653">
        <v>0.9878593</v>
      </c>
      <c r="Q2653">
        <v>0.15496650000000001</v>
      </c>
      <c r="R2653">
        <v>1.093088E-2</v>
      </c>
      <c r="S2653">
        <v>2.9266969999999999</v>
      </c>
      <c r="T2653">
        <v>0.6708094</v>
      </c>
      <c r="U2653">
        <v>0.44442749999999998</v>
      </c>
      <c r="V2653">
        <v>-4.3978789999999997E-2</v>
      </c>
      <c r="W2653">
        <v>0.1671079</v>
      </c>
      <c r="X2653">
        <v>0.98495730000000004</v>
      </c>
      <c r="Y2653">
        <v>-0.1780292</v>
      </c>
      <c r="Z2653">
        <v>-2.76271999999999E-2</v>
      </c>
      <c r="AA2653">
        <v>0.98363729999999905</v>
      </c>
      <c r="AB2653">
        <v>30</v>
      </c>
      <c r="AC2653">
        <v>70.198399999999907</v>
      </c>
      <c r="AD2653">
        <v>16.126518999999998</v>
      </c>
      <c r="AE2653">
        <v>10.690019999999899</v>
      </c>
      <c r="AF2653">
        <v>-12.412296154333299</v>
      </c>
      <c r="AG2653">
        <v>16.126518999999998</v>
      </c>
      <c r="AH2653">
        <v>66.374238264715601</v>
      </c>
      <c r="AI2653">
        <v>76.568021463420095</v>
      </c>
      <c r="AJ2653">
        <v>100.59223938819601</v>
      </c>
      <c r="AK2653">
        <v>69.423837520706698</v>
      </c>
    </row>
    <row r="2654" spans="1:37" x14ac:dyDescent="0.2">
      <c r="A2654" t="str">
        <f>"20200111150644917"</f>
        <v>20200111150644917</v>
      </c>
      <c r="B2654" t="str">
        <f>"1578726404909698"</f>
        <v>1578726404909698</v>
      </c>
      <c r="C2654" t="s">
        <v>37</v>
      </c>
      <c r="D2654">
        <v>5.1037710000000001</v>
      </c>
      <c r="E2654">
        <v>0.46240229999999999</v>
      </c>
      <c r="F2654" t="s">
        <v>76</v>
      </c>
      <c r="G2654">
        <v>-157.9383</v>
      </c>
      <c r="H2654">
        <v>4.4989179999999998</v>
      </c>
      <c r="I2654">
        <v>-54.500519999999902</v>
      </c>
      <c r="J2654">
        <v>-227.98009999999999</v>
      </c>
      <c r="K2654">
        <v>1.1028370000000001</v>
      </c>
      <c r="L2654">
        <v>-63.031369999999903</v>
      </c>
      <c r="M2654">
        <v>0.99934040000000002</v>
      </c>
      <c r="N2654">
        <v>0</v>
      </c>
      <c r="O2654">
        <v>-3.4192649999999998E-2</v>
      </c>
      <c r="P2654">
        <v>0.98783980000000005</v>
      </c>
      <c r="Q2654">
        <v>0.1551148</v>
      </c>
      <c r="R2654">
        <v>1.0581409999999999E-2</v>
      </c>
      <c r="S2654">
        <v>3.009979</v>
      </c>
      <c r="T2654">
        <v>0.14561650000000001</v>
      </c>
      <c r="U2654">
        <v>0.36553959999999902</v>
      </c>
      <c r="V2654">
        <v>-4.4073920000000003E-2</v>
      </c>
      <c r="W2654">
        <v>0.167259299999999</v>
      </c>
      <c r="X2654">
        <v>0.98492729999999995</v>
      </c>
      <c r="Y2654">
        <v>-0.15421479999999901</v>
      </c>
      <c r="Z2654">
        <v>-5.3623899999999999E-3</v>
      </c>
      <c r="AA2654">
        <v>0.98802279999999998</v>
      </c>
      <c r="AB2654">
        <v>30</v>
      </c>
      <c r="AC2654">
        <v>70.041799999999995</v>
      </c>
      <c r="AD2654">
        <v>3.3960809999999899</v>
      </c>
      <c r="AE2654">
        <v>8.5308499999999992</v>
      </c>
      <c r="AF2654">
        <v>-10.8957141375438</v>
      </c>
      <c r="AG2654">
        <v>3.3960809999999899</v>
      </c>
      <c r="AH2654">
        <v>69.548010301724105</v>
      </c>
      <c r="AI2654">
        <v>87.238060755554997</v>
      </c>
      <c r="AJ2654">
        <v>98.903848733006001</v>
      </c>
      <c r="AK2654">
        <v>70.478193007868398</v>
      </c>
    </row>
    <row r="2655" spans="1:37" x14ac:dyDescent="0.2">
      <c r="A2655" t="str">
        <f>"20200111150644928"</f>
        <v>20200111150644928</v>
      </c>
      <c r="B2655" t="str">
        <f>"1578726404919455"</f>
        <v>1578726404919455</v>
      </c>
      <c r="C2655" t="s">
        <v>37</v>
      </c>
      <c r="D2655">
        <v>5.1684659999999996</v>
      </c>
      <c r="E2655">
        <v>0.46380549999999998</v>
      </c>
      <c r="F2655" t="s">
        <v>76</v>
      </c>
      <c r="G2655">
        <v>-157.3501</v>
      </c>
      <c r="H2655">
        <v>1.2015180000000001</v>
      </c>
      <c r="I2655">
        <v>-55.427990000000001</v>
      </c>
      <c r="J2655">
        <v>-227.8219</v>
      </c>
      <c r="K2655">
        <v>1.10284</v>
      </c>
      <c r="L2655">
        <v>-63.037230000000001</v>
      </c>
      <c r="M2655">
        <v>0.99932430000000005</v>
      </c>
      <c r="N2655">
        <v>0</v>
      </c>
      <c r="O2655">
        <v>-3.4653219999999998E-2</v>
      </c>
      <c r="P2655">
        <v>0.98779899999999998</v>
      </c>
      <c r="Q2655">
        <v>0.155410299999999</v>
      </c>
      <c r="R2655">
        <v>1.00433E-2</v>
      </c>
      <c r="S2655">
        <v>3.0327449999999998</v>
      </c>
      <c r="T2655">
        <v>4.2363409999999898E-3</v>
      </c>
      <c r="U2655">
        <v>0.32647709999999902</v>
      </c>
      <c r="V2655">
        <v>-4.3988069999999997E-2</v>
      </c>
      <c r="W2655">
        <v>0.16755780000000001</v>
      </c>
      <c r="X2655">
        <v>0.98488039999999999</v>
      </c>
      <c r="Y2655">
        <v>-0.14142460000000001</v>
      </c>
      <c r="Z2655">
        <v>-1.4677639999999999E-4</v>
      </c>
      <c r="AA2655">
        <v>0.98994899999999997</v>
      </c>
      <c r="AB2655">
        <v>30</v>
      </c>
      <c r="AC2655">
        <v>70.471800000000002</v>
      </c>
      <c r="AD2655">
        <v>9.8678000000000002E-2</v>
      </c>
      <c r="AE2655">
        <v>7.6092399999999998</v>
      </c>
      <c r="AF2655">
        <v>-10.0469077928289</v>
      </c>
      <c r="AG2655">
        <v>9.8678000000000002E-2</v>
      </c>
      <c r="AH2655">
        <v>70.165627609116697</v>
      </c>
      <c r="AI2655">
        <v>89.920235224434293</v>
      </c>
      <c r="AJ2655">
        <v>98.148704607493798</v>
      </c>
      <c r="AK2655">
        <v>70.881347273641197</v>
      </c>
    </row>
    <row r="2656" spans="1:37" x14ac:dyDescent="0.2">
      <c r="A2656" t="str">
        <f>"20200111150644943"</f>
        <v>20200111150644943</v>
      </c>
      <c r="B2656" t="str">
        <f>"1578726404938976"</f>
        <v>1578726404938976</v>
      </c>
      <c r="C2656" t="s">
        <v>37</v>
      </c>
      <c r="D2656">
        <v>5.8314019999999998</v>
      </c>
      <c r="E2656">
        <v>0.46364499999999997</v>
      </c>
      <c r="F2656" t="s">
        <v>85</v>
      </c>
      <c r="G2656">
        <v>-185.4256</v>
      </c>
      <c r="H2656" s="1">
        <v>-1.33542E-5</v>
      </c>
      <c r="I2656">
        <v>-58.686419999999998</v>
      </c>
      <c r="J2656">
        <v>-227.63159999999999</v>
      </c>
      <c r="K2656">
        <v>1.10284</v>
      </c>
      <c r="L2656">
        <v>-63.044429999999998</v>
      </c>
      <c r="M2656">
        <v>0.99930490000000005</v>
      </c>
      <c r="N2656">
        <v>0</v>
      </c>
      <c r="O2656">
        <v>-3.5207130000000003E-2</v>
      </c>
      <c r="P2656">
        <v>0.98774089999999903</v>
      </c>
      <c r="Q2656">
        <v>0.15588179999999999</v>
      </c>
      <c r="R2656">
        <v>8.2871960000000001E-3</v>
      </c>
      <c r="S2656">
        <v>3.046341</v>
      </c>
      <c r="T2656">
        <v>-7.9244259999999997E-2</v>
      </c>
      <c r="U2656">
        <v>0.31262209999999901</v>
      </c>
      <c r="V2656">
        <v>-4.2775720000000003E-2</v>
      </c>
      <c r="W2656">
        <v>0.16803029999999999</v>
      </c>
      <c r="X2656">
        <v>0.98485330000000004</v>
      </c>
      <c r="Y2656">
        <v>-0.1369909</v>
      </c>
      <c r="Z2656">
        <v>2.6904300000000002E-3</v>
      </c>
      <c r="AA2656">
        <v>0.99056860000000002</v>
      </c>
      <c r="AB2656">
        <v>30</v>
      </c>
      <c r="AC2656">
        <v>42.205999999999896</v>
      </c>
      <c r="AD2656">
        <v>-1.1028533542000001</v>
      </c>
      <c r="AE2656">
        <v>4.3580100000000002</v>
      </c>
      <c r="AF2656">
        <v>-5.8374278152966896</v>
      </c>
      <c r="AG2656">
        <v>-1.1028533542000001</v>
      </c>
      <c r="AH2656">
        <v>41.998012042490402</v>
      </c>
      <c r="AI2656">
        <v>91.489905398214106</v>
      </c>
      <c r="AJ2656">
        <v>97.9130123506378</v>
      </c>
      <c r="AK2656">
        <v>42.416092047014899</v>
      </c>
    </row>
    <row r="2657" spans="1:37" x14ac:dyDescent="0.2">
      <c r="A2657" t="str">
        <f>"20200111150644955"</f>
        <v>20200111150644955</v>
      </c>
      <c r="B2657" t="str">
        <f>"1578726404949711"</f>
        <v>1578726404949711</v>
      </c>
      <c r="C2657" t="s">
        <v>37</v>
      </c>
      <c r="D2657">
        <v>4.8787690000000001</v>
      </c>
      <c r="E2657">
        <v>0.46364499999999997</v>
      </c>
      <c r="F2657" t="s">
        <v>76</v>
      </c>
      <c r="G2657">
        <v>-167.99870000000001</v>
      </c>
      <c r="H2657">
        <v>10.264379999999999</v>
      </c>
      <c r="I2657">
        <v>-56.71096</v>
      </c>
      <c r="J2657">
        <v>-227.48310000000001</v>
      </c>
      <c r="K2657">
        <v>1.1028389999999999</v>
      </c>
      <c r="L2657">
        <v>-63.050080000000001</v>
      </c>
      <c r="M2657">
        <v>0.99928980000000001</v>
      </c>
      <c r="N2657">
        <v>0</v>
      </c>
      <c r="O2657">
        <v>-3.563906E-2</v>
      </c>
      <c r="P2657">
        <v>0.98771189999999998</v>
      </c>
      <c r="Q2657">
        <v>0.1561226</v>
      </c>
      <c r="R2657">
        <v>7.1471850000000003E-3</v>
      </c>
      <c r="S2657">
        <v>2.96275299999999</v>
      </c>
      <c r="T2657">
        <v>0.455172999999999</v>
      </c>
      <c r="U2657">
        <v>0.31466669999999902</v>
      </c>
      <c r="V2657">
        <v>-4.2060599999999997E-2</v>
      </c>
      <c r="W2657">
        <v>0.16827239999999999</v>
      </c>
      <c r="X2657">
        <v>0.98484280000000002</v>
      </c>
      <c r="Y2657">
        <v>-0.13896120000000001</v>
      </c>
      <c r="Z2657">
        <v>-1.6013380000000001E-2</v>
      </c>
      <c r="AA2657">
        <v>0.9901683</v>
      </c>
      <c r="AB2657">
        <v>30</v>
      </c>
      <c r="AC2657">
        <v>59.484400000000001</v>
      </c>
      <c r="AD2657">
        <v>9.1615409999999997</v>
      </c>
      <c r="AE2657">
        <v>6.3391200000000003</v>
      </c>
      <c r="AF2657">
        <v>-8.2614508208575703</v>
      </c>
      <c r="AG2657">
        <v>9.1615409999999997</v>
      </c>
      <c r="AH2657">
        <v>57.863507549041898</v>
      </c>
      <c r="AI2657">
        <v>81.091897215874994</v>
      </c>
      <c r="AJ2657">
        <v>98.125478860830896</v>
      </c>
      <c r="AK2657">
        <v>59.163932501467102</v>
      </c>
    </row>
    <row r="2658" spans="1:37" x14ac:dyDescent="0.2">
      <c r="A2658" t="str">
        <f>"20200111150644966"</f>
        <v>20200111150644966</v>
      </c>
      <c r="B2658" t="str">
        <f>"1578726404959472"</f>
        <v>1578726404959472</v>
      </c>
      <c r="C2658" t="s">
        <v>37</v>
      </c>
      <c r="D2658">
        <v>4.9203739999999998</v>
      </c>
      <c r="E2658">
        <v>0.4741088</v>
      </c>
      <c r="F2658" t="s">
        <v>76</v>
      </c>
      <c r="G2658">
        <v>-167.99870000000001</v>
      </c>
      <c r="H2658">
        <v>10.256869999999999</v>
      </c>
      <c r="I2658">
        <v>-56.800930000000001</v>
      </c>
      <c r="J2658">
        <v>-227.31880000000001</v>
      </c>
      <c r="K2658">
        <v>1.102838</v>
      </c>
      <c r="L2658">
        <v>-63.056459999999902</v>
      </c>
      <c r="M2658">
        <v>0.99927250000000001</v>
      </c>
      <c r="N2658">
        <v>0</v>
      </c>
      <c r="O2658">
        <v>-3.6115330000000001E-2</v>
      </c>
      <c r="P2658">
        <v>0.98758539999999995</v>
      </c>
      <c r="Q2658">
        <v>0.15698199999999901</v>
      </c>
      <c r="R2658">
        <v>5.6660579999999999E-3</v>
      </c>
      <c r="S2658">
        <v>2.9630130000000001</v>
      </c>
      <c r="T2658">
        <v>0.45597489999999902</v>
      </c>
      <c r="U2658">
        <v>0.31127929999999998</v>
      </c>
      <c r="V2658">
        <v>-4.1044339999999999E-2</v>
      </c>
      <c r="W2658">
        <v>0.169131</v>
      </c>
      <c r="X2658">
        <v>0.98473860000000002</v>
      </c>
      <c r="Y2658">
        <v>-0.13829949999999999</v>
      </c>
      <c r="Z2658">
        <v>-1.6063020000000001E-2</v>
      </c>
      <c r="AA2658">
        <v>0.99026019999999904</v>
      </c>
      <c r="AB2658">
        <v>30</v>
      </c>
      <c r="AC2658">
        <v>59.320099999999996</v>
      </c>
      <c r="AD2658">
        <v>9.1540320000000008</v>
      </c>
      <c r="AE2658">
        <v>6.2555299999999798</v>
      </c>
      <c r="AF2658">
        <v>-8.2008325693846906</v>
      </c>
      <c r="AG2658">
        <v>9.1540320000000008</v>
      </c>
      <c r="AH2658">
        <v>57.696617287656601</v>
      </c>
      <c r="AI2658">
        <v>81.0729672507847</v>
      </c>
      <c r="AJ2658">
        <v>98.089670612624801</v>
      </c>
      <c r="AK2658">
        <v>58.991097659955599</v>
      </c>
    </row>
    <row r="2659" spans="1:37" x14ac:dyDescent="0.2">
      <c r="A2659" t="str">
        <f>"20200111150644978"</f>
        <v>20200111150644978</v>
      </c>
      <c r="B2659" t="str">
        <f>"1578726404969232"</f>
        <v>1578726404969232</v>
      </c>
      <c r="C2659" t="s">
        <v>37</v>
      </c>
      <c r="D2659">
        <v>5.0929830000000003</v>
      </c>
      <c r="E2659">
        <v>0.47275349999999999</v>
      </c>
      <c r="F2659" t="s">
        <v>105</v>
      </c>
      <c r="G2659">
        <v>-215.78739999999999</v>
      </c>
      <c r="H2659" s="1">
        <v>-1.9486849999999999E-6</v>
      </c>
      <c r="I2659">
        <v>-62.251080000000002</v>
      </c>
      <c r="J2659">
        <v>-227.17590000000001</v>
      </c>
      <c r="K2659">
        <v>1.1028389999999999</v>
      </c>
      <c r="L2659">
        <v>-63.062040000000003</v>
      </c>
      <c r="M2659">
        <v>0.99925739999999996</v>
      </c>
      <c r="N2659">
        <v>0</v>
      </c>
      <c r="O2659">
        <v>-3.6528770000000002E-2</v>
      </c>
      <c r="P2659">
        <v>0.98751889999999998</v>
      </c>
      <c r="Q2659">
        <v>0.1574362</v>
      </c>
      <c r="R2659">
        <v>4.5074299999999998E-3</v>
      </c>
      <c r="S2659">
        <v>3.0833439999999999</v>
      </c>
      <c r="T2659">
        <v>-0.29488589999999998</v>
      </c>
      <c r="U2659">
        <v>0.215332</v>
      </c>
      <c r="V2659">
        <v>-4.0290289999999999E-2</v>
      </c>
      <c r="W2659">
        <v>0.1695855</v>
      </c>
      <c r="X2659">
        <v>0.984691599999999</v>
      </c>
      <c r="Y2659">
        <v>-0.10541879999999999</v>
      </c>
      <c r="Z2659">
        <v>8.5056650000000008E-3</v>
      </c>
      <c r="AA2659">
        <v>0.99439159999999904</v>
      </c>
      <c r="AB2659">
        <v>30</v>
      </c>
      <c r="AC2659">
        <v>11.388500000000001</v>
      </c>
      <c r="AD2659">
        <v>-1.1028409486849999</v>
      </c>
      <c r="AE2659">
        <v>0.81096000000000101</v>
      </c>
      <c r="AF2659">
        <v>-1.2151203974853</v>
      </c>
      <c r="AG2659">
        <v>-1.1028409486849999</v>
      </c>
      <c r="AH2659">
        <v>11.246340739808099</v>
      </c>
      <c r="AI2659">
        <v>95.568440912657493</v>
      </c>
      <c r="AJ2659">
        <v>96.166648916053603</v>
      </c>
      <c r="AK2659">
        <v>11.3654280946363</v>
      </c>
    </row>
    <row r="2660" spans="1:37" x14ac:dyDescent="0.2">
      <c r="A2660" t="str">
        <f>"20200111150644988"</f>
        <v>20200111150644988</v>
      </c>
      <c r="B2660" t="str">
        <f>"1578726404978992"</f>
        <v>1578726404978992</v>
      </c>
      <c r="C2660" t="s">
        <v>37</v>
      </c>
      <c r="D2660">
        <v>5.1398380000000001</v>
      </c>
      <c r="E2660">
        <v>0.47130539999999999</v>
      </c>
      <c r="F2660" t="s">
        <v>105</v>
      </c>
      <c r="G2660">
        <v>-215.94210000000001</v>
      </c>
      <c r="H2660" s="1">
        <v>-2.0150749999999999E-6</v>
      </c>
      <c r="I2660">
        <v>-62.251130000000003</v>
      </c>
      <c r="J2660">
        <v>-227.0258</v>
      </c>
      <c r="K2660">
        <v>1.102835</v>
      </c>
      <c r="L2660">
        <v>-63.067959999999999</v>
      </c>
      <c r="M2660">
        <v>0.9992415</v>
      </c>
      <c r="N2660">
        <v>0</v>
      </c>
      <c r="O2660">
        <v>-3.6962479999999999E-2</v>
      </c>
      <c r="P2660">
        <v>0.98740699999999904</v>
      </c>
      <c r="Q2660">
        <v>0.15816649999999999</v>
      </c>
      <c r="R2660">
        <v>3.3139319999999999E-3</v>
      </c>
      <c r="S2660">
        <v>3.085175</v>
      </c>
      <c r="T2660">
        <v>-0.30287619999999998</v>
      </c>
      <c r="U2660">
        <v>0.22268679999999999</v>
      </c>
      <c r="V2660">
        <v>-3.9519890000000002E-2</v>
      </c>
      <c r="W2660">
        <v>0.1703152</v>
      </c>
      <c r="X2660">
        <v>0.98459680000000005</v>
      </c>
      <c r="Y2660">
        <v>-0.1081182</v>
      </c>
      <c r="Z2660">
        <v>8.9036540000000004E-3</v>
      </c>
      <c r="AA2660">
        <v>0.99409820000000004</v>
      </c>
      <c r="AB2660">
        <v>30</v>
      </c>
      <c r="AC2660">
        <v>11.083699999999901</v>
      </c>
      <c r="AD2660">
        <v>-1.102837015075</v>
      </c>
      <c r="AE2660">
        <v>0.81682999999999595</v>
      </c>
      <c r="AF2660">
        <v>-1.2140290907104201</v>
      </c>
      <c r="AG2660">
        <v>-1.102837015075</v>
      </c>
      <c r="AH2660">
        <v>10.938222631061199</v>
      </c>
      <c r="AI2660">
        <v>95.722438923413407</v>
      </c>
      <c r="AJ2660">
        <v>96.333315188369696</v>
      </c>
      <c r="AK2660">
        <v>11.060507693662601</v>
      </c>
    </row>
    <row r="2661" spans="1:37" x14ac:dyDescent="0.2">
      <c r="A2661" t="str">
        <f>"20200111150645000"</f>
        <v>20200111150645000</v>
      </c>
      <c r="B2661" t="str">
        <f>"1578726404988752"</f>
        <v>1578726404988752</v>
      </c>
      <c r="C2661" t="s">
        <v>37</v>
      </c>
      <c r="D2661">
        <v>5.1777089999999903</v>
      </c>
      <c r="E2661">
        <v>0.47032010000000002</v>
      </c>
      <c r="F2661" t="s">
        <v>105</v>
      </c>
      <c r="G2661">
        <v>-214.88669999999999</v>
      </c>
      <c r="H2661" s="1">
        <v>-1.5375139999999899E-6</v>
      </c>
      <c r="I2661">
        <v>-62.157969999999999</v>
      </c>
      <c r="J2661">
        <v>-226.8724</v>
      </c>
      <c r="K2661">
        <v>1.102832</v>
      </c>
      <c r="L2661">
        <v>-63.074129999999997</v>
      </c>
      <c r="M2661">
        <v>0.99922500000000003</v>
      </c>
      <c r="N2661">
        <v>0</v>
      </c>
      <c r="O2661">
        <v>-3.7406559999999998E-2</v>
      </c>
      <c r="P2661">
        <v>0.98723069999999902</v>
      </c>
      <c r="Q2661">
        <v>0.15928510000000001</v>
      </c>
      <c r="R2661">
        <v>1.9892270000000001E-3</v>
      </c>
      <c r="S2661">
        <v>3.0823209999999999</v>
      </c>
      <c r="T2661">
        <v>-0.28002880000000002</v>
      </c>
      <c r="U2661">
        <v>0.23104859999999999</v>
      </c>
      <c r="V2661">
        <v>-3.8624940000000003E-2</v>
      </c>
      <c r="W2661">
        <v>0.17143249999999999</v>
      </c>
      <c r="X2661">
        <v>0.98443840000000005</v>
      </c>
      <c r="Y2661">
        <v>-0.1113922</v>
      </c>
      <c r="Z2661">
        <v>8.4300839999999991E-3</v>
      </c>
      <c r="AA2661">
        <v>0.99374079999999998</v>
      </c>
      <c r="AB2661">
        <v>30</v>
      </c>
      <c r="AC2661">
        <v>11.9857</v>
      </c>
      <c r="AD2661">
        <v>-1.1028335375139999</v>
      </c>
      <c r="AE2661">
        <v>0.91616000000000497</v>
      </c>
      <c r="AF2661">
        <v>-1.3525119368541201</v>
      </c>
      <c r="AG2661">
        <v>-1.1028335375139999</v>
      </c>
      <c r="AH2661">
        <v>11.843350544401099</v>
      </c>
      <c r="AI2661">
        <v>95.285789097416199</v>
      </c>
      <c r="AJ2661">
        <v>96.5149601860616</v>
      </c>
      <c r="AK2661">
        <v>11.971235628303599</v>
      </c>
    </row>
    <row r="2662" spans="1:37" x14ac:dyDescent="0.2">
      <c r="A2662" t="str">
        <f>"20200111150645012"</f>
        <v>20200111150645012</v>
      </c>
      <c r="B2662" t="str">
        <f>"1578726405009248"</f>
        <v>1578726405009248</v>
      </c>
      <c r="C2662" t="s">
        <v>37</v>
      </c>
      <c r="D2662">
        <v>5.1451479999999998</v>
      </c>
      <c r="E2662">
        <v>0.46891109999999903</v>
      </c>
      <c r="F2662" t="s">
        <v>105</v>
      </c>
      <c r="G2662">
        <v>-214.2174</v>
      </c>
      <c r="H2662" s="1">
        <v>-1.2373340000000001E-6</v>
      </c>
      <c r="I2662">
        <v>-62.1089699999999</v>
      </c>
      <c r="J2662">
        <v>-226.71190000000001</v>
      </c>
      <c r="K2662">
        <v>1.10283</v>
      </c>
      <c r="L2662">
        <v>-63.080599999999997</v>
      </c>
      <c r="M2662">
        <v>0.99920739999999997</v>
      </c>
      <c r="N2662">
        <v>0</v>
      </c>
      <c r="O2662">
        <v>-3.787128E-2</v>
      </c>
      <c r="P2662">
        <v>0.98721190000000003</v>
      </c>
      <c r="Q2662">
        <v>0.1594111</v>
      </c>
      <c r="R2662">
        <v>7.9401679999999998E-4</v>
      </c>
      <c r="S2662">
        <v>3.08168</v>
      </c>
      <c r="T2662">
        <v>-0.26855639999999997</v>
      </c>
      <c r="U2662">
        <v>0.2350159</v>
      </c>
      <c r="V2662">
        <v>-3.7887570000000002E-2</v>
      </c>
      <c r="W2662">
        <v>0.1715593</v>
      </c>
      <c r="X2662">
        <v>0.98444500000000001</v>
      </c>
      <c r="Y2662">
        <v>-0.1131818</v>
      </c>
      <c r="Z2662">
        <v>8.2054350000000005E-3</v>
      </c>
      <c r="AA2662">
        <v>0.99354039999999999</v>
      </c>
      <c r="AB2662">
        <v>30</v>
      </c>
      <c r="AC2662">
        <v>12.4945</v>
      </c>
      <c r="AD2662">
        <v>-1.1028312373339999</v>
      </c>
      <c r="AE2662">
        <v>0.97163000000000399</v>
      </c>
      <c r="AF2662">
        <v>-1.4330536728089001</v>
      </c>
      <c r="AG2662">
        <v>-1.1028312373339999</v>
      </c>
      <c r="AH2662">
        <v>12.353074323668499</v>
      </c>
      <c r="AI2662">
        <v>95.067796630956195</v>
      </c>
      <c r="AJ2662">
        <v>96.617182062040499</v>
      </c>
      <c r="AK2662">
        <v>12.484723657865599</v>
      </c>
    </row>
    <row r="2663" spans="1:37" x14ac:dyDescent="0.2">
      <c r="A2663" t="str">
        <f>"20200111150645024"</f>
        <v>20200111150645024</v>
      </c>
      <c r="B2663" t="str">
        <f>"1578726405019008"</f>
        <v>1578726405019008</v>
      </c>
      <c r="C2663" t="s">
        <v>37</v>
      </c>
      <c r="D2663">
        <v>10.03571</v>
      </c>
      <c r="E2663">
        <v>0.46891109999999903</v>
      </c>
      <c r="F2663" t="s">
        <v>105</v>
      </c>
      <c r="G2663">
        <v>-214.65549999999999</v>
      </c>
      <c r="H2663" s="1">
        <v>-1.4311689999999999E-6</v>
      </c>
      <c r="I2663">
        <v>-62.131069999999902</v>
      </c>
      <c r="J2663">
        <v>-226.54150000000001</v>
      </c>
      <c r="K2663">
        <v>1.1028249999999999</v>
      </c>
      <c r="L2663">
        <v>-63.087589999999999</v>
      </c>
      <c r="M2663">
        <v>0.99918869999999904</v>
      </c>
      <c r="N2663">
        <v>0</v>
      </c>
      <c r="O2663">
        <v>-3.8366160000000003E-2</v>
      </c>
      <c r="P2663">
        <v>0.98717119999999903</v>
      </c>
      <c r="Q2663">
        <v>0.1596659</v>
      </c>
      <c r="R2663">
        <v>-1.7408979999999999E-4</v>
      </c>
      <c r="S2663">
        <v>3.0842130000000001</v>
      </c>
      <c r="T2663">
        <v>-0.28212219999999999</v>
      </c>
      <c r="U2663">
        <v>0.24288939999999901</v>
      </c>
      <c r="V2663">
        <v>-3.7405649999999999E-2</v>
      </c>
      <c r="W2663">
        <v>0.17181489999999999</v>
      </c>
      <c r="X2663">
        <v>0.98441889999999999</v>
      </c>
      <c r="Y2663">
        <v>-0.116060999999999</v>
      </c>
      <c r="Z2663">
        <v>8.7867399999999995E-3</v>
      </c>
      <c r="AA2663">
        <v>0.99320319999999995</v>
      </c>
      <c r="AB2663">
        <v>30</v>
      </c>
      <c r="AC2663">
        <v>11.885999999999999</v>
      </c>
      <c r="AD2663">
        <v>-1.1028264311689999</v>
      </c>
      <c r="AE2663">
        <v>0.95652000000001103</v>
      </c>
      <c r="AF2663">
        <v>-1.3998961443303699</v>
      </c>
      <c r="AG2663">
        <v>-1.1028264311689999</v>
      </c>
      <c r="AH2663">
        <v>11.7401286840035</v>
      </c>
      <c r="AI2663">
        <v>95.328886247527294</v>
      </c>
      <c r="AJ2663">
        <v>96.799858310675802</v>
      </c>
      <c r="AK2663">
        <v>11.8746181778261</v>
      </c>
    </row>
    <row r="2664" spans="1:37" x14ac:dyDescent="0.2">
      <c r="A2664" t="str">
        <f>"20200111150645038"</f>
        <v>20200111150645038</v>
      </c>
      <c r="B2664" t="str">
        <f>"1578726405029326"</f>
        <v>1578726405029326</v>
      </c>
      <c r="C2664" t="s">
        <v>37</v>
      </c>
      <c r="D2664">
        <v>5.1834439999999997</v>
      </c>
      <c r="E2664">
        <v>0.4684682</v>
      </c>
      <c r="F2664" t="s">
        <v>105</v>
      </c>
      <c r="G2664">
        <v>-214.44470000000001</v>
      </c>
      <c r="H2664" s="1">
        <v>-1.3444799999999899E-6</v>
      </c>
      <c r="I2664">
        <v>-62.145139999999998</v>
      </c>
      <c r="J2664">
        <v>-226.37129999999999</v>
      </c>
      <c r="K2664">
        <v>1.1028180000000001</v>
      </c>
      <c r="L2664">
        <v>-63.094639999999998</v>
      </c>
      <c r="M2664">
        <v>0.99916949999999904</v>
      </c>
      <c r="N2664">
        <v>0</v>
      </c>
      <c r="O2664">
        <v>-3.886117E-2</v>
      </c>
      <c r="P2664">
        <v>0.98724509999999899</v>
      </c>
      <c r="Q2664">
        <v>0.1592063</v>
      </c>
      <c r="R2664">
        <v>-9.8526800000000008E-4</v>
      </c>
      <c r="S2664">
        <v>3.08450299999999</v>
      </c>
      <c r="T2664">
        <v>-0.28120429999999902</v>
      </c>
      <c r="U2664">
        <v>0.24029539999999899</v>
      </c>
      <c r="V2664">
        <v>-3.7086170000000002E-2</v>
      </c>
      <c r="W2664">
        <v>0.1713578</v>
      </c>
      <c r="X2664">
        <v>0.98451060000000001</v>
      </c>
      <c r="Y2664">
        <v>-0.11571910000000001</v>
      </c>
      <c r="Z2664">
        <v>8.7871759999999903E-3</v>
      </c>
      <c r="AA2664">
        <v>0.99324310000000005</v>
      </c>
      <c r="AB2664">
        <v>30</v>
      </c>
      <c r="AC2664">
        <v>11.926599999999899</v>
      </c>
      <c r="AD2664">
        <v>-1.1028193444800001</v>
      </c>
      <c r="AE2664">
        <v>0.94950000000000001</v>
      </c>
      <c r="AF2664">
        <v>-1.40040080924391</v>
      </c>
      <c r="AG2664">
        <v>-1.1028193444800001</v>
      </c>
      <c r="AH2664">
        <v>11.7805962018214</v>
      </c>
      <c r="AI2664">
        <v>95.310879254947906</v>
      </c>
      <c r="AJ2664">
        <v>96.779138009867296</v>
      </c>
      <c r="AK2664">
        <v>11.914687566338401</v>
      </c>
    </row>
    <row r="2665" spans="1:37" x14ac:dyDescent="0.2">
      <c r="A2665" t="str">
        <f>"20200111150645048"</f>
        <v>20200111150645048</v>
      </c>
      <c r="B2665" t="str">
        <f>"1578726405039086"</f>
        <v>1578726405039086</v>
      </c>
      <c r="C2665" t="s">
        <v>37</v>
      </c>
      <c r="D2665">
        <v>6.8865649999999903</v>
      </c>
      <c r="E2665">
        <v>0.4684682</v>
      </c>
      <c r="F2665" t="s">
        <v>105</v>
      </c>
      <c r="G2665">
        <v>-213.95519999999999</v>
      </c>
      <c r="H2665" s="1">
        <v>-1.128199E-6</v>
      </c>
      <c r="I2665">
        <v>-62.121490000000001</v>
      </c>
      <c r="J2665">
        <v>-226.2159</v>
      </c>
      <c r="K2665">
        <v>1.1028119999999999</v>
      </c>
      <c r="L2665">
        <v>-63.101100000000002</v>
      </c>
      <c r="M2665">
        <v>0.99915169999999998</v>
      </c>
      <c r="N2665">
        <v>0</v>
      </c>
      <c r="O2665">
        <v>-3.9313840000000003E-2</v>
      </c>
      <c r="P2665">
        <v>0.98740729999999999</v>
      </c>
      <c r="Q2665">
        <v>0.1581941</v>
      </c>
      <c r="R2665">
        <v>-1.3627139999999999E-3</v>
      </c>
      <c r="S2665">
        <v>3.0831599999999999</v>
      </c>
      <c r="T2665">
        <v>-0.27385219999999999</v>
      </c>
      <c r="U2665">
        <v>0.2416382</v>
      </c>
      <c r="V2665">
        <v>-3.7163189999999999E-2</v>
      </c>
      <c r="W2665">
        <v>0.1703491</v>
      </c>
      <c r="X2665">
        <v>0.98468269999999902</v>
      </c>
      <c r="Y2665">
        <v>-0.1166594</v>
      </c>
      <c r="Z2665">
        <v>8.6435999999999995E-3</v>
      </c>
      <c r="AA2665">
        <v>0.99313439999999997</v>
      </c>
      <c r="AB2665">
        <v>30</v>
      </c>
      <c r="AC2665">
        <v>12.2607</v>
      </c>
      <c r="AD2665">
        <v>-1.1028131281989999</v>
      </c>
      <c r="AE2665">
        <v>0.97961000000000098</v>
      </c>
      <c r="AF2665">
        <v>-1.44925323497808</v>
      </c>
      <c r="AG2665">
        <v>-1.1028131281989999</v>
      </c>
      <c r="AH2665">
        <v>12.115308166816</v>
      </c>
      <c r="AI2665">
        <v>95.164478519197502</v>
      </c>
      <c r="AJ2665">
        <v>96.821402710190199</v>
      </c>
      <c r="AK2665">
        <v>12.2514172123775</v>
      </c>
    </row>
    <row r="2666" spans="1:37" x14ac:dyDescent="0.2">
      <c r="A2666" t="str">
        <f>"20200111150645060"</f>
        <v>20200111150645060</v>
      </c>
      <c r="B2666" t="str">
        <f>"1578726405048848"</f>
        <v>1578726405048848</v>
      </c>
      <c r="C2666" t="s">
        <v>37</v>
      </c>
      <c r="D2666">
        <v>5.1258780000000002</v>
      </c>
      <c r="E2666">
        <v>0.46825649999999902</v>
      </c>
      <c r="F2666" t="s">
        <v>105</v>
      </c>
      <c r="G2666">
        <v>-213.9451</v>
      </c>
      <c r="H2666" s="1">
        <v>-1.1300490000000001E-6</v>
      </c>
      <c r="I2666">
        <v>-62.144750000000002</v>
      </c>
      <c r="J2666">
        <v>-226.06950000000001</v>
      </c>
      <c r="K2666">
        <v>1.102803</v>
      </c>
      <c r="L2666">
        <v>-63.107329999999997</v>
      </c>
      <c r="M2666">
        <v>0.99913479999999999</v>
      </c>
      <c r="N2666">
        <v>0</v>
      </c>
      <c r="O2666">
        <v>-3.9741949999999998E-2</v>
      </c>
      <c r="P2666">
        <v>0.98762059999999996</v>
      </c>
      <c r="Q2666">
        <v>0.15685929999999901</v>
      </c>
      <c r="R2666">
        <v>-1.081221E-3</v>
      </c>
      <c r="S2666">
        <v>3.0829930000000001</v>
      </c>
      <c r="T2666">
        <v>-0.2770764</v>
      </c>
      <c r="U2666">
        <v>0.240264899999999</v>
      </c>
      <c r="V2666">
        <v>-3.7876739999999999E-2</v>
      </c>
      <c r="W2666">
        <v>0.16901869999999999</v>
      </c>
      <c r="X2666">
        <v>0.9848848</v>
      </c>
      <c r="Y2666">
        <v>-0.1166333</v>
      </c>
      <c r="Z2666">
        <v>8.7827540000000003E-3</v>
      </c>
      <c r="AA2666">
        <v>0.99313619999999903</v>
      </c>
      <c r="AB2666">
        <v>30</v>
      </c>
      <c r="AC2666">
        <v>12.1244</v>
      </c>
      <c r="AD2666">
        <v>-1.1028041300489999</v>
      </c>
      <c r="AE2666">
        <v>0.96258000000000199</v>
      </c>
      <c r="AF2666">
        <v>-1.4319304033676299</v>
      </c>
      <c r="AG2666">
        <v>-1.1028041300489999</v>
      </c>
      <c r="AH2666">
        <v>11.9780853109334</v>
      </c>
      <c r="AI2666">
        <v>95.223322221994195</v>
      </c>
      <c r="AJ2666">
        <v>96.817120603111206</v>
      </c>
      <c r="AK2666">
        <v>12.1136753029516</v>
      </c>
    </row>
    <row r="2667" spans="1:37" x14ac:dyDescent="0.2">
      <c r="A2667" t="str">
        <f>"20200111150645073"</f>
        <v>20200111150645073</v>
      </c>
      <c r="B2667" t="str">
        <f>"1578726405069343"</f>
        <v>1578726405069343</v>
      </c>
      <c r="C2667" t="s">
        <v>37</v>
      </c>
      <c r="D2667">
        <v>6.1421269999999897</v>
      </c>
      <c r="E2667">
        <v>0.4678812</v>
      </c>
      <c r="F2667" t="s">
        <v>105</v>
      </c>
      <c r="G2667">
        <v>-214.25040000000001</v>
      </c>
      <c r="H2667" s="1">
        <v>-1.269603E-6</v>
      </c>
      <c r="I2667">
        <v>-62.176990000000004</v>
      </c>
      <c r="J2667">
        <v>-225.90170000000001</v>
      </c>
      <c r="K2667">
        <v>1.1027959999999899</v>
      </c>
      <c r="L2667">
        <v>-63.1145</v>
      </c>
      <c r="M2667">
        <v>0.99911519999999998</v>
      </c>
      <c r="N2667">
        <v>0</v>
      </c>
      <c r="O2667">
        <v>-4.0232759999999999E-2</v>
      </c>
      <c r="P2667">
        <v>0.98783410000000005</v>
      </c>
      <c r="Q2667">
        <v>0.1555115</v>
      </c>
      <c r="R2667">
        <v>-5.6864410000000002E-4</v>
      </c>
      <c r="S2667">
        <v>3.083542</v>
      </c>
      <c r="T2667">
        <v>-0.28771540000000001</v>
      </c>
      <c r="U2667">
        <v>0.24270630000000001</v>
      </c>
      <c r="V2667">
        <v>-3.8884200000000001E-2</v>
      </c>
      <c r="W2667">
        <v>0.1676763</v>
      </c>
      <c r="X2667">
        <v>0.98507489999999998</v>
      </c>
      <c r="Y2667">
        <v>-0.11783289999999901</v>
      </c>
      <c r="Z2667">
        <v>9.2180830000000002E-3</v>
      </c>
      <c r="AA2667">
        <v>0.992990699999999</v>
      </c>
      <c r="AB2667">
        <v>30</v>
      </c>
      <c r="AC2667">
        <v>11.6512999999999</v>
      </c>
      <c r="AD2667">
        <v>-1.102797269603</v>
      </c>
      <c r="AE2667">
        <v>0.93750999999999596</v>
      </c>
      <c r="AF2667">
        <v>-1.39314951437486</v>
      </c>
      <c r="AG2667">
        <v>-1.102797269603</v>
      </c>
      <c r="AH2667">
        <v>11.501766019070599</v>
      </c>
      <c r="AI2667">
        <v>95.437316818291706</v>
      </c>
      <c r="AJ2667">
        <v>96.906298365905599</v>
      </c>
      <c r="AK2667">
        <v>11.638197839214399</v>
      </c>
    </row>
    <row r="2668" spans="1:37" x14ac:dyDescent="0.2">
      <c r="A2668" t="str">
        <f>"20200111150645084"</f>
        <v>20200111150645084</v>
      </c>
      <c r="B2668" t="str">
        <f>"1578726405079103"</f>
        <v>1578726405079103</v>
      </c>
      <c r="C2668" t="s">
        <v>37</v>
      </c>
      <c r="D2668">
        <v>5.8469749999999996</v>
      </c>
      <c r="E2668">
        <v>0.42891549999999901</v>
      </c>
      <c r="F2668" t="s">
        <v>105</v>
      </c>
      <c r="G2668">
        <v>-214.00569999999999</v>
      </c>
      <c r="H2668" s="1">
        <v>-1.1603309999999999E-6</v>
      </c>
      <c r="I2668">
        <v>-62.160819999999902</v>
      </c>
      <c r="J2668">
        <v>-225.7388</v>
      </c>
      <c r="K2668">
        <v>1.102789</v>
      </c>
      <c r="L2668">
        <v>-63.121580000000002</v>
      </c>
      <c r="M2668">
        <v>0.99909590000000004</v>
      </c>
      <c r="N2668">
        <v>0</v>
      </c>
      <c r="O2668">
        <v>-4.0705760000000001E-2</v>
      </c>
      <c r="P2668">
        <v>0.98808940000000001</v>
      </c>
      <c r="Q2668">
        <v>0.153880399999999</v>
      </c>
      <c r="R2668">
        <v>4.5012309999999898E-4</v>
      </c>
      <c r="S2668">
        <v>3.0820620000000001</v>
      </c>
      <c r="T2668">
        <v>-0.28571819999999998</v>
      </c>
      <c r="U2668">
        <v>0.24707029999999999</v>
      </c>
      <c r="V2668">
        <v>-4.0382550000000003E-2</v>
      </c>
      <c r="W2668">
        <v>0.16605149999999999</v>
      </c>
      <c r="X2668">
        <v>0.98528989999999905</v>
      </c>
      <c r="Y2668">
        <v>-0.119736</v>
      </c>
      <c r="Z2668">
        <v>9.2898289999999994E-3</v>
      </c>
      <c r="AA2668">
        <v>0.99276229999999999</v>
      </c>
      <c r="AB2668">
        <v>30</v>
      </c>
      <c r="AC2668">
        <v>11.7331</v>
      </c>
      <c r="AD2668">
        <v>-1.102790160331</v>
      </c>
      <c r="AE2668">
        <v>0.96076000000000705</v>
      </c>
      <c r="AF2668">
        <v>-1.42509870540664</v>
      </c>
      <c r="AG2668">
        <v>-1.102790160331</v>
      </c>
      <c r="AH2668">
        <v>11.582622419342499</v>
      </c>
      <c r="AI2668">
        <v>95.3983154120032</v>
      </c>
      <c r="AJ2668">
        <v>97.014285432159497</v>
      </c>
      <c r="AK2668">
        <v>11.7219535303178</v>
      </c>
    </row>
    <row r="2669" spans="1:37" x14ac:dyDescent="0.2">
      <c r="A2669" t="str">
        <f>"20200111150645099"</f>
        <v>20200111150645099</v>
      </c>
      <c r="B2669" t="str">
        <f>"1578726405088863"</f>
        <v>1578726405088863</v>
      </c>
      <c r="C2669" t="s">
        <v>37</v>
      </c>
      <c r="D2669">
        <v>4.8355699999999997</v>
      </c>
      <c r="E2669">
        <v>0.42891549999999901</v>
      </c>
      <c r="F2669" t="s">
        <v>105</v>
      </c>
      <c r="G2669">
        <v>-213.27850000000001</v>
      </c>
      <c r="H2669" s="1">
        <v>-4.9992559999999998E-7</v>
      </c>
      <c r="I2669">
        <v>-60.851349999999996</v>
      </c>
      <c r="J2669">
        <v>-225.54409999999999</v>
      </c>
      <c r="K2669">
        <v>1.1027819999999999</v>
      </c>
      <c r="L2669">
        <v>-63.130069999999897</v>
      </c>
      <c r="M2669">
        <v>0.99907299999999999</v>
      </c>
      <c r="N2669">
        <v>0</v>
      </c>
      <c r="O2669">
        <v>-4.1266919999999999E-2</v>
      </c>
      <c r="P2669">
        <v>0.988479</v>
      </c>
      <c r="Q2669">
        <v>0.1512946</v>
      </c>
      <c r="R2669">
        <v>4.4310859999999999E-3</v>
      </c>
      <c r="S2669">
        <v>3.078354</v>
      </c>
      <c r="T2669">
        <v>-0.27244689999999999</v>
      </c>
      <c r="U2669">
        <v>0.56085209999999996</v>
      </c>
      <c r="V2669">
        <v>-4.4936429999999999E-2</v>
      </c>
      <c r="W2669">
        <v>0.16347690000000001</v>
      </c>
      <c r="X2669">
        <v>0.98552320000000004</v>
      </c>
      <c r="Y2669">
        <v>-0.21870519999999999</v>
      </c>
      <c r="Z2669">
        <v>1.319932E-2</v>
      </c>
      <c r="AA2669">
        <v>0.97570170000000001</v>
      </c>
      <c r="AB2669">
        <v>30</v>
      </c>
      <c r="AC2669">
        <v>12.2655999999999</v>
      </c>
      <c r="AD2669">
        <v>-1.1027824999256</v>
      </c>
      <c r="AE2669">
        <v>2.2787199999999999</v>
      </c>
      <c r="AF2669">
        <v>-2.7614029372643598</v>
      </c>
      <c r="AG2669">
        <v>-1.1027824999256</v>
      </c>
      <c r="AH2669">
        <v>12.066818859032299</v>
      </c>
      <c r="AI2669">
        <v>95.090854711287506</v>
      </c>
      <c r="AJ2669">
        <v>102.88976956315</v>
      </c>
      <c r="AK2669">
        <v>12.427775054319699</v>
      </c>
    </row>
    <row r="2670" spans="1:37" x14ac:dyDescent="0.2">
      <c r="A2670" t="str">
        <f>"20200111150645113"</f>
        <v>20200111150645113</v>
      </c>
      <c r="B2670" t="str">
        <f>"1578726405109358"</f>
        <v>1578726405109358</v>
      </c>
      <c r="C2670" t="s">
        <v>37</v>
      </c>
      <c r="D2670">
        <v>5.1981099999999998</v>
      </c>
      <c r="E2670">
        <v>0.46556149999999902</v>
      </c>
      <c r="F2670" t="s">
        <v>105</v>
      </c>
      <c r="G2670">
        <v>-213.4785</v>
      </c>
      <c r="H2670" s="1">
        <v>-5.9448679999999996E-7</v>
      </c>
      <c r="I2670">
        <v>-60.884169999999997</v>
      </c>
      <c r="J2670">
        <v>-225.37260000000001</v>
      </c>
      <c r="K2670">
        <v>1.102784</v>
      </c>
      <c r="L2670">
        <v>-63.137659999999997</v>
      </c>
      <c r="M2670">
        <v>0.99905250000000001</v>
      </c>
      <c r="N2670">
        <v>0</v>
      </c>
      <c r="O2670">
        <v>-4.1756880000000003E-2</v>
      </c>
      <c r="P2670">
        <v>0.98860339999999902</v>
      </c>
      <c r="Q2670">
        <v>0.15040899999999999</v>
      </c>
      <c r="R2670">
        <v>6.3809139999999997E-3</v>
      </c>
      <c r="S2670">
        <v>3.0754239999999999</v>
      </c>
      <c r="T2670">
        <v>-0.28109129999999999</v>
      </c>
      <c r="U2670">
        <v>0.57244869999999903</v>
      </c>
      <c r="V2670">
        <v>-4.7377999999999899E-2</v>
      </c>
      <c r="W2670">
        <v>0.16259570000000001</v>
      </c>
      <c r="X2670">
        <v>0.98555459999999995</v>
      </c>
      <c r="Y2670">
        <v>-0.22282070000000001</v>
      </c>
      <c r="Z2670">
        <v>1.385512E-2</v>
      </c>
      <c r="AA2670">
        <v>0.97476090000000004</v>
      </c>
      <c r="AB2670">
        <v>30</v>
      </c>
      <c r="AC2670">
        <v>11.8941</v>
      </c>
      <c r="AD2670">
        <v>-1.1027845944868</v>
      </c>
      <c r="AE2670">
        <v>2.2534900000000002</v>
      </c>
      <c r="AF2670">
        <v>-2.7256035431204499</v>
      </c>
      <c r="AG2670">
        <v>-1.1027845944868</v>
      </c>
      <c r="AH2670">
        <v>11.6925871585078</v>
      </c>
      <c r="AI2670">
        <v>95.248024430092897</v>
      </c>
      <c r="AJ2670">
        <v>103.121628643668</v>
      </c>
      <c r="AK2670">
        <v>12.0566016354282</v>
      </c>
    </row>
    <row r="2671" spans="1:37" x14ac:dyDescent="0.2">
      <c r="A2671" t="str">
        <f>"20200111150645127"</f>
        <v>20200111150645127</v>
      </c>
      <c r="B2671" t="str">
        <f>"1578726405119119"</f>
        <v>1578726405119119</v>
      </c>
      <c r="C2671" t="s">
        <v>37</v>
      </c>
      <c r="D2671">
        <v>5.2232050000000001</v>
      </c>
      <c r="E2671">
        <v>0.46556149999999902</v>
      </c>
      <c r="F2671" t="s">
        <v>76</v>
      </c>
      <c r="G2671">
        <v>-169.244</v>
      </c>
      <c r="H2671">
        <v>7.2044789999999903</v>
      </c>
      <c r="I2671">
        <v>-57.634909999999998</v>
      </c>
      <c r="J2671">
        <v>-225.1669</v>
      </c>
      <c r="K2671">
        <v>1.1027899999999999</v>
      </c>
      <c r="L2671">
        <v>-63.146880000000003</v>
      </c>
      <c r="M2671">
        <v>0.99902869999999999</v>
      </c>
      <c r="N2671">
        <v>0</v>
      </c>
      <c r="O2671">
        <v>-4.2323569999999998E-2</v>
      </c>
      <c r="P2671">
        <v>0.98867240000000001</v>
      </c>
      <c r="Q2671">
        <v>0.14986050000000001</v>
      </c>
      <c r="R2671">
        <v>8.3082950000000003E-3</v>
      </c>
      <c r="S2671">
        <v>2.9833369999999899</v>
      </c>
      <c r="T2671">
        <v>0.32431470000000001</v>
      </c>
      <c r="U2671">
        <v>0.29248049999999998</v>
      </c>
      <c r="V2671">
        <v>-4.9873580000000001E-2</v>
      </c>
      <c r="W2671">
        <v>0.16205039999999901</v>
      </c>
      <c r="X2671">
        <v>0.98552129999999905</v>
      </c>
      <c r="Y2671">
        <v>-0.13855110000000001</v>
      </c>
      <c r="Z2671">
        <v>-1.2069170000000001E-2</v>
      </c>
      <c r="AA2671">
        <v>0.99028179999999999</v>
      </c>
      <c r="AB2671">
        <v>30</v>
      </c>
      <c r="AC2671">
        <v>55.922899999999899</v>
      </c>
      <c r="AD2671">
        <v>6.1016890000000004</v>
      </c>
      <c r="AE2671">
        <v>5.5119699999999998</v>
      </c>
      <c r="AF2671">
        <v>-7.7823098647557103</v>
      </c>
      <c r="AG2671">
        <v>6.1016890000000004</v>
      </c>
      <c r="AH2671">
        <v>54.991121686848203</v>
      </c>
      <c r="AI2671">
        <v>83.730456659163195</v>
      </c>
      <c r="AJ2671">
        <v>98.054973551202096</v>
      </c>
      <c r="AK2671">
        <v>55.873235272906399</v>
      </c>
    </row>
    <row r="2672" spans="1:37" x14ac:dyDescent="0.2">
      <c r="A2672" t="str">
        <f>"20200111150645140"</f>
        <v>20200111150645140</v>
      </c>
      <c r="B2672" t="str">
        <f>"1578726405129587"</f>
        <v>1578726405129587</v>
      </c>
      <c r="C2672" t="s">
        <v>37</v>
      </c>
      <c r="D2672">
        <v>4.7283869999999997</v>
      </c>
      <c r="E2672">
        <v>0.45946320000000002</v>
      </c>
      <c r="F2672" t="s">
        <v>76</v>
      </c>
      <c r="G2672">
        <v>-169.244</v>
      </c>
      <c r="H2672">
        <v>7.1510439999999997</v>
      </c>
      <c r="I2672">
        <v>-57.554919999999903</v>
      </c>
      <c r="J2672">
        <v>-225.0078</v>
      </c>
      <c r="K2672">
        <v>1.102805</v>
      </c>
      <c r="L2672">
        <v>-63.15408</v>
      </c>
      <c r="M2672">
        <v>0.99901059999999997</v>
      </c>
      <c r="N2672">
        <v>0</v>
      </c>
      <c r="O2672">
        <v>-4.274671E-2</v>
      </c>
      <c r="P2672">
        <v>0.98862950000000005</v>
      </c>
      <c r="Q2672">
        <v>0.15002179999999901</v>
      </c>
      <c r="R2672">
        <v>1.0268670000000001E-2</v>
      </c>
      <c r="S2672">
        <v>2.982971</v>
      </c>
      <c r="T2672">
        <v>0.32261689999999998</v>
      </c>
      <c r="U2672">
        <v>0.29827880000000001</v>
      </c>
      <c r="V2672">
        <v>-5.2255049999999997E-2</v>
      </c>
      <c r="W2672">
        <v>0.162212299999999</v>
      </c>
      <c r="X2672">
        <v>0.98537129999999995</v>
      </c>
      <c r="Y2672">
        <v>-0.14088319999999999</v>
      </c>
      <c r="Z2672">
        <v>-1.217769E-2</v>
      </c>
      <c r="AA2672">
        <v>0.98995129999999998</v>
      </c>
      <c r="AB2672">
        <v>30</v>
      </c>
      <c r="AC2672">
        <v>55.763799999999897</v>
      </c>
      <c r="AD2672">
        <v>6.0482389999999997</v>
      </c>
      <c r="AE2672">
        <v>5.5991600000000101</v>
      </c>
      <c r="AF2672">
        <v>-7.8860940599634501</v>
      </c>
      <c r="AG2672">
        <v>6.0482389999999997</v>
      </c>
      <c r="AH2672">
        <v>54.8348218098741</v>
      </c>
      <c r="AI2672">
        <v>83.769354195266402</v>
      </c>
      <c r="AJ2672">
        <v>98.183903409341397</v>
      </c>
      <c r="AK2672">
        <v>55.728173821186303</v>
      </c>
    </row>
    <row r="2673" spans="1:37" x14ac:dyDescent="0.2">
      <c r="A2673" t="str">
        <f>"20200111150645153"</f>
        <v>20200111150645153</v>
      </c>
      <c r="B2673" t="str">
        <f>"1578726405149107"</f>
        <v>1578726405149107</v>
      </c>
      <c r="C2673" t="s">
        <v>37</v>
      </c>
      <c r="D2673">
        <v>5.3170960000000003</v>
      </c>
      <c r="E2673">
        <v>0.45704459999999902</v>
      </c>
      <c r="F2673" t="s">
        <v>76</v>
      </c>
      <c r="G2673">
        <v>-169.244</v>
      </c>
      <c r="H2673">
        <v>7.404547</v>
      </c>
      <c r="I2673">
        <v>-56.5479699999999</v>
      </c>
      <c r="J2673">
        <v>-224.8366</v>
      </c>
      <c r="K2673">
        <v>1.102827</v>
      </c>
      <c r="L2673">
        <v>-63.161869999999901</v>
      </c>
      <c r="M2673">
        <v>0.99899150000000003</v>
      </c>
      <c r="N2673">
        <v>0</v>
      </c>
      <c r="O2673">
        <v>-4.3191E-2</v>
      </c>
      <c r="P2673">
        <v>0.98855179999999998</v>
      </c>
      <c r="Q2673">
        <v>0.150451</v>
      </c>
      <c r="R2673">
        <v>1.139475E-2</v>
      </c>
      <c r="S2673">
        <v>2.9797359999999999</v>
      </c>
      <c r="T2673">
        <v>0.33673189999999997</v>
      </c>
      <c r="U2673">
        <v>0.3529968</v>
      </c>
      <c r="V2673">
        <v>-5.3822849999999998E-2</v>
      </c>
      <c r="W2673">
        <v>0.16264000000000001</v>
      </c>
      <c r="X2673">
        <v>0.98521639999999999</v>
      </c>
      <c r="Y2673">
        <v>-0.15915589999999999</v>
      </c>
      <c r="Z2673">
        <v>-1.3784360000000001E-2</v>
      </c>
      <c r="AA2673">
        <v>0.98715719999999996</v>
      </c>
      <c r="AB2673">
        <v>30</v>
      </c>
      <c r="AC2673">
        <v>55.592599999999898</v>
      </c>
      <c r="AD2673">
        <v>6.3017199999999898</v>
      </c>
      <c r="AE2673">
        <v>6.6139000000000001</v>
      </c>
      <c r="AF2673">
        <v>-8.8962909521092701</v>
      </c>
      <c r="AG2673">
        <v>6.3017199999999898</v>
      </c>
      <c r="AH2673">
        <v>54.563704573625202</v>
      </c>
      <c r="AI2673">
        <v>83.497051437026002</v>
      </c>
      <c r="AJ2673">
        <v>99.260257098365798</v>
      </c>
      <c r="AK2673">
        <v>55.6421919451493</v>
      </c>
    </row>
    <row r="2674" spans="1:37" x14ac:dyDescent="0.2">
      <c r="A2674" t="str">
        <f>"20200111150645166"</f>
        <v>20200111150645166</v>
      </c>
      <c r="B2674" t="str">
        <f>"1578726405158867"</f>
        <v>1578726405158867</v>
      </c>
      <c r="C2674" t="s">
        <v>37</v>
      </c>
      <c r="D2674">
        <v>6.4539669999999996</v>
      </c>
      <c r="E2674">
        <v>0.45222790000000002</v>
      </c>
      <c r="F2674" t="s">
        <v>76</v>
      </c>
      <c r="G2674">
        <v>-169.244</v>
      </c>
      <c r="H2674">
        <v>8.3075309999999902</v>
      </c>
      <c r="I2674">
        <v>-56.125630000000001</v>
      </c>
      <c r="J2674">
        <v>-224.64410000000001</v>
      </c>
      <c r="K2674">
        <v>1.10287</v>
      </c>
      <c r="L2674">
        <v>-63.170679999999997</v>
      </c>
      <c r="M2674">
        <v>0.99897209999999903</v>
      </c>
      <c r="N2674">
        <v>0</v>
      </c>
      <c r="O2674">
        <v>-4.3638929999999999E-2</v>
      </c>
      <c r="P2674">
        <v>0.98835689999999998</v>
      </c>
      <c r="Q2674">
        <v>0.15155660000000001</v>
      </c>
      <c r="R2674">
        <v>1.346002E-2</v>
      </c>
      <c r="S2674">
        <v>2.9717709999999999</v>
      </c>
      <c r="T2674">
        <v>0.38513429999999998</v>
      </c>
      <c r="U2674">
        <v>0.3761292</v>
      </c>
      <c r="V2674">
        <v>-5.6333149999999999E-2</v>
      </c>
      <c r="W2674">
        <v>0.16374040000000001</v>
      </c>
      <c r="X2674">
        <v>0.98489369999999998</v>
      </c>
      <c r="Y2674">
        <v>-0.16700660000000001</v>
      </c>
      <c r="Z2674">
        <v>-1.6347250000000001E-2</v>
      </c>
      <c r="AA2674">
        <v>0.98582019999999904</v>
      </c>
      <c r="AB2674">
        <v>30</v>
      </c>
      <c r="AC2674">
        <v>55.400099999999902</v>
      </c>
      <c r="AD2674">
        <v>7.20466099999999</v>
      </c>
      <c r="AE2674">
        <v>7.04504999999999</v>
      </c>
      <c r="AF2674">
        <v>-9.3013160925214304</v>
      </c>
      <c r="AG2674">
        <v>7.20466099999999</v>
      </c>
      <c r="AH2674">
        <v>54.138807008806502</v>
      </c>
      <c r="AI2674">
        <v>82.527965099540793</v>
      </c>
      <c r="AJ2674">
        <v>99.748527580599998</v>
      </c>
      <c r="AK2674">
        <v>55.402455230023101</v>
      </c>
    </row>
    <row r="2675" spans="1:37" x14ac:dyDescent="0.2">
      <c r="A2675" t="str">
        <f>"20200111150645178"</f>
        <v>20200111150645178</v>
      </c>
      <c r="B2675" t="str">
        <f>"1578726405169604"</f>
        <v>1578726405169604</v>
      </c>
      <c r="C2675" t="s">
        <v>37</v>
      </c>
      <c r="D2675">
        <v>5.2658809999999896</v>
      </c>
      <c r="E2675">
        <v>0.45096989999999998</v>
      </c>
      <c r="F2675" t="s">
        <v>76</v>
      </c>
      <c r="G2675">
        <v>-167.99870000000001</v>
      </c>
      <c r="H2675">
        <v>9.7059999999999995</v>
      </c>
      <c r="I2675">
        <v>-55.108919999999998</v>
      </c>
      <c r="J2675">
        <v>-224.4898</v>
      </c>
      <c r="K2675">
        <v>1.1029070000000001</v>
      </c>
      <c r="L2675">
        <v>-63.177799999999998</v>
      </c>
      <c r="M2675">
        <v>0.9989574</v>
      </c>
      <c r="N2675">
        <v>0</v>
      </c>
      <c r="O2675">
        <v>-4.3971759999999999E-2</v>
      </c>
      <c r="P2675">
        <v>0.98829319999999898</v>
      </c>
      <c r="Q2675">
        <v>0.15195999999999901</v>
      </c>
      <c r="R2675">
        <v>1.3594470000000001E-2</v>
      </c>
      <c r="S2675">
        <v>2.9606319999999999</v>
      </c>
      <c r="T2675">
        <v>0.4496502</v>
      </c>
      <c r="U2675">
        <v>0.42135620000000001</v>
      </c>
      <c r="V2675">
        <v>-5.6807410000000003E-2</v>
      </c>
      <c r="W2675">
        <v>0.16413920000000001</v>
      </c>
      <c r="X2675">
        <v>0.98480009999999996</v>
      </c>
      <c r="Y2675">
        <v>-0.1817587</v>
      </c>
      <c r="Z2675">
        <v>-2.026758E-2</v>
      </c>
      <c r="AA2675">
        <v>0.98313430000000002</v>
      </c>
      <c r="AB2675">
        <v>30</v>
      </c>
      <c r="AC2675">
        <v>56.491099999999904</v>
      </c>
      <c r="AD2675">
        <v>8.6030929999999994</v>
      </c>
      <c r="AE2675">
        <v>8.0688800000000001</v>
      </c>
      <c r="AF2675">
        <v>-10.3109189336245</v>
      </c>
      <c r="AG2675">
        <v>8.6030929999999994</v>
      </c>
      <c r="AH2675">
        <v>54.8352782066627</v>
      </c>
      <c r="AI2675">
        <v>81.234726257518602</v>
      </c>
      <c r="AJ2675">
        <v>100.649231689187</v>
      </c>
      <c r="AK2675">
        <v>56.455610832091097</v>
      </c>
    </row>
    <row r="2676" spans="1:37" x14ac:dyDescent="0.2">
      <c r="A2676" t="str">
        <f>"20200111150645190"</f>
        <v>20200111150645190</v>
      </c>
      <c r="B2676" t="str">
        <f>"1578726405179363"</f>
        <v>1578726405179363</v>
      </c>
      <c r="C2676" t="s">
        <v>37</v>
      </c>
      <c r="D2676">
        <v>6.8788580000000001</v>
      </c>
      <c r="E2676">
        <v>0.4449651</v>
      </c>
      <c r="F2676" t="s">
        <v>76</v>
      </c>
      <c r="G2676">
        <v>-167.99870000000001</v>
      </c>
      <c r="H2676">
        <v>9.4450470000000006</v>
      </c>
      <c r="I2676">
        <v>-54.945909999999998</v>
      </c>
      <c r="J2676">
        <v>-224.33670000000001</v>
      </c>
      <c r="K2676">
        <v>1.102949</v>
      </c>
      <c r="L2676">
        <v>-63.184909999999903</v>
      </c>
      <c r="M2676">
        <v>0.99894369999999999</v>
      </c>
      <c r="N2676">
        <v>0</v>
      </c>
      <c r="O2676">
        <v>-4.4281639999999997E-2</v>
      </c>
      <c r="P2676">
        <v>0.98824380000000001</v>
      </c>
      <c r="Q2676">
        <v>0.15230750000000001</v>
      </c>
      <c r="R2676">
        <v>1.329659E-2</v>
      </c>
      <c r="S2676">
        <v>2.9623409999999999</v>
      </c>
      <c r="T2676">
        <v>0.43745209999999901</v>
      </c>
      <c r="U2676">
        <v>0.43167109999999898</v>
      </c>
      <c r="V2676">
        <v>-5.6828549999999999E-2</v>
      </c>
      <c r="W2676">
        <v>0.16448070000000001</v>
      </c>
      <c r="X2676">
        <v>0.98474189999999995</v>
      </c>
      <c r="Y2676">
        <v>-0.18543389999999901</v>
      </c>
      <c r="Z2676">
        <v>-2.0021669999999998E-2</v>
      </c>
      <c r="AA2676">
        <v>0.98245280000000001</v>
      </c>
      <c r="AB2676">
        <v>30</v>
      </c>
      <c r="AC2676">
        <v>56.338000000000001</v>
      </c>
      <c r="AD2676">
        <v>8.342098</v>
      </c>
      <c r="AE2676">
        <v>8.2389999999999901</v>
      </c>
      <c r="AF2676">
        <v>-10.5004382714112</v>
      </c>
      <c r="AG2676">
        <v>8.342098</v>
      </c>
      <c r="AH2676">
        <v>54.742740241944297</v>
      </c>
      <c r="AI2676">
        <v>81.4883442838089</v>
      </c>
      <c r="AJ2676">
        <v>100.85826129434599</v>
      </c>
      <c r="AK2676">
        <v>56.361488732380998</v>
      </c>
    </row>
    <row r="2677" spans="1:37" x14ac:dyDescent="0.2">
      <c r="A2677" t="str">
        <f>"20200111150645201"</f>
        <v>20200111150645201</v>
      </c>
      <c r="B2677" t="str">
        <f>"1578726405198884"</f>
        <v>1578726405198884</v>
      </c>
      <c r="C2677" t="s">
        <v>37</v>
      </c>
      <c r="D2677">
        <v>5.2536500000000004</v>
      </c>
      <c r="E2677">
        <v>0.44431290000000001</v>
      </c>
      <c r="F2677" t="s">
        <v>76</v>
      </c>
      <c r="G2677">
        <v>-167.99870000000001</v>
      </c>
      <c r="H2677">
        <v>10.12627</v>
      </c>
      <c r="I2677">
        <v>-54.057600000000001</v>
      </c>
      <c r="J2677">
        <v>-224.1788</v>
      </c>
      <c r="K2677">
        <v>1.102997</v>
      </c>
      <c r="L2677">
        <v>-63.192230000000002</v>
      </c>
      <c r="M2677">
        <v>0.99893149999999997</v>
      </c>
      <c r="N2677">
        <v>0</v>
      </c>
      <c r="O2677">
        <v>-4.4557090000000001E-2</v>
      </c>
      <c r="P2677">
        <v>0.98818619999999902</v>
      </c>
      <c r="Q2677">
        <v>0.1527202</v>
      </c>
      <c r="R2677">
        <v>1.282987E-2</v>
      </c>
      <c r="S2677">
        <v>2.9562680000000001</v>
      </c>
      <c r="T2677">
        <v>0.473485499999999</v>
      </c>
      <c r="U2677">
        <v>0.4789429</v>
      </c>
      <c r="V2677">
        <v>-5.6649520000000002E-2</v>
      </c>
      <c r="W2677">
        <v>0.16488659999999999</v>
      </c>
      <c r="X2677">
        <v>0.98468429999999996</v>
      </c>
      <c r="Y2677">
        <v>-0.2007005</v>
      </c>
      <c r="Z2677">
        <v>-2.2920329999999999E-2</v>
      </c>
      <c r="AA2677">
        <v>0.97938449999999899</v>
      </c>
      <c r="AB2677">
        <v>30</v>
      </c>
      <c r="AC2677">
        <v>56.180099999999896</v>
      </c>
      <c r="AD2677">
        <v>9.0232729999999997</v>
      </c>
      <c r="AE2677">
        <v>9.1346299999999996</v>
      </c>
      <c r="AF2677">
        <v>-11.343870095549301</v>
      </c>
      <c r="AG2677">
        <v>9.0232729999999997</v>
      </c>
      <c r="AH2677">
        <v>54.351284443156601</v>
      </c>
      <c r="AI2677">
        <v>80.769238663207204</v>
      </c>
      <c r="AJ2677">
        <v>101.78918674796201</v>
      </c>
      <c r="AK2677">
        <v>56.250910792609801</v>
      </c>
    </row>
    <row r="2678" spans="1:37" x14ac:dyDescent="0.2">
      <c r="A2678" t="str">
        <f>"20200111150645215"</f>
        <v>20200111150645215</v>
      </c>
      <c r="B2678" t="str">
        <f>"1578726405209619"</f>
        <v>1578726405209619</v>
      </c>
      <c r="C2678" t="s">
        <v>37</v>
      </c>
      <c r="D2678">
        <v>5.2602199999999897</v>
      </c>
      <c r="E2678">
        <v>0.47337089999999998</v>
      </c>
      <c r="F2678" t="s">
        <v>76</v>
      </c>
      <c r="G2678">
        <v>-167.99870000000001</v>
      </c>
      <c r="H2678">
        <v>10.82654</v>
      </c>
      <c r="I2678">
        <v>-53.995909999999903</v>
      </c>
      <c r="J2678">
        <v>-224.00989999999999</v>
      </c>
      <c r="K2678">
        <v>1.1030519999999999</v>
      </c>
      <c r="L2678">
        <v>-63.200040000000001</v>
      </c>
      <c r="M2678">
        <v>0.99891929999999995</v>
      </c>
      <c r="N2678">
        <v>0</v>
      </c>
      <c r="O2678">
        <v>-4.4828279999999998E-2</v>
      </c>
      <c r="P2678">
        <v>0.98818879999999998</v>
      </c>
      <c r="Q2678">
        <v>0.15277070000000001</v>
      </c>
      <c r="R2678">
        <v>1.2008380000000001E-2</v>
      </c>
      <c r="S2678">
        <v>2.950653</v>
      </c>
      <c r="T2678">
        <v>0.51069140000000002</v>
      </c>
      <c r="U2678">
        <v>0.48300169999999998</v>
      </c>
      <c r="V2678">
        <v>-5.611712E-2</v>
      </c>
      <c r="W2678">
        <v>0.164929399999999</v>
      </c>
      <c r="X2678">
        <v>0.98470769999999996</v>
      </c>
      <c r="Y2678">
        <v>-0.202042</v>
      </c>
      <c r="Z2678">
        <v>-2.4900459999999999E-2</v>
      </c>
      <c r="AA2678">
        <v>0.97906029999999999</v>
      </c>
      <c r="AB2678">
        <v>30</v>
      </c>
      <c r="AC2678">
        <v>56.011199999999903</v>
      </c>
      <c r="AD2678">
        <v>9.7234879999999997</v>
      </c>
      <c r="AE2678">
        <v>9.2041299999999993</v>
      </c>
      <c r="AF2678">
        <v>-11.3722411120141</v>
      </c>
      <c r="AG2678">
        <v>9.7234879999999997</v>
      </c>
      <c r="AH2678">
        <v>53.958866500691897</v>
      </c>
      <c r="AI2678">
        <v>79.999928697712505</v>
      </c>
      <c r="AJ2678">
        <v>101.90134656253601</v>
      </c>
      <c r="AK2678">
        <v>55.994940493185801</v>
      </c>
    </row>
    <row r="2679" spans="1:37" x14ac:dyDescent="0.2">
      <c r="A2679" t="str">
        <f>"20200111150645227"</f>
        <v>20200111150645227</v>
      </c>
      <c r="B2679" t="str">
        <f>"1578726405219381"</f>
        <v>1578726405219381</v>
      </c>
      <c r="C2679" t="s">
        <v>37</v>
      </c>
      <c r="D2679">
        <v>5.2975240000000001</v>
      </c>
      <c r="E2679">
        <v>0.47161429999999999</v>
      </c>
      <c r="F2679" t="s">
        <v>105</v>
      </c>
      <c r="G2679">
        <v>-212.3177</v>
      </c>
      <c r="H2679" s="1">
        <v>-4.6685389999999999E-7</v>
      </c>
      <c r="I2679">
        <v>-62.276109999999903</v>
      </c>
      <c r="J2679">
        <v>-223.84200000000001</v>
      </c>
      <c r="K2679">
        <v>1.103108</v>
      </c>
      <c r="L2679">
        <v>-63.207859999999997</v>
      </c>
      <c r="M2679">
        <v>0.99890979999999996</v>
      </c>
      <c r="N2679">
        <v>0</v>
      </c>
      <c r="O2679">
        <v>-4.5043020000000003E-2</v>
      </c>
      <c r="P2679">
        <v>0.98814729999999995</v>
      </c>
      <c r="Q2679">
        <v>0.15309200000000001</v>
      </c>
      <c r="R2679">
        <v>1.131209E-2</v>
      </c>
      <c r="S2679">
        <v>3.0777890000000001</v>
      </c>
      <c r="T2679">
        <v>-0.29036000000000001</v>
      </c>
      <c r="U2679">
        <v>0.24319459999999901</v>
      </c>
      <c r="V2679">
        <v>-5.5653999999999898E-2</v>
      </c>
      <c r="W2679">
        <v>0.16524259999999999</v>
      </c>
      <c r="X2679">
        <v>0.98468140000000004</v>
      </c>
      <c r="Y2679">
        <v>-0.12285550000000001</v>
      </c>
      <c r="Z2679">
        <v>1.000788E-2</v>
      </c>
      <c r="AA2679">
        <v>0.99237410000000004</v>
      </c>
      <c r="AB2679">
        <v>30</v>
      </c>
      <c r="AC2679">
        <v>11.5243</v>
      </c>
      <c r="AD2679">
        <v>-1.1031084668539</v>
      </c>
      <c r="AE2679">
        <v>0.93175000000000097</v>
      </c>
      <c r="AF2679">
        <v>-1.4368530104511801</v>
      </c>
      <c r="AG2679">
        <v>-1.1031084668539</v>
      </c>
      <c r="AH2679">
        <v>11.3671560646908</v>
      </c>
      <c r="AI2679">
        <v>95.499337488698401</v>
      </c>
      <c r="AJ2679">
        <v>97.204203414155003</v>
      </c>
      <c r="AK2679">
        <v>11.510587815673199</v>
      </c>
    </row>
    <row r="2680" spans="1:37" x14ac:dyDescent="0.2">
      <c r="A2680" t="str">
        <f>"20200111150645241"</f>
        <v>20200111150645241</v>
      </c>
      <c r="B2680" t="str">
        <f>"1578726405239073"</f>
        <v>1578726405239073</v>
      </c>
      <c r="C2680" t="s">
        <v>37</v>
      </c>
      <c r="D2680">
        <v>5.2243339999999998</v>
      </c>
      <c r="E2680">
        <v>0.47055839999999999</v>
      </c>
      <c r="F2680" t="s">
        <v>105</v>
      </c>
      <c r="G2680">
        <v>-211.959</v>
      </c>
      <c r="H2680" s="1">
        <v>-2.98376E-7</v>
      </c>
      <c r="I2680">
        <v>-62.221219999999903</v>
      </c>
      <c r="J2680">
        <v>-223.66059999999999</v>
      </c>
      <c r="K2680">
        <v>1.103172</v>
      </c>
      <c r="L2680">
        <v>-63.216279999999998</v>
      </c>
      <c r="M2680">
        <v>0.99890140000000005</v>
      </c>
      <c r="N2680">
        <v>0</v>
      </c>
      <c r="O2680">
        <v>-4.5228110000000002E-2</v>
      </c>
      <c r="P2680">
        <v>0.98811369999999898</v>
      </c>
      <c r="Q2680">
        <v>0.15334629999999999</v>
      </c>
      <c r="R2680">
        <v>1.077912E-2</v>
      </c>
      <c r="S2680">
        <v>3.0773160000000002</v>
      </c>
      <c r="T2680">
        <v>-0.28567049999999999</v>
      </c>
      <c r="U2680">
        <v>0.25549319999999998</v>
      </c>
      <c r="V2680">
        <v>-5.5326769999999997E-2</v>
      </c>
      <c r="W2680">
        <v>0.16548759999999901</v>
      </c>
      <c r="X2680">
        <v>0.9846587</v>
      </c>
      <c r="Y2680">
        <v>-0.12699569999999999</v>
      </c>
      <c r="Z2680">
        <v>1.005551E-2</v>
      </c>
      <c r="AA2680">
        <v>0.99185230000000002</v>
      </c>
      <c r="AB2680">
        <v>30</v>
      </c>
      <c r="AC2680">
        <v>11.7015999999999</v>
      </c>
      <c r="AD2680">
        <v>-1.1031722983759999</v>
      </c>
      <c r="AE2680">
        <v>0.99506000000000905</v>
      </c>
      <c r="AF2680">
        <v>-1.50999837264377</v>
      </c>
      <c r="AG2680">
        <v>-1.1031722983759999</v>
      </c>
      <c r="AH2680">
        <v>11.5427620173755</v>
      </c>
      <c r="AI2680">
        <v>95.413480206096807</v>
      </c>
      <c r="AJ2680">
        <v>97.452983317058397</v>
      </c>
      <c r="AK2680">
        <v>11.6932646936199</v>
      </c>
    </row>
    <row r="2681" spans="1:37" x14ac:dyDescent="0.2">
      <c r="A2681" t="str">
        <f>"20200111150645255"</f>
        <v>20200111150645255</v>
      </c>
      <c r="B2681" t="str">
        <f>"1578726405248832"</f>
        <v>1578726405248832</v>
      </c>
      <c r="C2681" t="s">
        <v>37</v>
      </c>
      <c r="D2681">
        <v>5.2365599999999999</v>
      </c>
      <c r="E2681">
        <v>0.47027749999999902</v>
      </c>
      <c r="F2681" t="s">
        <v>105</v>
      </c>
      <c r="G2681">
        <v>-211.01310000000001</v>
      </c>
      <c r="H2681" s="1">
        <v>1.3039849999999999E-7</v>
      </c>
      <c r="I2681">
        <v>-62.134929999999997</v>
      </c>
      <c r="J2681">
        <v>-223.48070000000001</v>
      </c>
      <c r="K2681">
        <v>1.1032360000000001</v>
      </c>
      <c r="L2681">
        <v>-63.224640000000001</v>
      </c>
      <c r="M2681">
        <v>0.99889479999999997</v>
      </c>
      <c r="N2681">
        <v>0</v>
      </c>
      <c r="O2681">
        <v>-4.537484E-2</v>
      </c>
      <c r="P2681">
        <v>0.98810529999999996</v>
      </c>
      <c r="Q2681">
        <v>0.15341879999999999</v>
      </c>
      <c r="R2681">
        <v>1.052459E-2</v>
      </c>
      <c r="S2681">
        <v>3.0748289999999998</v>
      </c>
      <c r="T2681">
        <v>-0.268198299999999</v>
      </c>
      <c r="U2681">
        <v>0.26287840000000001</v>
      </c>
      <c r="V2681">
        <v>-5.5241650000000003E-2</v>
      </c>
      <c r="W2681">
        <v>0.16555249999999999</v>
      </c>
      <c r="X2681">
        <v>0.98465259999999999</v>
      </c>
      <c r="Y2681">
        <v>-0.12964819999999999</v>
      </c>
      <c r="Z2681">
        <v>9.5775759999999904E-3</v>
      </c>
      <c r="AA2681">
        <v>0.9915138</v>
      </c>
      <c r="AB2681">
        <v>30</v>
      </c>
      <c r="AC2681">
        <v>12.467599999999999</v>
      </c>
      <c r="AD2681">
        <v>-1.1032358696015001</v>
      </c>
      <c r="AE2681">
        <v>1.08970999999999</v>
      </c>
      <c r="AF2681">
        <v>-1.64158887436892</v>
      </c>
      <c r="AG2681">
        <v>-1.1032358696015001</v>
      </c>
      <c r="AH2681">
        <v>12.3096518189731</v>
      </c>
      <c r="AI2681">
        <v>95.076667936890502</v>
      </c>
      <c r="AJ2681">
        <v>97.596024323059197</v>
      </c>
      <c r="AK2681">
        <v>12.467536698192401</v>
      </c>
    </row>
    <row r="2682" spans="1:37" x14ac:dyDescent="0.2">
      <c r="A2682" t="str">
        <f>"20200111150645267"</f>
        <v>20200111150645267</v>
      </c>
      <c r="B2682" t="str">
        <f>"1578726405259568"</f>
        <v>1578726405259568</v>
      </c>
      <c r="C2682" t="s">
        <v>37</v>
      </c>
      <c r="D2682">
        <v>5.2264330000000001</v>
      </c>
      <c r="E2682">
        <v>0.4701844</v>
      </c>
      <c r="F2682" t="s">
        <v>105</v>
      </c>
      <c r="G2682">
        <v>-210.56120000000001</v>
      </c>
      <c r="H2682" s="1">
        <v>3.3013299999999998E-7</v>
      </c>
      <c r="I2682">
        <v>-62.112839999999998</v>
      </c>
      <c r="J2682">
        <v>-223.30170000000001</v>
      </c>
      <c r="K2682">
        <v>1.1032979999999999</v>
      </c>
      <c r="L2682">
        <v>-63.232909999999997</v>
      </c>
      <c r="M2682">
        <v>0.99889069999999902</v>
      </c>
      <c r="N2682">
        <v>0</v>
      </c>
      <c r="O2682">
        <v>-4.5465140000000001E-2</v>
      </c>
      <c r="P2682">
        <v>0.9880234</v>
      </c>
      <c r="Q2682">
        <v>0.1539295</v>
      </c>
      <c r="R2682">
        <v>1.077329E-2</v>
      </c>
      <c r="S2682">
        <v>3.0740509999999999</v>
      </c>
      <c r="T2682">
        <v>-0.26250279999999998</v>
      </c>
      <c r="U2682">
        <v>0.26452639999999999</v>
      </c>
      <c r="V2682">
        <v>-5.5598889999999998E-2</v>
      </c>
      <c r="W2682">
        <v>0.16605429999999999</v>
      </c>
      <c r="X2682">
        <v>0.98454799999999998</v>
      </c>
      <c r="Y2682">
        <v>-0.1303115</v>
      </c>
      <c r="Z2682">
        <v>9.4129829999999998E-3</v>
      </c>
      <c r="AA2682">
        <v>0.99142839999999999</v>
      </c>
      <c r="AB2682">
        <v>30</v>
      </c>
      <c r="AC2682">
        <v>12.7404999999999</v>
      </c>
      <c r="AD2682">
        <v>-1.1032976698669901</v>
      </c>
      <c r="AE2682">
        <v>1.1200699999999899</v>
      </c>
      <c r="AF2682">
        <v>-1.6856596642821799</v>
      </c>
      <c r="AG2682">
        <v>-1.1032976698669901</v>
      </c>
      <c r="AH2682">
        <v>12.5827590482925</v>
      </c>
      <c r="AI2682">
        <v>94.966919077310095</v>
      </c>
      <c r="AJ2682">
        <v>97.630246374678293</v>
      </c>
      <c r="AK2682">
        <v>12.7430192466114</v>
      </c>
    </row>
    <row r="2683" spans="1:37" x14ac:dyDescent="0.2">
      <c r="A2683" t="str">
        <f>"20200111150645279"</f>
        <v>20200111150645279</v>
      </c>
      <c r="B2683" t="str">
        <f>"1578726405269329"</f>
        <v>1578726405269329</v>
      </c>
      <c r="C2683" t="s">
        <v>37</v>
      </c>
      <c r="D2683">
        <v>5.2891379999999897</v>
      </c>
      <c r="E2683">
        <v>0.46978029999999998</v>
      </c>
      <c r="F2683" t="s">
        <v>46</v>
      </c>
      <c r="G2683">
        <v>-209.39429999999999</v>
      </c>
      <c r="H2683">
        <v>-0.05</v>
      </c>
      <c r="I2683">
        <v>-62.02863</v>
      </c>
      <c r="J2683">
        <v>-223.1532</v>
      </c>
      <c r="K2683">
        <v>1.1033459999999999</v>
      </c>
      <c r="L2683">
        <v>-63.239750000000001</v>
      </c>
      <c r="M2683">
        <v>0.99888860000000002</v>
      </c>
      <c r="N2683">
        <v>0</v>
      </c>
      <c r="O2683">
        <v>-4.5508420000000001E-2</v>
      </c>
      <c r="P2683">
        <v>0.98798709999999901</v>
      </c>
      <c r="Q2683">
        <v>0.154120799999999</v>
      </c>
      <c r="R2683">
        <v>1.134228E-2</v>
      </c>
      <c r="S2683">
        <v>3.0731660000000001</v>
      </c>
      <c r="T2683">
        <v>-0.25484879999999999</v>
      </c>
      <c r="U2683">
        <v>0.2661133</v>
      </c>
      <c r="V2683">
        <v>-5.6226650000000003E-2</v>
      </c>
      <c r="W2683">
        <v>0.1662391</v>
      </c>
      <c r="X2683">
        <v>0.98448119999999995</v>
      </c>
      <c r="Y2683">
        <v>-0.13092089999999901</v>
      </c>
      <c r="Z2683">
        <v>9.170648E-3</v>
      </c>
      <c r="AA2683">
        <v>0.99135039999999996</v>
      </c>
      <c r="AB2683">
        <v>30</v>
      </c>
      <c r="AC2683">
        <v>13.758900000000001</v>
      </c>
      <c r="AD2683">
        <v>-1.153346</v>
      </c>
      <c r="AE2683">
        <v>1.21111999999999</v>
      </c>
      <c r="AF2683">
        <v>-1.8233443777723199</v>
      </c>
      <c r="AG2683">
        <v>-1.153346</v>
      </c>
      <c r="AH2683">
        <v>13.5947310021888</v>
      </c>
      <c r="AI2683">
        <v>94.806398537565201</v>
      </c>
      <c r="AJ2683">
        <v>97.639003072952704</v>
      </c>
      <c r="AK2683">
        <v>13.764864791836599</v>
      </c>
    </row>
    <row r="2684" spans="1:37" x14ac:dyDescent="0.2">
      <c r="A2684" t="str">
        <f>"20200111150645289"</f>
        <v>20200111150645289</v>
      </c>
      <c r="B2684" t="str">
        <f>"1578726405279089"</f>
        <v>1578726405279089</v>
      </c>
      <c r="C2684" t="s">
        <v>37</v>
      </c>
      <c r="D2684">
        <v>5.4592539999999996</v>
      </c>
      <c r="E2684">
        <v>0.46890340000000003</v>
      </c>
      <c r="F2684" t="s">
        <v>85</v>
      </c>
      <c r="G2684">
        <v>-209.5034</v>
      </c>
      <c r="H2684" s="1">
        <v>-6.1114339999999995E-7</v>
      </c>
      <c r="I2684">
        <v>-62.034319999999902</v>
      </c>
      <c r="J2684">
        <v>-222.99959999999999</v>
      </c>
      <c r="K2684">
        <v>1.1033930000000001</v>
      </c>
      <c r="L2684">
        <v>-63.2468</v>
      </c>
      <c r="M2684">
        <v>0.99888770000000005</v>
      </c>
      <c r="N2684">
        <v>0</v>
      </c>
      <c r="O2684">
        <v>-4.5531330000000002E-2</v>
      </c>
      <c r="P2684">
        <v>0.9879462</v>
      </c>
      <c r="Q2684">
        <v>0.15432460000000001</v>
      </c>
      <c r="R2684">
        <v>1.209494E-2</v>
      </c>
      <c r="S2684">
        <v>3.0720830000000001</v>
      </c>
      <c r="T2684">
        <v>-0.2483255</v>
      </c>
      <c r="U2684">
        <v>0.27130129999999902</v>
      </c>
      <c r="V2684">
        <v>-5.7017610000000003E-2</v>
      </c>
      <c r="W2684">
        <v>0.1664361</v>
      </c>
      <c r="X2684">
        <v>0.98440239999999901</v>
      </c>
      <c r="Y2684">
        <v>-0.13265929999999901</v>
      </c>
      <c r="Z2684">
        <v>9.0110450000000005E-3</v>
      </c>
      <c r="AA2684">
        <v>0.99112080000000002</v>
      </c>
      <c r="AB2684">
        <v>30</v>
      </c>
      <c r="AC2684">
        <v>13.4961999999999</v>
      </c>
      <c r="AD2684">
        <v>-1.1033936111434</v>
      </c>
      <c r="AE2684">
        <v>1.21248</v>
      </c>
      <c r="AF2684">
        <v>-1.8137424364435599</v>
      </c>
      <c r="AG2684">
        <v>-1.1033936111434</v>
      </c>
      <c r="AH2684">
        <v>13.3385498007205</v>
      </c>
      <c r="AI2684">
        <v>94.685935532519807</v>
      </c>
      <c r="AJ2684">
        <v>97.743443874788198</v>
      </c>
      <c r="AK2684">
        <v>13.5064447532713</v>
      </c>
    </row>
    <row r="2685" spans="1:37" x14ac:dyDescent="0.2">
      <c r="A2685" t="str">
        <f>"20200111150645303"</f>
        <v>20200111150645303</v>
      </c>
      <c r="B2685" t="str">
        <f>"1578726405299584"</f>
        <v>1578726405299584</v>
      </c>
      <c r="C2685" t="s">
        <v>37</v>
      </c>
      <c r="D2685">
        <v>5.1631159999999996</v>
      </c>
      <c r="E2685">
        <v>0.46896300000000002</v>
      </c>
      <c r="F2685" t="s">
        <v>105</v>
      </c>
      <c r="G2685">
        <v>-210.13050000000001</v>
      </c>
      <c r="H2685" s="1">
        <v>5.2600609999999897E-7</v>
      </c>
      <c r="I2685">
        <v>-62.071089999999998</v>
      </c>
      <c r="J2685">
        <v>-222.83580000000001</v>
      </c>
      <c r="K2685">
        <v>1.1034459999999999</v>
      </c>
      <c r="L2685">
        <v>-63.254269999999998</v>
      </c>
      <c r="M2685">
        <v>0.99888920000000003</v>
      </c>
      <c r="N2685">
        <v>0</v>
      </c>
      <c r="O2685">
        <v>-4.5493939999999997E-2</v>
      </c>
      <c r="P2685">
        <v>0.98792049999999998</v>
      </c>
      <c r="Q2685">
        <v>0.1544092</v>
      </c>
      <c r="R2685">
        <v>1.30689999999999E-2</v>
      </c>
      <c r="S2685">
        <v>3.074341</v>
      </c>
      <c r="T2685">
        <v>-0.26359179999999999</v>
      </c>
      <c r="U2685">
        <v>0.28085329999999997</v>
      </c>
      <c r="V2685">
        <v>-5.7973450000000003E-2</v>
      </c>
      <c r="W2685">
        <v>0.16651279999999999</v>
      </c>
      <c r="X2685">
        <v>0.98433359999999903</v>
      </c>
      <c r="Y2685">
        <v>-0.1355304</v>
      </c>
      <c r="Z2685">
        <v>9.6742419999999996E-3</v>
      </c>
      <c r="AA2685">
        <v>0.99072590000000005</v>
      </c>
      <c r="AB2685">
        <v>30</v>
      </c>
      <c r="AC2685">
        <v>12.7052999999999</v>
      </c>
      <c r="AD2685">
        <v>-1.1034454739938999</v>
      </c>
      <c r="AE2685">
        <v>1.1831799999999899</v>
      </c>
      <c r="AF2685">
        <v>-1.7469488981462</v>
      </c>
      <c r="AG2685">
        <v>-1.1034454739938999</v>
      </c>
      <c r="AH2685">
        <v>12.5445045388308</v>
      </c>
      <c r="AI2685">
        <v>94.979134958846601</v>
      </c>
      <c r="AJ2685">
        <v>97.928027701222405</v>
      </c>
      <c r="AK2685">
        <v>12.713536742054</v>
      </c>
    </row>
    <row r="2686" spans="1:37" x14ac:dyDescent="0.2">
      <c r="A2686" t="str">
        <f>"20200111150645316"</f>
        <v>20200111150645316</v>
      </c>
      <c r="B2686" t="str">
        <f>"1578726405309344"</f>
        <v>1578726405309344</v>
      </c>
      <c r="C2686" t="s">
        <v>37</v>
      </c>
      <c r="D2686">
        <v>5.2304889999999897</v>
      </c>
      <c r="E2686">
        <v>0.47021579999999902</v>
      </c>
      <c r="F2686" t="s">
        <v>85</v>
      </c>
      <c r="G2686">
        <v>-209.70910000000001</v>
      </c>
      <c r="H2686" s="1">
        <v>-5.3488949999999998E-7</v>
      </c>
      <c r="I2686">
        <v>-62.042960000000001</v>
      </c>
      <c r="J2686">
        <v>-222.66650000000001</v>
      </c>
      <c r="K2686">
        <v>1.103505</v>
      </c>
      <c r="L2686">
        <v>-63.261989999999997</v>
      </c>
      <c r="M2686">
        <v>0.99889249999999996</v>
      </c>
      <c r="N2686">
        <v>0</v>
      </c>
      <c r="O2686">
        <v>-4.5423459999999999E-2</v>
      </c>
      <c r="P2686">
        <v>0.98790159999999905</v>
      </c>
      <c r="Q2686">
        <v>0.15444839999999899</v>
      </c>
      <c r="R2686">
        <v>1.4016509999999999E-2</v>
      </c>
      <c r="S2686">
        <v>3.0733029999999899</v>
      </c>
      <c r="T2686">
        <v>-0.25834699999999999</v>
      </c>
      <c r="U2686">
        <v>0.28359990000000002</v>
      </c>
      <c r="V2686">
        <v>-5.8872889999999997E-2</v>
      </c>
      <c r="W2686">
        <v>0.16654330000000001</v>
      </c>
      <c r="X2686">
        <v>0.98427500000000001</v>
      </c>
      <c r="Y2686">
        <v>-0.1363915</v>
      </c>
      <c r="Z2686">
        <v>9.5153930000000005E-3</v>
      </c>
      <c r="AA2686">
        <v>0.99060930000000003</v>
      </c>
      <c r="AB2686">
        <v>30</v>
      </c>
      <c r="AC2686">
        <v>12.9574</v>
      </c>
      <c r="AD2686">
        <v>-1.1035055348895</v>
      </c>
      <c r="AE2686">
        <v>1.2190300000000001</v>
      </c>
      <c r="AF2686">
        <v>-1.79349184414815</v>
      </c>
      <c r="AG2686">
        <v>-1.1035055348895</v>
      </c>
      <c r="AH2686">
        <v>12.7966480454742</v>
      </c>
      <c r="AI2686">
        <v>94.881175380723604</v>
      </c>
      <c r="AJ2686">
        <v>97.978222138411994</v>
      </c>
      <c r="AK2686">
        <v>12.9687523941317</v>
      </c>
    </row>
    <row r="2687" spans="1:37" x14ac:dyDescent="0.2">
      <c r="A2687" t="str">
        <f>"20200111150645327"</f>
        <v>20200111150645327</v>
      </c>
      <c r="B2687" t="str">
        <f>"1578726405319105"</f>
        <v>1578726405319105</v>
      </c>
      <c r="C2687" t="s">
        <v>37</v>
      </c>
      <c r="D2687">
        <v>5.21732</v>
      </c>
      <c r="E2687">
        <v>0.47145239999999999</v>
      </c>
      <c r="F2687" t="s">
        <v>85</v>
      </c>
      <c r="G2687">
        <v>-209.36660000000001</v>
      </c>
      <c r="H2687" s="1">
        <v>-6.7131819999999903E-7</v>
      </c>
      <c r="I2687">
        <v>-62.064030000000002</v>
      </c>
      <c r="J2687">
        <v>-222.49760000000001</v>
      </c>
      <c r="K2687">
        <v>1.103567</v>
      </c>
      <c r="L2687">
        <v>-63.269590000000001</v>
      </c>
      <c r="M2687">
        <v>0.99889859999999897</v>
      </c>
      <c r="N2687">
        <v>0</v>
      </c>
      <c r="O2687">
        <v>-4.5290530000000002E-2</v>
      </c>
      <c r="P2687">
        <v>0.98791969999999996</v>
      </c>
      <c r="Q2687">
        <v>0.15420139999999999</v>
      </c>
      <c r="R2687">
        <v>1.538583E-2</v>
      </c>
      <c r="S2687">
        <v>3.0726619999999998</v>
      </c>
      <c r="T2687">
        <v>-0.25494220000000001</v>
      </c>
      <c r="U2687">
        <v>0.27676390000000001</v>
      </c>
      <c r="V2687">
        <v>-6.013661E-2</v>
      </c>
      <c r="W2687">
        <v>0.16628609999999999</v>
      </c>
      <c r="X2687">
        <v>0.98424210000000001</v>
      </c>
      <c r="Y2687">
        <v>-0.13411699999999999</v>
      </c>
      <c r="Z2687">
        <v>9.2882569999999994E-3</v>
      </c>
      <c r="AA2687">
        <v>0.99092199999999997</v>
      </c>
      <c r="AB2687">
        <v>30</v>
      </c>
      <c r="AC2687">
        <v>13.130999999999901</v>
      </c>
      <c r="AD2687">
        <v>-1.1035676713181899</v>
      </c>
      <c r="AE2687">
        <v>1.20555999999999</v>
      </c>
      <c r="AF2687">
        <v>-1.78656399466337</v>
      </c>
      <c r="AG2687">
        <v>-1.1035676713181899</v>
      </c>
      <c r="AH2687">
        <v>12.972060562270199</v>
      </c>
      <c r="AI2687">
        <v>94.817340256818497</v>
      </c>
      <c r="AJ2687">
        <v>97.841671916829796</v>
      </c>
      <c r="AK2687">
        <v>13.1409294855201</v>
      </c>
    </row>
    <row r="2688" spans="1:37" x14ac:dyDescent="0.2">
      <c r="A2688" t="str">
        <f>"20200111150645339"</f>
        <v>20200111150645339</v>
      </c>
      <c r="B2688" t="str">
        <f>"1578726405329840"</f>
        <v>1578726405329840</v>
      </c>
      <c r="C2688" t="s">
        <v>37</v>
      </c>
      <c r="D2688">
        <v>5.2058460000000002</v>
      </c>
      <c r="E2688">
        <v>0.47257079999999901</v>
      </c>
      <c r="F2688" t="s">
        <v>85</v>
      </c>
      <c r="G2688">
        <v>-209.18299999999999</v>
      </c>
      <c r="H2688" s="1">
        <v>-7.4965439999999997E-7</v>
      </c>
      <c r="I2688">
        <v>-62.094859999999997</v>
      </c>
      <c r="J2688">
        <v>-222.3527</v>
      </c>
      <c r="K2688">
        <v>1.103629</v>
      </c>
      <c r="L2688">
        <v>-63.276060000000001</v>
      </c>
      <c r="M2688">
        <v>0.99890559999999995</v>
      </c>
      <c r="N2688">
        <v>0</v>
      </c>
      <c r="O2688">
        <v>-4.5134670000000002E-2</v>
      </c>
      <c r="P2688">
        <v>0.98793809999999904</v>
      </c>
      <c r="Q2688">
        <v>0.15399489999999999</v>
      </c>
      <c r="R2688">
        <v>1.6255990000000001E-2</v>
      </c>
      <c r="S2688">
        <v>3.0721889999999998</v>
      </c>
      <c r="T2688">
        <v>-0.25463530000000001</v>
      </c>
      <c r="U2688">
        <v>0.2710571</v>
      </c>
      <c r="V2688">
        <v>-6.0877550000000002E-2</v>
      </c>
      <c r="W2688">
        <v>0.1660703</v>
      </c>
      <c r="X2688">
        <v>0.98423300000000002</v>
      </c>
      <c r="Y2688">
        <v>-0.13215789999999999</v>
      </c>
      <c r="Z2688">
        <v>9.185482E-3</v>
      </c>
      <c r="AA2688">
        <v>0.99118609999999896</v>
      </c>
      <c r="AB2688">
        <v>30</v>
      </c>
      <c r="AC2688">
        <v>13.169700000000001</v>
      </c>
      <c r="AD2688">
        <v>-1.1036297496544001</v>
      </c>
      <c r="AE2688">
        <v>1.1812</v>
      </c>
      <c r="AF2688">
        <v>-1.76217464857482</v>
      </c>
      <c r="AG2688">
        <v>-1.1036297496544001</v>
      </c>
      <c r="AH2688">
        <v>13.0123094025091</v>
      </c>
      <c r="AI2688">
        <v>94.804252787245602</v>
      </c>
      <c r="AJ2688">
        <v>97.712286249618401</v>
      </c>
      <c r="AK2688">
        <v>13.1773841904616</v>
      </c>
    </row>
    <row r="2689" spans="1:37" x14ac:dyDescent="0.2">
      <c r="A2689" t="str">
        <f>"20200111150645350"</f>
        <v>20200111150645350</v>
      </c>
      <c r="B2689" t="str">
        <f>"1578726405339601"</f>
        <v>1578726405339601</v>
      </c>
      <c r="C2689" t="s">
        <v>37</v>
      </c>
      <c r="D2689">
        <v>5.1639889999999999</v>
      </c>
      <c r="E2689">
        <v>0.47352849999999902</v>
      </c>
      <c r="F2689" t="s">
        <v>85</v>
      </c>
      <c r="G2689">
        <v>-209.0179</v>
      </c>
      <c r="H2689" s="1">
        <v>-8.3851709999999998E-7</v>
      </c>
      <c r="I2689">
        <v>-62.126719999999999</v>
      </c>
      <c r="J2689">
        <v>-222.19149999999999</v>
      </c>
      <c r="K2689">
        <v>1.103701</v>
      </c>
      <c r="L2689">
        <v>-63.283200000000001</v>
      </c>
      <c r="M2689">
        <v>0.99891469999999905</v>
      </c>
      <c r="N2689">
        <v>0</v>
      </c>
      <c r="O2689">
        <v>-4.4932659999999999E-2</v>
      </c>
      <c r="P2689">
        <v>0.98791799999999996</v>
      </c>
      <c r="Q2689">
        <v>0.15403169999999999</v>
      </c>
      <c r="R2689">
        <v>1.7097850000000001E-2</v>
      </c>
      <c r="S2689">
        <v>3.0718990000000002</v>
      </c>
      <c r="T2689">
        <v>-0.25424089999999999</v>
      </c>
      <c r="U2689">
        <v>0.26477050000000002</v>
      </c>
      <c r="V2689">
        <v>-6.1546980000000001E-2</v>
      </c>
      <c r="W2689">
        <v>0.1660961</v>
      </c>
      <c r="X2689">
        <v>0.98418700000000003</v>
      </c>
      <c r="Y2689">
        <v>-0.12996199999999999</v>
      </c>
      <c r="Z2689">
        <v>9.0657189999999999E-3</v>
      </c>
      <c r="AA2689">
        <v>0.99147750000000001</v>
      </c>
      <c r="AB2689">
        <v>30</v>
      </c>
      <c r="AC2689">
        <v>13.173599999999899</v>
      </c>
      <c r="AD2689">
        <v>-1.1037018385171</v>
      </c>
      <c r="AE2689">
        <v>1.15648</v>
      </c>
      <c r="AF2689">
        <v>-1.7351945065957699</v>
      </c>
      <c r="AG2689">
        <v>-1.1037018385171</v>
      </c>
      <c r="AH2689">
        <v>13.017649127649401</v>
      </c>
      <c r="AI2689">
        <v>94.803946317142007</v>
      </c>
      <c r="AJ2689">
        <v>97.592515508921807</v>
      </c>
      <c r="AK2689">
        <v>13.179083675834899</v>
      </c>
    </row>
    <row r="2690" spans="1:37" x14ac:dyDescent="0.2">
      <c r="A2690" t="str">
        <f>"20200111150645363"</f>
        <v>20200111150645363</v>
      </c>
      <c r="B2690" t="str">
        <f>"1578726405359120"</f>
        <v>1578726405359120</v>
      </c>
      <c r="C2690" t="s">
        <v>37</v>
      </c>
      <c r="D2690">
        <v>6.4213620000000002</v>
      </c>
      <c r="E2690">
        <v>0.47446480000000002</v>
      </c>
      <c r="F2690" t="s">
        <v>85</v>
      </c>
      <c r="G2690">
        <v>-208.80719999999999</v>
      </c>
      <c r="H2690" s="1">
        <v>-9.7576319999999996E-7</v>
      </c>
      <c r="I2690">
        <v>-62.150390000000002</v>
      </c>
      <c r="J2690">
        <v>-222.03880000000001</v>
      </c>
      <c r="K2690">
        <v>1.103777</v>
      </c>
      <c r="L2690">
        <v>-63.289830000000002</v>
      </c>
      <c r="M2690">
        <v>0.9989268</v>
      </c>
      <c r="N2690">
        <v>0</v>
      </c>
      <c r="O2690">
        <v>-4.4664679999999998E-2</v>
      </c>
      <c r="P2690">
        <v>0.98789020000000005</v>
      </c>
      <c r="Q2690">
        <v>0.15415809999999999</v>
      </c>
      <c r="R2690">
        <v>1.7569520000000002E-2</v>
      </c>
      <c r="S2690">
        <v>3.0716860000000001</v>
      </c>
      <c r="T2690">
        <v>-0.25329800000000002</v>
      </c>
      <c r="U2690">
        <v>0.25997919999999902</v>
      </c>
      <c r="V2690">
        <v>-6.178322E-2</v>
      </c>
      <c r="W2690">
        <v>0.16621140000000001</v>
      </c>
      <c r="X2690">
        <v>0.98415269999999999</v>
      </c>
      <c r="Y2690">
        <v>-0.1281775</v>
      </c>
      <c r="Z2690">
        <v>8.9380499999999995E-3</v>
      </c>
      <c r="AA2690">
        <v>0.99171100000000001</v>
      </c>
      <c r="AB2690">
        <v>30</v>
      </c>
      <c r="AC2690">
        <v>13.2316</v>
      </c>
      <c r="AD2690">
        <v>-1.1037779757632</v>
      </c>
      <c r="AE2690">
        <v>1.13944</v>
      </c>
      <c r="AF2690">
        <v>-1.7174686473082901</v>
      </c>
      <c r="AG2690">
        <v>-1.1037779757632</v>
      </c>
      <c r="AH2690">
        <v>13.0771643953306</v>
      </c>
      <c r="AI2690">
        <v>94.783727894918201</v>
      </c>
      <c r="AJ2690">
        <v>97.482028597975102</v>
      </c>
      <c r="AK2690">
        <v>13.2355677247623</v>
      </c>
    </row>
    <row r="2691" spans="1:37" x14ac:dyDescent="0.2">
      <c r="A2691" t="str">
        <f>"20200111150645376"</f>
        <v>20200111150645376</v>
      </c>
      <c r="B2691" t="str">
        <f>"1578726405369856"</f>
        <v>1578726405369856</v>
      </c>
      <c r="C2691" t="s">
        <v>37</v>
      </c>
      <c r="D2691">
        <v>5.6537670000000002</v>
      </c>
      <c r="E2691">
        <v>0.4742133</v>
      </c>
      <c r="F2691" t="s">
        <v>85</v>
      </c>
      <c r="G2691">
        <v>-208.7236</v>
      </c>
      <c r="H2691" s="1">
        <v>-1.0340749999999999E-6</v>
      </c>
      <c r="I2691">
        <v>-62.187579999999997</v>
      </c>
      <c r="J2691">
        <v>-221.85929999999999</v>
      </c>
      <c r="K2691">
        <v>1.1038729999999899</v>
      </c>
      <c r="L2691">
        <v>-63.297580000000004</v>
      </c>
      <c r="M2691">
        <v>0.99894269999999996</v>
      </c>
      <c r="N2691">
        <v>0</v>
      </c>
      <c r="O2691">
        <v>-4.4305869999999997E-2</v>
      </c>
      <c r="P2691">
        <v>0.98788729999999902</v>
      </c>
      <c r="Q2691">
        <v>0.1541082</v>
      </c>
      <c r="R2691">
        <v>1.8153349999999999E-2</v>
      </c>
      <c r="S2691">
        <v>3.0719759999999998</v>
      </c>
      <c r="T2691">
        <v>-0.25465470000000001</v>
      </c>
      <c r="U2691">
        <v>0.254303</v>
      </c>
      <c r="V2691">
        <v>-6.2049979999999998E-2</v>
      </c>
      <c r="W2691">
        <v>0.1661474</v>
      </c>
      <c r="X2691">
        <v>0.98414679999999999</v>
      </c>
      <c r="Y2691">
        <v>-0.12599589999999999</v>
      </c>
      <c r="Z2691">
        <v>8.8657999999999897E-3</v>
      </c>
      <c r="AA2691">
        <v>0.99199119999999996</v>
      </c>
      <c r="AB2691">
        <v>30</v>
      </c>
      <c r="AC2691">
        <v>13.1356999999999</v>
      </c>
      <c r="AD2691">
        <v>-1.103874034075</v>
      </c>
      <c r="AE2691">
        <v>1.1099999999999901</v>
      </c>
      <c r="AF2691">
        <v>-1.67916789792279</v>
      </c>
      <c r="AG2691">
        <v>-1.103874034075</v>
      </c>
      <c r="AH2691">
        <v>12.982581774018</v>
      </c>
      <c r="AI2691">
        <v>94.820058285869806</v>
      </c>
      <c r="AJ2691">
        <v>97.369725585422401</v>
      </c>
      <c r="AK2691">
        <v>13.1371828118354</v>
      </c>
    </row>
    <row r="2692" spans="1:37" x14ac:dyDescent="0.2">
      <c r="A2692" t="str">
        <f>"20200111150645390"</f>
        <v>20200111150645390</v>
      </c>
      <c r="B2692" t="str">
        <f>"1578726405379616"</f>
        <v>1578726405379616</v>
      </c>
      <c r="C2692" t="s">
        <v>37</v>
      </c>
      <c r="D2692">
        <v>5.1642159999999997</v>
      </c>
      <c r="E2692">
        <v>0.47505349999999902</v>
      </c>
      <c r="F2692" t="s">
        <v>85</v>
      </c>
      <c r="G2692">
        <v>-209.14940000000001</v>
      </c>
      <c r="H2692" s="1">
        <v>-7.9836339999999996E-7</v>
      </c>
      <c r="I2692">
        <v>-62.229730000000004</v>
      </c>
      <c r="J2692">
        <v>-221.672</v>
      </c>
      <c r="K2692">
        <v>1.1039829999999999</v>
      </c>
      <c r="L2692">
        <v>-63.305480000000003</v>
      </c>
      <c r="M2692">
        <v>0.99896309999999999</v>
      </c>
      <c r="N2692">
        <v>0</v>
      </c>
      <c r="O2692">
        <v>-4.3842739999999998E-2</v>
      </c>
      <c r="P2692">
        <v>0.98775939999999995</v>
      </c>
      <c r="Q2692">
        <v>0.15480910000000001</v>
      </c>
      <c r="R2692">
        <v>1.9118340000000001E-2</v>
      </c>
      <c r="S2692">
        <v>3.07366899999999</v>
      </c>
      <c r="T2692">
        <v>-0.26695259999999998</v>
      </c>
      <c r="U2692">
        <v>0.25823970000000002</v>
      </c>
      <c r="V2692">
        <v>-6.2594979999999995E-2</v>
      </c>
      <c r="W2692">
        <v>0.16683100000000001</v>
      </c>
      <c r="X2692">
        <v>0.9839966</v>
      </c>
      <c r="Y2692">
        <v>-0.12669539999999899</v>
      </c>
      <c r="Z2692">
        <v>9.2770179999999997E-3</v>
      </c>
      <c r="AA2692">
        <v>0.99189830000000001</v>
      </c>
      <c r="AB2692">
        <v>30</v>
      </c>
      <c r="AC2692">
        <v>12.522599999999899</v>
      </c>
      <c r="AD2692">
        <v>-1.1039837983634</v>
      </c>
      <c r="AE2692">
        <v>1.07574999999999</v>
      </c>
      <c r="AF2692">
        <v>-1.61135010175756</v>
      </c>
      <c r="AG2692">
        <v>-1.1039837983634</v>
      </c>
      <c r="AH2692">
        <v>12.3679691522097</v>
      </c>
      <c r="AI2692">
        <v>95.058266143408105</v>
      </c>
      <c r="AJ2692">
        <v>97.4229204501178</v>
      </c>
      <c r="AK2692">
        <v>12.5212575377832</v>
      </c>
    </row>
    <row r="2693" spans="1:37" x14ac:dyDescent="0.2">
      <c r="A2693" t="str">
        <f>"20200111150645404"</f>
        <v>20200111150645404</v>
      </c>
      <c r="B2693" t="str">
        <f>"1578726405399137"</f>
        <v>1578726405399137</v>
      </c>
      <c r="C2693" t="s">
        <v>37</v>
      </c>
      <c r="D2693">
        <v>5.1800730000000001</v>
      </c>
      <c r="E2693">
        <v>0.47629529999999998</v>
      </c>
      <c r="F2693" t="s">
        <v>85</v>
      </c>
      <c r="G2693">
        <v>-208.8476</v>
      </c>
      <c r="H2693" s="1">
        <v>-9.6331429999999994E-7</v>
      </c>
      <c r="I2693">
        <v>-62.245600000000003</v>
      </c>
      <c r="J2693">
        <v>-221.48820000000001</v>
      </c>
      <c r="K2693">
        <v>1.1040939999999999</v>
      </c>
      <c r="L2693">
        <v>-63.313019999999902</v>
      </c>
      <c r="M2693">
        <v>0.99898739999999997</v>
      </c>
      <c r="N2693">
        <v>0</v>
      </c>
      <c r="O2693">
        <v>-4.3286289999999998E-2</v>
      </c>
      <c r="P2693">
        <v>0.9877087</v>
      </c>
      <c r="Q2693">
        <v>0.15505239999999901</v>
      </c>
      <c r="R2693">
        <v>1.976292E-2</v>
      </c>
      <c r="S2693">
        <v>3.073715</v>
      </c>
      <c r="T2693">
        <v>-0.26459919999999998</v>
      </c>
      <c r="U2693">
        <v>0.25402829999999998</v>
      </c>
      <c r="V2693">
        <v>-6.2732369999999996E-2</v>
      </c>
      <c r="W2693">
        <v>0.16705809999999999</v>
      </c>
      <c r="X2693">
        <v>0.98394930000000003</v>
      </c>
      <c r="Y2693">
        <v>-0.1248118</v>
      </c>
      <c r="Z2693">
        <v>9.0673579999999993E-3</v>
      </c>
      <c r="AA2693">
        <v>0.99213899999999999</v>
      </c>
      <c r="AB2693">
        <v>30</v>
      </c>
      <c r="AC2693">
        <v>12.640599999999999</v>
      </c>
      <c r="AD2693">
        <v>-1.1040949633143</v>
      </c>
      <c r="AE2693">
        <v>1.06741999999999</v>
      </c>
      <c r="AF2693">
        <v>-1.60149364953614</v>
      </c>
      <c r="AG2693">
        <v>-1.1040949633143</v>
      </c>
      <c r="AH2693">
        <v>12.487944037471101</v>
      </c>
      <c r="AI2693">
        <v>95.011714170205195</v>
      </c>
      <c r="AJ2693">
        <v>97.307904449862406</v>
      </c>
      <c r="AK2693">
        <v>12.6385344831009</v>
      </c>
    </row>
    <row r="2694" spans="1:37" x14ac:dyDescent="0.2">
      <c r="A2694" t="str">
        <f>"20200111150645419"</f>
        <v>20200111150645419</v>
      </c>
      <c r="B2694" t="str">
        <f>"1578726405409872"</f>
        <v>1578726405409872</v>
      </c>
      <c r="C2694" t="s">
        <v>37</v>
      </c>
      <c r="D2694">
        <v>5.1526129999999997</v>
      </c>
      <c r="E2694">
        <v>0.47689769999999998</v>
      </c>
      <c r="F2694" t="s">
        <v>85</v>
      </c>
      <c r="G2694">
        <v>-208.4881</v>
      </c>
      <c r="H2694" s="1">
        <v>-1.195354E-6</v>
      </c>
      <c r="I2694">
        <v>-62.271039999999999</v>
      </c>
      <c r="J2694">
        <v>-221.29</v>
      </c>
      <c r="K2694">
        <v>1.104217</v>
      </c>
      <c r="L2694">
        <v>-63.320979999999999</v>
      </c>
      <c r="M2694">
        <v>0.99901689999999999</v>
      </c>
      <c r="N2694">
        <v>0</v>
      </c>
      <c r="O2694">
        <v>-4.2601470000000002E-2</v>
      </c>
      <c r="P2694">
        <v>0.98758359999999901</v>
      </c>
      <c r="Q2694">
        <v>0.15576579999999901</v>
      </c>
      <c r="R2694">
        <v>2.0402770000000001E-2</v>
      </c>
      <c r="S2694">
        <v>3.0733799999999998</v>
      </c>
      <c r="T2694">
        <v>-0.26102259999999999</v>
      </c>
      <c r="U2694">
        <v>0.2463379</v>
      </c>
      <c r="V2694">
        <v>-6.2739870000000003E-2</v>
      </c>
      <c r="W2694">
        <v>0.1677534</v>
      </c>
      <c r="X2694">
        <v>0.98383050000000005</v>
      </c>
      <c r="Y2694">
        <v>-0.1217036</v>
      </c>
      <c r="Z2694">
        <v>8.7575359999999998E-3</v>
      </c>
      <c r="AA2694">
        <v>0.99252779999999996</v>
      </c>
      <c r="AB2694">
        <v>30</v>
      </c>
      <c r="AC2694">
        <v>12.8018999999999</v>
      </c>
      <c r="AD2694">
        <v>-1.104218195354</v>
      </c>
      <c r="AE2694">
        <v>1.0499400000000001</v>
      </c>
      <c r="AF2694">
        <v>-1.5827110545457801</v>
      </c>
      <c r="AG2694">
        <v>-1.104218195354</v>
      </c>
      <c r="AH2694">
        <v>12.6520439420736</v>
      </c>
      <c r="AI2694">
        <v>94.949517574717405</v>
      </c>
      <c r="AJ2694">
        <v>97.130391775515207</v>
      </c>
      <c r="AK2694">
        <v>12.798378335449099</v>
      </c>
    </row>
    <row r="2695" spans="1:37" x14ac:dyDescent="0.2">
      <c r="A2695" t="str">
        <f>"20200111150645431"</f>
        <v>20200111150645431</v>
      </c>
      <c r="B2695" t="str">
        <f>"1578726405419633"</f>
        <v>1578726405419633</v>
      </c>
      <c r="C2695" t="s">
        <v>37</v>
      </c>
      <c r="D2695">
        <v>5.7211850000000002</v>
      </c>
      <c r="E2695">
        <v>0.47689769999999998</v>
      </c>
      <c r="F2695" t="s">
        <v>85</v>
      </c>
      <c r="G2695">
        <v>-208.21180000000001</v>
      </c>
      <c r="H2695" s="1">
        <v>-1.3725640000000001E-6</v>
      </c>
      <c r="I2695">
        <v>-62.282169999999901</v>
      </c>
      <c r="J2695">
        <v>-221.119</v>
      </c>
      <c r="K2695">
        <v>1.1043319999999901</v>
      </c>
      <c r="L2695">
        <v>-63.3277</v>
      </c>
      <c r="M2695">
        <v>0.99904470000000001</v>
      </c>
      <c r="N2695">
        <v>0</v>
      </c>
      <c r="O2695">
        <v>-4.1938919999999998E-2</v>
      </c>
      <c r="P2695">
        <v>0.98746219999999996</v>
      </c>
      <c r="Q2695">
        <v>0.15652389999999999</v>
      </c>
      <c r="R2695">
        <v>2.0458819999999999E-2</v>
      </c>
      <c r="S2695">
        <v>3.0736240000000001</v>
      </c>
      <c r="T2695">
        <v>-0.25951079999999999</v>
      </c>
      <c r="U2695">
        <v>0.24414059999999899</v>
      </c>
      <c r="V2695">
        <v>-6.2181100000000003E-2</v>
      </c>
      <c r="W2695">
        <v>0.16849700000000001</v>
      </c>
      <c r="X2695">
        <v>0.98373889999999997</v>
      </c>
      <c r="Y2695">
        <v>-0.120348</v>
      </c>
      <c r="Z2695">
        <v>8.5937329999999992E-3</v>
      </c>
      <c r="AA2695">
        <v>0.99269459999999998</v>
      </c>
      <c r="AB2695">
        <v>30</v>
      </c>
      <c r="AC2695">
        <v>12.9072</v>
      </c>
      <c r="AD2695">
        <v>-1.1043333725640001</v>
      </c>
      <c r="AE2695">
        <v>1.0455300000000001</v>
      </c>
      <c r="AF2695">
        <v>-1.5745138565661301</v>
      </c>
      <c r="AG2695">
        <v>-1.1043333725640001</v>
      </c>
      <c r="AH2695">
        <v>12.759196650897399</v>
      </c>
      <c r="AI2695">
        <v>94.909676501217504</v>
      </c>
      <c r="AJ2695">
        <v>97.034863983349695</v>
      </c>
      <c r="AK2695">
        <v>12.9033230316283</v>
      </c>
    </row>
    <row r="2696" spans="1:37" x14ac:dyDescent="0.2">
      <c r="A2696" t="str">
        <f>"20200111150645446"</f>
        <v>20200111150645446</v>
      </c>
      <c r="B2696" t="str">
        <f>"1578726405439030"</f>
        <v>1578726405439030</v>
      </c>
      <c r="C2696" t="s">
        <v>37</v>
      </c>
      <c r="D2696">
        <v>5.1490410000000004</v>
      </c>
      <c r="E2696">
        <v>0.47775329999999899</v>
      </c>
      <c r="F2696" t="s">
        <v>85</v>
      </c>
      <c r="G2696">
        <v>-207.90520000000001</v>
      </c>
      <c r="H2696" s="1">
        <v>-1.566111E-6</v>
      </c>
      <c r="I2696">
        <v>-62.272640000000003</v>
      </c>
      <c r="J2696">
        <v>-220.92230000000001</v>
      </c>
      <c r="K2696">
        <v>1.104463</v>
      </c>
      <c r="L2696">
        <v>-63.335079999999998</v>
      </c>
      <c r="M2696">
        <v>0.99908209999999997</v>
      </c>
      <c r="N2696">
        <v>0</v>
      </c>
      <c r="O2696">
        <v>-4.1038860000000003E-2</v>
      </c>
      <c r="P2696">
        <v>0.98725039999999997</v>
      </c>
      <c r="Q2696">
        <v>0.157886</v>
      </c>
      <c r="R2696">
        <v>2.0221050000000001E-2</v>
      </c>
      <c r="S2696">
        <v>3.0737299999999999</v>
      </c>
      <c r="T2696">
        <v>-0.25688509999999998</v>
      </c>
      <c r="U2696">
        <v>0.24542240000000001</v>
      </c>
      <c r="V2696">
        <v>-6.1100040000000001E-2</v>
      </c>
      <c r="W2696">
        <v>0.16984299999999999</v>
      </c>
      <c r="X2696">
        <v>0.98357519999999998</v>
      </c>
      <c r="Y2696">
        <v>-0.1198786</v>
      </c>
      <c r="Z2696">
        <v>8.4121209999999998E-3</v>
      </c>
      <c r="AA2696">
        <v>0.99275290000000005</v>
      </c>
      <c r="AB2696">
        <v>30</v>
      </c>
      <c r="AC2696">
        <v>13.017099999999999</v>
      </c>
      <c r="AD2696">
        <v>-1.104464566111</v>
      </c>
      <c r="AE2696">
        <v>1.0624400000000001</v>
      </c>
      <c r="AF2696">
        <v>-1.5844609067190101</v>
      </c>
      <c r="AG2696">
        <v>-1.104464566111</v>
      </c>
      <c r="AH2696">
        <v>12.8704853939324</v>
      </c>
      <c r="AI2696">
        <v>94.868176767475404</v>
      </c>
      <c r="AJ2696">
        <v>97.018260967225501</v>
      </c>
      <c r="AK2696">
        <v>13.014597674079001</v>
      </c>
    </row>
    <row r="2697" spans="1:37" x14ac:dyDescent="0.2">
      <c r="A2697" t="str">
        <f>"20200111150645460"</f>
        <v>20200111150645460</v>
      </c>
      <c r="B2697" t="str">
        <f>"1578726405449766"</f>
        <v>1578726405449766</v>
      </c>
      <c r="C2697" t="s">
        <v>37</v>
      </c>
      <c r="D2697">
        <v>5.2019820000000001</v>
      </c>
      <c r="E2697">
        <v>0.4782092</v>
      </c>
      <c r="F2697" t="s">
        <v>85</v>
      </c>
      <c r="G2697">
        <v>-207.20269999999999</v>
      </c>
      <c r="H2697" s="1">
        <v>-2.0120290000000001E-6</v>
      </c>
      <c r="I2697">
        <v>-62.268409999999903</v>
      </c>
      <c r="J2697">
        <v>-220.73740000000001</v>
      </c>
      <c r="K2697">
        <v>1.1045849999999999</v>
      </c>
      <c r="L2697">
        <v>-63.341799999999999</v>
      </c>
      <c r="M2697">
        <v>0.99912019999999901</v>
      </c>
      <c r="N2697">
        <v>0</v>
      </c>
      <c r="O2697">
        <v>-4.0104220000000003E-2</v>
      </c>
      <c r="P2697">
        <v>0.98707449999999997</v>
      </c>
      <c r="Q2697">
        <v>0.15890940000000001</v>
      </c>
      <c r="R2697">
        <v>2.0790799999999901E-2</v>
      </c>
      <c r="S2697">
        <v>3.07341</v>
      </c>
      <c r="T2697">
        <v>-0.24741859999999999</v>
      </c>
      <c r="U2697">
        <v>0.23895259999999999</v>
      </c>
      <c r="V2697">
        <v>-6.0790539999999997E-2</v>
      </c>
      <c r="W2697">
        <v>0.17085039999999899</v>
      </c>
      <c r="X2697">
        <v>0.98341990000000001</v>
      </c>
      <c r="Y2697">
        <v>-0.1169333</v>
      </c>
      <c r="Z2697">
        <v>7.911398E-3</v>
      </c>
      <c r="AA2697">
        <v>0.99310830000000005</v>
      </c>
      <c r="AB2697">
        <v>30</v>
      </c>
      <c r="AC2697">
        <v>13.534700000000001</v>
      </c>
      <c r="AD2697">
        <v>-1.104587012029</v>
      </c>
      <c r="AE2697">
        <v>1.0733900000000001</v>
      </c>
      <c r="AF2697">
        <v>-1.60474426974312</v>
      </c>
      <c r="AG2697">
        <v>-1.104587012029</v>
      </c>
      <c r="AH2697">
        <v>13.3921191784071</v>
      </c>
      <c r="AI2697">
        <v>94.681762822840497</v>
      </c>
      <c r="AJ2697">
        <v>96.833030453578004</v>
      </c>
      <c r="AK2697">
        <v>13.5330769866677</v>
      </c>
    </row>
    <row r="2698" spans="1:37" x14ac:dyDescent="0.2">
      <c r="A2698" t="str">
        <f>"20200111150645474"</f>
        <v>20200111150645474</v>
      </c>
      <c r="B2698" t="str">
        <f>"1578726405469287"</f>
        <v>1578726405469287</v>
      </c>
      <c r="C2698" t="s">
        <v>37</v>
      </c>
      <c r="D2698">
        <v>5.1601160000000004</v>
      </c>
      <c r="E2698">
        <v>0.47907529999999998</v>
      </c>
      <c r="F2698" t="s">
        <v>85</v>
      </c>
      <c r="G2698">
        <v>-206.8426</v>
      </c>
      <c r="H2698" s="1">
        <v>-2.241123E-6</v>
      </c>
      <c r="I2698">
        <v>-62.26999</v>
      </c>
      <c r="J2698">
        <v>-220.56229999999999</v>
      </c>
      <c r="K2698">
        <v>1.1046989999999901</v>
      </c>
      <c r="L2698">
        <v>-63.34796</v>
      </c>
      <c r="M2698">
        <v>0.99915799999999999</v>
      </c>
      <c r="N2698">
        <v>0</v>
      </c>
      <c r="O2698">
        <v>-3.914989E-2</v>
      </c>
      <c r="P2698">
        <v>0.98697950000000001</v>
      </c>
      <c r="Q2698">
        <v>0.1594013</v>
      </c>
      <c r="R2698">
        <v>2.15242E-2</v>
      </c>
      <c r="S2698">
        <v>3.0736240000000001</v>
      </c>
      <c r="T2698">
        <v>-0.24434239999999999</v>
      </c>
      <c r="U2698">
        <v>0.2370911</v>
      </c>
      <c r="V2698">
        <v>-6.0625999999999999E-2</v>
      </c>
      <c r="W2698">
        <v>0.1713277</v>
      </c>
      <c r="X2698">
        <v>0.98334699999999997</v>
      </c>
      <c r="Y2698">
        <v>-0.1154017</v>
      </c>
      <c r="Z2698">
        <v>7.6766330000000004E-3</v>
      </c>
      <c r="AA2698">
        <v>0.99328919999999998</v>
      </c>
      <c r="AB2698">
        <v>30</v>
      </c>
      <c r="AC2698">
        <v>13.7196999999999</v>
      </c>
      <c r="AD2698">
        <v>-1.1047012411229999</v>
      </c>
      <c r="AE2698">
        <v>1.0779700000000001</v>
      </c>
      <c r="AF2698">
        <v>-1.6039732989001101</v>
      </c>
      <c r="AG2698">
        <v>-1.1047012411229999</v>
      </c>
      <c r="AH2698">
        <v>13.579474103318701</v>
      </c>
      <c r="AI2698">
        <v>94.618848080053297</v>
      </c>
      <c r="AJ2698">
        <v>96.736420700138495</v>
      </c>
      <c r="AK2698">
        <v>13.7184260065952</v>
      </c>
    </row>
    <row r="2699" spans="1:37" x14ac:dyDescent="0.2">
      <c r="A2699" t="str">
        <f>"20200111150645485"</f>
        <v>20200111150645485</v>
      </c>
      <c r="B2699" t="str">
        <f>"1578726405479046"</f>
        <v>1578726405479046</v>
      </c>
      <c r="C2699" t="s">
        <v>37</v>
      </c>
      <c r="D2699">
        <v>5.1718039999999998</v>
      </c>
      <c r="E2699">
        <v>0.47941990000000001</v>
      </c>
      <c r="F2699" t="s">
        <v>85</v>
      </c>
      <c r="G2699">
        <v>-206.5848</v>
      </c>
      <c r="H2699" s="1">
        <v>-2.4080620000000001E-6</v>
      </c>
      <c r="I2699">
        <v>-62.291739999999997</v>
      </c>
      <c r="J2699">
        <v>-220.38929999999999</v>
      </c>
      <c r="K2699">
        <v>1.1048100000000001</v>
      </c>
      <c r="L2699">
        <v>-63.353729999999999</v>
      </c>
      <c r="M2699">
        <v>0.999198699999999</v>
      </c>
      <c r="N2699">
        <v>0</v>
      </c>
      <c r="O2699">
        <v>-3.809514E-2</v>
      </c>
      <c r="P2699">
        <v>0.98691079999999998</v>
      </c>
      <c r="Q2699">
        <v>0.15968109999999999</v>
      </c>
      <c r="R2699">
        <v>2.2572539999999999E-2</v>
      </c>
      <c r="S2699">
        <v>3.0737459999999999</v>
      </c>
      <c r="T2699">
        <v>-0.2429299</v>
      </c>
      <c r="U2699">
        <v>0.23226929999999901</v>
      </c>
      <c r="V2699">
        <v>-6.0677540000000002E-2</v>
      </c>
      <c r="W2699">
        <v>0.1715931</v>
      </c>
      <c r="X2699">
        <v>0.98329750000000005</v>
      </c>
      <c r="Y2699">
        <v>-0.1128175</v>
      </c>
      <c r="Z2699">
        <v>7.4475699999999997E-3</v>
      </c>
      <c r="AA2699">
        <v>0.99358780000000002</v>
      </c>
      <c r="AB2699">
        <v>30</v>
      </c>
      <c r="AC2699">
        <v>13.8044999999999</v>
      </c>
      <c r="AD2699">
        <v>-1.1048124080620001</v>
      </c>
      <c r="AE2699">
        <v>1.06199</v>
      </c>
      <c r="AF2699">
        <v>-1.5771007153641901</v>
      </c>
      <c r="AG2699">
        <v>-1.1048124080620001</v>
      </c>
      <c r="AH2699">
        <v>13.6669929377075</v>
      </c>
      <c r="AI2699">
        <v>94.591290630102407</v>
      </c>
      <c r="AJ2699">
        <v>96.582523827532796</v>
      </c>
      <c r="AK2699">
        <v>13.801976419439301</v>
      </c>
    </row>
    <row r="2700" spans="1:37" x14ac:dyDescent="0.2">
      <c r="A2700" t="str">
        <f>"20200111150645498"</f>
        <v>20200111150645498</v>
      </c>
      <c r="B2700" t="str">
        <f>"1578726405489782"</f>
        <v>1578726405489782</v>
      </c>
      <c r="C2700" t="s">
        <v>37</v>
      </c>
      <c r="D2700">
        <v>5.1786320000000003</v>
      </c>
      <c r="E2700">
        <v>0.47965229999999998</v>
      </c>
      <c r="F2700" t="s">
        <v>85</v>
      </c>
      <c r="G2700">
        <v>-206.3741</v>
      </c>
      <c r="H2700" s="1">
        <v>-2.54205399999999E-6</v>
      </c>
      <c r="I2700">
        <v>-62.292259999999999</v>
      </c>
      <c r="J2700">
        <v>-220.2277</v>
      </c>
      <c r="K2700">
        <v>1.104908</v>
      </c>
      <c r="L2700">
        <v>-63.358919999999998</v>
      </c>
      <c r="M2700">
        <v>0.99923779999999995</v>
      </c>
      <c r="N2700">
        <v>0</v>
      </c>
      <c r="O2700">
        <v>-3.7053639999999999E-2</v>
      </c>
      <c r="P2700">
        <v>0.98687429999999998</v>
      </c>
      <c r="Q2700">
        <v>0.15978390000000001</v>
      </c>
      <c r="R2700">
        <v>2.341619E-2</v>
      </c>
      <c r="S2700">
        <v>3.07366899999999</v>
      </c>
      <c r="T2700">
        <v>-0.24229510000000001</v>
      </c>
      <c r="U2700">
        <v>0.2327881</v>
      </c>
      <c r="V2700">
        <v>-6.0534030000000003E-2</v>
      </c>
      <c r="W2700">
        <v>0.1716847</v>
      </c>
      <c r="X2700">
        <v>0.98329040000000001</v>
      </c>
      <c r="Y2700">
        <v>-0.11195869999999999</v>
      </c>
      <c r="Z2700">
        <v>7.3126830000000004E-3</v>
      </c>
      <c r="AA2700">
        <v>0.99368599999999996</v>
      </c>
      <c r="AB2700">
        <v>30</v>
      </c>
      <c r="AC2700">
        <v>13.8536</v>
      </c>
      <c r="AD2700">
        <v>-1.104910542054</v>
      </c>
      <c r="AE2700">
        <v>1.0666599999999899</v>
      </c>
      <c r="AF2700">
        <v>-1.5693684168307001</v>
      </c>
      <c r="AG2700">
        <v>-1.104910542054</v>
      </c>
      <c r="AH2700">
        <v>13.717812904274499</v>
      </c>
      <c r="AI2700">
        <v>94.575270373659095</v>
      </c>
      <c r="AJ2700">
        <v>96.526474031765304</v>
      </c>
      <c r="AK2700">
        <v>13.8514308073342</v>
      </c>
    </row>
    <row r="2701" spans="1:37" x14ac:dyDescent="0.2">
      <c r="A2701" t="str">
        <f>"20200111150645513"</f>
        <v>20200111150645513</v>
      </c>
      <c r="B2701" t="str">
        <f>"1578726405509302"</f>
        <v>1578726405509302</v>
      </c>
      <c r="C2701" t="s">
        <v>37</v>
      </c>
      <c r="D2701">
        <v>5.1518110000000004</v>
      </c>
      <c r="E2701">
        <v>0.48006300000000002</v>
      </c>
      <c r="F2701" t="s">
        <v>85</v>
      </c>
      <c r="G2701">
        <v>-206.15299999999999</v>
      </c>
      <c r="H2701" s="1">
        <v>-2.6820150000000001E-6</v>
      </c>
      <c r="I2701">
        <v>-62.288269999999997</v>
      </c>
      <c r="J2701">
        <v>-220.04400000000001</v>
      </c>
      <c r="K2701">
        <v>1.1050139999999999</v>
      </c>
      <c r="L2701">
        <v>-63.364559999999997</v>
      </c>
      <c r="M2701">
        <v>0.99928300000000003</v>
      </c>
      <c r="N2701">
        <v>0</v>
      </c>
      <c r="O2701">
        <v>-3.5812280000000002E-2</v>
      </c>
      <c r="P2701">
        <v>0.98683999999999905</v>
      </c>
      <c r="Q2701">
        <v>0.15981489999999901</v>
      </c>
      <c r="R2701">
        <v>2.462228E-2</v>
      </c>
      <c r="S2701">
        <v>3.0734409999999999</v>
      </c>
      <c r="T2701">
        <v>-0.24127609999999999</v>
      </c>
      <c r="U2701">
        <v>0.23379520000000001</v>
      </c>
      <c r="V2701">
        <v>-6.0559149999999999E-2</v>
      </c>
      <c r="W2701">
        <v>0.17170260000000001</v>
      </c>
      <c r="X2701">
        <v>0.98328570000000004</v>
      </c>
      <c r="Y2701">
        <v>-0.111064</v>
      </c>
      <c r="Z2701">
        <v>7.1502730000000004E-3</v>
      </c>
      <c r="AA2701">
        <v>0.99378750000000005</v>
      </c>
      <c r="AB2701">
        <v>30</v>
      </c>
      <c r="AC2701">
        <v>13.891</v>
      </c>
      <c r="AD2701">
        <v>-1.105016682015</v>
      </c>
      <c r="AE2701">
        <v>1.07629</v>
      </c>
      <c r="AF2701">
        <v>-1.56327198227255</v>
      </c>
      <c r="AG2701">
        <v>-1.105016682015</v>
      </c>
      <c r="AH2701">
        <v>13.757005085306799</v>
      </c>
      <c r="AI2701">
        <v>94.563120769478502</v>
      </c>
      <c r="AJ2701">
        <v>96.482974804726197</v>
      </c>
      <c r="AK2701">
        <v>13.889566950601701</v>
      </c>
    </row>
    <row r="2702" spans="1:37" x14ac:dyDescent="0.2">
      <c r="A2702" t="str">
        <f>"20200111150645524"</f>
        <v>20200111150645524</v>
      </c>
      <c r="B2702" t="str">
        <f>"1578726405519062"</f>
        <v>1578726405519062</v>
      </c>
      <c r="C2702" t="s">
        <v>37</v>
      </c>
      <c r="D2702">
        <v>5.1833669999999996</v>
      </c>
      <c r="E2702">
        <v>0.48033729999999902</v>
      </c>
      <c r="F2702" t="s">
        <v>85</v>
      </c>
      <c r="G2702">
        <v>-205.9537</v>
      </c>
      <c r="H2702" s="1">
        <v>-2.8087549999999999E-6</v>
      </c>
      <c r="I2702">
        <v>-62.288440000000001</v>
      </c>
      <c r="J2702">
        <v>-219.88589999999999</v>
      </c>
      <c r="K2702">
        <v>1.105102</v>
      </c>
      <c r="L2702">
        <v>-63.369079999999997</v>
      </c>
      <c r="M2702">
        <v>0.99932410000000005</v>
      </c>
      <c r="N2702">
        <v>0</v>
      </c>
      <c r="O2702">
        <v>-3.464482E-2</v>
      </c>
      <c r="P2702">
        <v>0.98686430000000003</v>
      </c>
      <c r="Q2702">
        <v>0.15949479999999999</v>
      </c>
      <c r="R2702">
        <v>2.5701430000000001E-2</v>
      </c>
      <c r="S2702">
        <v>3.0731809999999999</v>
      </c>
      <c r="T2702">
        <v>-0.241011</v>
      </c>
      <c r="U2702">
        <v>0.23471069999999999</v>
      </c>
      <c r="V2702">
        <v>-6.052424E-2</v>
      </c>
      <c r="W2702">
        <v>0.17137239999999901</v>
      </c>
      <c r="X2702">
        <v>0.98334549999999998</v>
      </c>
      <c r="Y2702">
        <v>-0.11021069999999999</v>
      </c>
      <c r="Z2702">
        <v>7.0182939999999996E-3</v>
      </c>
      <c r="AA2702">
        <v>0.99388349999999903</v>
      </c>
      <c r="AB2702">
        <v>30</v>
      </c>
      <c r="AC2702">
        <v>13.9321999999999</v>
      </c>
      <c r="AD2702">
        <v>-1.1051048087549999</v>
      </c>
      <c r="AE2702">
        <v>1.08064</v>
      </c>
      <c r="AF2702">
        <v>-1.5529936803926101</v>
      </c>
      <c r="AG2702">
        <v>-1.1051048087549999</v>
      </c>
      <c r="AH2702">
        <v>13.800086988077499</v>
      </c>
      <c r="AI2702">
        <v>94.549852717113197</v>
      </c>
      <c r="AJ2702">
        <v>96.420770665590098</v>
      </c>
      <c r="AK2702">
        <v>13.9310963993571</v>
      </c>
    </row>
    <row r="2703" spans="1:37" x14ac:dyDescent="0.2">
      <c r="A2703" t="str">
        <f>"20200111150645535"</f>
        <v>20200111150645535</v>
      </c>
      <c r="B2703" t="str">
        <f>"1578726405529366"</f>
        <v>1578726405529366</v>
      </c>
      <c r="C2703" t="s">
        <v>37</v>
      </c>
      <c r="D2703">
        <v>5.1534409999999999</v>
      </c>
      <c r="E2703">
        <v>0.48061979999999999</v>
      </c>
      <c r="F2703" t="s">
        <v>85</v>
      </c>
      <c r="G2703">
        <v>-205.8895</v>
      </c>
      <c r="H2703" s="1">
        <v>-2.8503410000000001E-6</v>
      </c>
      <c r="I2703">
        <v>-62.294369999999901</v>
      </c>
      <c r="J2703">
        <v>-219.74170000000001</v>
      </c>
      <c r="K2703">
        <v>1.1051819999999899</v>
      </c>
      <c r="L2703">
        <v>-63.373049999999999</v>
      </c>
      <c r="M2703">
        <v>0.99936119999999995</v>
      </c>
      <c r="N2703">
        <v>0</v>
      </c>
      <c r="O2703">
        <v>-3.3556629999999997E-2</v>
      </c>
      <c r="P2703">
        <v>0.98687819999999904</v>
      </c>
      <c r="Q2703">
        <v>0.15924059999999901</v>
      </c>
      <c r="R2703">
        <v>2.6724680000000001E-2</v>
      </c>
      <c r="S2703">
        <v>3.073013</v>
      </c>
      <c r="T2703">
        <v>-0.2426352</v>
      </c>
      <c r="U2703">
        <v>0.2359619</v>
      </c>
      <c r="V2703">
        <v>-6.0506419999999998E-2</v>
      </c>
      <c r="W2703">
        <v>0.17110929999999999</v>
      </c>
      <c r="X2703">
        <v>0.98339240000000006</v>
      </c>
      <c r="Y2703">
        <v>-0.1095344</v>
      </c>
      <c r="Z2703">
        <v>6.9534169999999999E-3</v>
      </c>
      <c r="AA2703">
        <v>0.99395869999999997</v>
      </c>
      <c r="AB2703">
        <v>30</v>
      </c>
      <c r="AC2703">
        <v>13.8522</v>
      </c>
      <c r="AD2703">
        <v>-1.10518485034099</v>
      </c>
      <c r="AE2703">
        <v>1.0786800000000001</v>
      </c>
      <c r="AF2703">
        <v>-1.53323968945224</v>
      </c>
      <c r="AG2703">
        <v>-1.10518485034099</v>
      </c>
      <c r="AH2703">
        <v>13.7213809358165</v>
      </c>
      <c r="AI2703">
        <v>94.576571015297304</v>
      </c>
      <c r="AJ2703">
        <v>96.375834438062398</v>
      </c>
      <c r="AK2703">
        <v>13.850940483755</v>
      </c>
    </row>
    <row r="2704" spans="1:37" x14ac:dyDescent="0.2">
      <c r="A2704" t="str">
        <f>"20200111150645546"</f>
        <v>20200111150645546</v>
      </c>
      <c r="B2704" t="str">
        <f>"1578726405539118"</f>
        <v>1578726405539118</v>
      </c>
      <c r="C2704" t="s">
        <v>37</v>
      </c>
      <c r="D2704">
        <v>5.1683430000000001</v>
      </c>
      <c r="E2704">
        <v>0.48089799999999899</v>
      </c>
      <c r="F2704" t="s">
        <v>85</v>
      </c>
      <c r="G2704">
        <v>-205.8665</v>
      </c>
      <c r="H2704" s="1">
        <v>-2.8661829999999999E-6</v>
      </c>
      <c r="I2704">
        <v>-62.302930000000003</v>
      </c>
      <c r="J2704">
        <v>-219.5874</v>
      </c>
      <c r="K2704">
        <v>1.1052599999999999</v>
      </c>
      <c r="L2704">
        <v>-63.377040000000001</v>
      </c>
      <c r="M2704">
        <v>0.9994016</v>
      </c>
      <c r="N2704">
        <v>0</v>
      </c>
      <c r="O2704">
        <v>-3.2329940000000001E-2</v>
      </c>
      <c r="P2704">
        <v>0.98693839999999999</v>
      </c>
      <c r="Q2704">
        <v>0.1586398</v>
      </c>
      <c r="R2704">
        <v>2.8039129999999999E-2</v>
      </c>
      <c r="S2704">
        <v>3.0729519999999999</v>
      </c>
      <c r="T2704">
        <v>-0.24476590000000001</v>
      </c>
      <c r="U2704">
        <v>0.2369995</v>
      </c>
      <c r="V2704">
        <v>-6.0643290000000002E-2</v>
      </c>
      <c r="W2704">
        <v>0.1704994</v>
      </c>
      <c r="X2704">
        <v>0.98348989999999903</v>
      </c>
      <c r="Y2704">
        <v>-0.108648299999999</v>
      </c>
      <c r="Z2704">
        <v>6.8817230000000002E-3</v>
      </c>
      <c r="AA2704">
        <v>0.99405639999999995</v>
      </c>
      <c r="AB2704">
        <v>30</v>
      </c>
      <c r="AC2704">
        <v>13.7209</v>
      </c>
      <c r="AD2704">
        <v>-1.105262866183</v>
      </c>
      <c r="AE2704">
        <v>1.0741099999999899</v>
      </c>
      <c r="AF2704">
        <v>-1.50745580598808</v>
      </c>
      <c r="AG2704">
        <v>-1.105262866183</v>
      </c>
      <c r="AH2704">
        <v>13.5913431266033</v>
      </c>
      <c r="AI2704">
        <v>94.620913183450497</v>
      </c>
      <c r="AJ2704">
        <v>96.328975523706106</v>
      </c>
      <c r="AK2704">
        <v>13.7192797549812</v>
      </c>
    </row>
    <row r="2705" spans="1:37" x14ac:dyDescent="0.2">
      <c r="A2705" t="str">
        <f>"20200111150645558"</f>
        <v>20200111150645558</v>
      </c>
      <c r="B2705" t="str">
        <f>"1578726405549855"</f>
        <v>1578726405549855</v>
      </c>
      <c r="C2705" t="s">
        <v>37</v>
      </c>
      <c r="D2705">
        <v>4.6869079999999999</v>
      </c>
      <c r="E2705">
        <v>0.48089799999999899</v>
      </c>
      <c r="F2705" t="s">
        <v>85</v>
      </c>
      <c r="G2705">
        <v>-205.82230000000001</v>
      </c>
      <c r="H2705" s="1">
        <v>-2.89499599999999E-6</v>
      </c>
      <c r="I2705">
        <v>-62.30791</v>
      </c>
      <c r="J2705">
        <v>-219.44239999999999</v>
      </c>
      <c r="K2705">
        <v>1.1053299999999999</v>
      </c>
      <c r="L2705">
        <v>-63.380580000000002</v>
      </c>
      <c r="M2705">
        <v>0.99943939999999998</v>
      </c>
      <c r="N2705">
        <v>0</v>
      </c>
      <c r="O2705">
        <v>-3.1136E-2</v>
      </c>
      <c r="P2705">
        <v>0.98691629999999997</v>
      </c>
      <c r="Q2705">
        <v>0.158524</v>
      </c>
      <c r="R2705">
        <v>2.9434399999999999E-2</v>
      </c>
      <c r="S2705">
        <v>3.0725859999999998</v>
      </c>
      <c r="T2705">
        <v>-0.24671100000000001</v>
      </c>
      <c r="U2705">
        <v>0.23864749999999901</v>
      </c>
      <c r="V2705">
        <v>-6.0889890000000002E-2</v>
      </c>
      <c r="W2705">
        <v>0.17037389999999999</v>
      </c>
      <c r="X2705">
        <v>0.98349640000000005</v>
      </c>
      <c r="Y2705">
        <v>-0.1079986</v>
      </c>
      <c r="Z2705">
        <v>6.8153179999999999E-3</v>
      </c>
      <c r="AA2705">
        <v>0.99412769999999995</v>
      </c>
      <c r="AB2705">
        <v>30</v>
      </c>
      <c r="AC2705">
        <v>13.6200999999999</v>
      </c>
      <c r="AD2705">
        <v>-1.105332894996</v>
      </c>
      <c r="AE2705">
        <v>1.07267</v>
      </c>
      <c r="AF2705">
        <v>-1.48652738653798</v>
      </c>
      <c r="AG2705">
        <v>-1.105332894996</v>
      </c>
      <c r="AH2705">
        <v>13.4917842754014</v>
      </c>
      <c r="AI2705">
        <v>94.655527158551607</v>
      </c>
      <c r="AJ2705">
        <v>96.287499120522298</v>
      </c>
      <c r="AK2705">
        <v>13.618361407073101</v>
      </c>
    </row>
    <row r="2706" spans="1:37" x14ac:dyDescent="0.2">
      <c r="A2706" t="str">
        <f>"20200111150645569"</f>
        <v>20200111150645569</v>
      </c>
      <c r="B2706" t="str">
        <f>"1578726405559615"</f>
        <v>1578726405559615</v>
      </c>
      <c r="C2706" t="s">
        <v>37</v>
      </c>
      <c r="D2706">
        <v>5.168393</v>
      </c>
      <c r="E2706">
        <v>0.48118509999999998</v>
      </c>
      <c r="F2706" t="s">
        <v>85</v>
      </c>
      <c r="G2706">
        <v>-205.70169999999999</v>
      </c>
      <c r="H2706" s="1">
        <v>-2.9698039999999899E-6</v>
      </c>
      <c r="I2706">
        <v>-62.294800000000002</v>
      </c>
      <c r="J2706">
        <v>-219.28899999999999</v>
      </c>
      <c r="K2706">
        <v>1.1054029999999999</v>
      </c>
      <c r="L2706">
        <v>-63.384159999999902</v>
      </c>
      <c r="M2706">
        <v>0.99947919999999901</v>
      </c>
      <c r="N2706">
        <v>0</v>
      </c>
      <c r="O2706">
        <v>-2.983334E-2</v>
      </c>
      <c r="P2706">
        <v>0.98695059999999901</v>
      </c>
      <c r="Q2706">
        <v>0.15805669999999999</v>
      </c>
      <c r="R2706">
        <v>3.0768449999999999E-2</v>
      </c>
      <c r="S2706">
        <v>3.072235</v>
      </c>
      <c r="T2706">
        <v>-0.2471371</v>
      </c>
      <c r="U2706">
        <v>0.24276729999999899</v>
      </c>
      <c r="V2706">
        <v>-6.0969059999999999E-2</v>
      </c>
      <c r="W2706">
        <v>0.16989889999999999</v>
      </c>
      <c r="X2706">
        <v>0.983573699999999</v>
      </c>
      <c r="Y2706">
        <v>-0.1080392</v>
      </c>
      <c r="Z2706">
        <v>6.7246179999999999E-3</v>
      </c>
      <c r="AA2706">
        <v>0.99412389999999995</v>
      </c>
      <c r="AB2706">
        <v>30</v>
      </c>
      <c r="AC2706">
        <v>13.587300000000001</v>
      </c>
      <c r="AD2706">
        <v>-1.105405969804</v>
      </c>
      <c r="AE2706">
        <v>1.0893599999999899</v>
      </c>
      <c r="AF2706">
        <v>-1.4844974556617401</v>
      </c>
      <c r="AG2706">
        <v>-1.105405969804</v>
      </c>
      <c r="AH2706">
        <v>13.4602283532119</v>
      </c>
      <c r="AI2706">
        <v>94.666646095355304</v>
      </c>
      <c r="AJ2706">
        <v>96.2935841852143</v>
      </c>
      <c r="AK2706">
        <v>13.586883468056801</v>
      </c>
    </row>
    <row r="2707" spans="1:37" x14ac:dyDescent="0.2">
      <c r="A2707" t="str">
        <f>"20200111150645582"</f>
        <v>20200111150645582</v>
      </c>
      <c r="B2707" t="str">
        <f>"1578726405579134"</f>
        <v>1578726405579134</v>
      </c>
      <c r="C2707" t="s">
        <v>37</v>
      </c>
      <c r="D2707">
        <v>5.1317870000000001</v>
      </c>
      <c r="E2707">
        <v>0.48132819999999998</v>
      </c>
      <c r="F2707" t="s">
        <v>85</v>
      </c>
      <c r="G2707">
        <v>-205.69589999999999</v>
      </c>
      <c r="H2707" s="1">
        <v>-2.9745489999999999E-6</v>
      </c>
      <c r="I2707">
        <v>-62.302280000000003</v>
      </c>
      <c r="J2707">
        <v>-219.1301</v>
      </c>
      <c r="K2707">
        <v>1.1054740000000001</v>
      </c>
      <c r="L2707">
        <v>-63.387509999999999</v>
      </c>
      <c r="M2707">
        <v>0.99952019999999997</v>
      </c>
      <c r="N2707">
        <v>0</v>
      </c>
      <c r="O2707">
        <v>-2.8423899999999998E-2</v>
      </c>
      <c r="P2707">
        <v>0.98699099999999995</v>
      </c>
      <c r="Q2707">
        <v>0.15748389999999901</v>
      </c>
      <c r="R2707">
        <v>3.2370830000000003E-2</v>
      </c>
      <c r="S2707">
        <v>3.0720669999999899</v>
      </c>
      <c r="T2707">
        <v>-0.24982359999999901</v>
      </c>
      <c r="U2707">
        <v>0.244506799999999</v>
      </c>
      <c r="V2707">
        <v>-6.1209760000000002E-2</v>
      </c>
      <c r="W2707">
        <v>0.1693181</v>
      </c>
      <c r="X2707">
        <v>0.9836589</v>
      </c>
      <c r="Y2707">
        <v>-0.10719869999999999</v>
      </c>
      <c r="Z2707">
        <v>6.64935099999999E-3</v>
      </c>
      <c r="AA2707">
        <v>0.99421539999999997</v>
      </c>
      <c r="AB2707">
        <v>30</v>
      </c>
      <c r="AC2707">
        <v>13.434200000000001</v>
      </c>
      <c r="AD2707">
        <v>-1.1054769745490001</v>
      </c>
      <c r="AE2707">
        <v>1.0852299999999899</v>
      </c>
      <c r="AF2707">
        <v>-1.45687169091819</v>
      </c>
      <c r="AG2707">
        <v>-1.1054769745490001</v>
      </c>
      <c r="AH2707">
        <v>13.308390776264099</v>
      </c>
      <c r="AI2707">
        <v>94.720368287712205</v>
      </c>
      <c r="AJ2707">
        <v>96.247302203667402</v>
      </c>
      <c r="AK2707">
        <v>13.4334589558612</v>
      </c>
    </row>
    <row r="2708" spans="1:37" x14ac:dyDescent="0.2">
      <c r="A2708" t="str">
        <f>"20200111150645594"</f>
        <v>20200111150645594</v>
      </c>
      <c r="B2708" t="str">
        <f>"1578726405588895"</f>
        <v>1578726405588895</v>
      </c>
      <c r="C2708" t="s">
        <v>37</v>
      </c>
      <c r="D2708">
        <v>5.106522</v>
      </c>
      <c r="E2708">
        <v>0.48148859999999899</v>
      </c>
      <c r="F2708" t="s">
        <v>85</v>
      </c>
      <c r="G2708">
        <v>-205.60409999999999</v>
      </c>
      <c r="H2708" s="1">
        <v>-3.031742E-6</v>
      </c>
      <c r="I2708">
        <v>-62.2941</v>
      </c>
      <c r="J2708">
        <v>-218.95480000000001</v>
      </c>
      <c r="K2708">
        <v>1.105548</v>
      </c>
      <c r="L2708">
        <v>-63.39096</v>
      </c>
      <c r="M2708">
        <v>0.99956420000000001</v>
      </c>
      <c r="N2708">
        <v>0</v>
      </c>
      <c r="O2708">
        <v>-2.683491E-2</v>
      </c>
      <c r="P2708">
        <v>0.98695669999999902</v>
      </c>
      <c r="Q2708">
        <v>0.15726660000000001</v>
      </c>
      <c r="R2708">
        <v>3.4407180000000002E-2</v>
      </c>
      <c r="S2708">
        <v>3.071472</v>
      </c>
      <c r="T2708">
        <v>-0.25103059999999999</v>
      </c>
      <c r="U2708">
        <v>0.24829099999999901</v>
      </c>
      <c r="V2708">
        <v>-6.1708470000000001E-2</v>
      </c>
      <c r="W2708">
        <v>0.16908970000000001</v>
      </c>
      <c r="X2708">
        <v>0.98366699999999996</v>
      </c>
      <c r="Y2708">
        <v>-0.1068525</v>
      </c>
      <c r="Z2708">
        <v>6.5387559999999997E-3</v>
      </c>
      <c r="AA2708">
        <v>0.99425339999999995</v>
      </c>
      <c r="AB2708">
        <v>30</v>
      </c>
      <c r="AC2708">
        <v>13.3507</v>
      </c>
      <c r="AD2708">
        <v>-1.1055510317420001</v>
      </c>
      <c r="AE2708">
        <v>1.09685999999999</v>
      </c>
      <c r="AF2708">
        <v>-1.44491517237256</v>
      </c>
      <c r="AG2708">
        <v>-1.1055510317420001</v>
      </c>
      <c r="AH2708">
        <v>13.2263667157762</v>
      </c>
      <c r="AI2708">
        <v>94.749940146464297</v>
      </c>
      <c r="AJ2708">
        <v>96.234557014354706</v>
      </c>
      <c r="AK2708">
        <v>13.350910060341601</v>
      </c>
    </row>
    <row r="2709" spans="1:37" x14ac:dyDescent="0.2">
      <c r="A2709" t="str">
        <f>"20200111150645606"</f>
        <v>20200111150645606</v>
      </c>
      <c r="B2709" t="str">
        <f>"1578726405599631"</f>
        <v>1578726405599631</v>
      </c>
      <c r="C2709" t="s">
        <v>37</v>
      </c>
      <c r="D2709">
        <v>5.0935430000000004</v>
      </c>
      <c r="E2709">
        <v>0.48174240000000002</v>
      </c>
      <c r="F2709" t="s">
        <v>85</v>
      </c>
      <c r="G2709">
        <v>-205.48929999999999</v>
      </c>
      <c r="H2709" s="1">
        <v>-3.1027279999999999E-6</v>
      </c>
      <c r="I2709">
        <v>-62.279789999999998</v>
      </c>
      <c r="J2709">
        <v>-218.80070000000001</v>
      </c>
      <c r="K2709">
        <v>1.10561</v>
      </c>
      <c r="L2709">
        <v>-63.393680000000003</v>
      </c>
      <c r="M2709">
        <v>0.99960199999999999</v>
      </c>
      <c r="N2709">
        <v>0</v>
      </c>
      <c r="O2709">
        <v>-2.5384460000000001E-2</v>
      </c>
      <c r="P2709">
        <v>0.98692359999999901</v>
      </c>
      <c r="Q2709">
        <v>0.15710370000000001</v>
      </c>
      <c r="R2709">
        <v>3.6066880000000003E-2</v>
      </c>
      <c r="S2709">
        <v>3.070999</v>
      </c>
      <c r="T2709">
        <v>-0.25213659999999999</v>
      </c>
      <c r="U2709">
        <v>0.25341799999999998</v>
      </c>
      <c r="V2709">
        <v>-6.196219E-2</v>
      </c>
      <c r="W2709">
        <v>0.1689186</v>
      </c>
      <c r="X2709">
        <v>0.98368040000000001</v>
      </c>
      <c r="Y2709">
        <v>-0.10707120000000001</v>
      </c>
      <c r="Z2709">
        <v>6.4582619999999898E-3</v>
      </c>
      <c r="AA2709">
        <v>0.99423039999999996</v>
      </c>
      <c r="AB2709">
        <v>30</v>
      </c>
      <c r="AC2709">
        <v>13.311400000000001</v>
      </c>
      <c r="AD2709">
        <v>-1.1056131027280001</v>
      </c>
      <c r="AE2709">
        <v>1.1138899999999901</v>
      </c>
      <c r="AF2709">
        <v>-1.4415835947353499</v>
      </c>
      <c r="AG2709">
        <v>-1.1056131027280001</v>
      </c>
      <c r="AH2709">
        <v>13.1884832923572</v>
      </c>
      <c r="AI2709">
        <v>94.763756358626495</v>
      </c>
      <c r="AJ2709">
        <v>96.238021554128693</v>
      </c>
      <c r="AK2709">
        <v>13.3130250186169</v>
      </c>
    </row>
    <row r="2710" spans="1:37" x14ac:dyDescent="0.2">
      <c r="A2710" t="str">
        <f>"20200111150645618"</f>
        <v>20200111150645618</v>
      </c>
      <c r="B2710" t="str">
        <f>"1578726405609391"</f>
        <v>1578726405609391</v>
      </c>
      <c r="C2710" t="s">
        <v>37</v>
      </c>
      <c r="D2710">
        <v>5.1287190000000002</v>
      </c>
      <c r="E2710">
        <v>0.48198609999999997</v>
      </c>
      <c r="F2710" t="s">
        <v>85</v>
      </c>
      <c r="G2710">
        <v>-205.40440000000001</v>
      </c>
      <c r="H2710" s="1">
        <v>-3.1558470000000002E-6</v>
      </c>
      <c r="I2710">
        <v>-62.274009999999997</v>
      </c>
      <c r="J2710">
        <v>-218.6473</v>
      </c>
      <c r="K2710">
        <v>1.105667</v>
      </c>
      <c r="L2710">
        <v>-63.396149999999999</v>
      </c>
      <c r="M2710">
        <v>0.99963819999999903</v>
      </c>
      <c r="N2710">
        <v>0</v>
      </c>
      <c r="O2710">
        <v>-2.3914620000000001E-2</v>
      </c>
      <c r="P2710">
        <v>0.98684119999999997</v>
      </c>
      <c r="Q2710">
        <v>0.1571506</v>
      </c>
      <c r="R2710">
        <v>3.8057130000000002E-2</v>
      </c>
      <c r="S2710">
        <v>3.0707089999999999</v>
      </c>
      <c r="T2710">
        <v>-0.2534304</v>
      </c>
      <c r="U2710">
        <v>0.25665279999999902</v>
      </c>
      <c r="V2710">
        <v>-6.2525109999999995E-2</v>
      </c>
      <c r="W2710">
        <v>0.168955299999999</v>
      </c>
      <c r="X2710">
        <v>0.98363849999999997</v>
      </c>
      <c r="Y2710">
        <v>-0.106658999999999</v>
      </c>
      <c r="Z2710">
        <v>6.3537350000000001E-3</v>
      </c>
      <c r="AA2710">
        <v>0.99427529999999997</v>
      </c>
      <c r="AB2710">
        <v>30</v>
      </c>
      <c r="AC2710">
        <v>13.242899999999899</v>
      </c>
      <c r="AD2710">
        <v>-1.1056701558469999</v>
      </c>
      <c r="AE2710">
        <v>1.1221399999999999</v>
      </c>
      <c r="AF2710">
        <v>-1.4286540281942</v>
      </c>
      <c r="AG2710">
        <v>-1.1056701558469999</v>
      </c>
      <c r="AH2710">
        <v>13.1214589305382</v>
      </c>
      <c r="AI2710">
        <v>94.7884421185056</v>
      </c>
      <c r="AJ2710">
        <v>96.213841745608903</v>
      </c>
      <c r="AK2710">
        <v>13.245234739014901</v>
      </c>
    </row>
    <row r="2711" spans="1:37" x14ac:dyDescent="0.2">
      <c r="A2711" t="str">
        <f>"20200111150645629"</f>
        <v>20200111150645629</v>
      </c>
      <c r="B2711" t="str">
        <f>"1578726405619150"</f>
        <v>1578726405619150</v>
      </c>
      <c r="C2711" t="s">
        <v>37</v>
      </c>
      <c r="D2711">
        <v>5.0903109999999998</v>
      </c>
      <c r="E2711">
        <v>0.48224089999999997</v>
      </c>
      <c r="F2711" t="s">
        <v>85</v>
      </c>
      <c r="G2711">
        <v>-205.3133</v>
      </c>
      <c r="H2711" s="1">
        <v>-3.2121569999999998E-6</v>
      </c>
      <c r="I2711">
        <v>-62.262239999999998</v>
      </c>
      <c r="J2711">
        <v>-218.48570000000001</v>
      </c>
      <c r="K2711">
        <v>1.1057219999999901</v>
      </c>
      <c r="L2711">
        <v>-63.398499999999999</v>
      </c>
      <c r="M2711">
        <v>0.99967459999999997</v>
      </c>
      <c r="N2711">
        <v>0</v>
      </c>
      <c r="O2711">
        <v>-2.2336809999999999E-2</v>
      </c>
      <c r="P2711">
        <v>0.98676319999999995</v>
      </c>
      <c r="Q2711">
        <v>0.15712370000000001</v>
      </c>
      <c r="R2711">
        <v>4.0132760000000003E-2</v>
      </c>
      <c r="S2711">
        <v>3.0704799999999999</v>
      </c>
      <c r="T2711">
        <v>-0.2546062</v>
      </c>
      <c r="U2711">
        <v>0.26110839999999902</v>
      </c>
      <c r="V2711">
        <v>-6.3066769999999994E-2</v>
      </c>
      <c r="W2711">
        <v>0.1689186</v>
      </c>
      <c r="X2711">
        <v>0.98361019999999899</v>
      </c>
      <c r="Y2711">
        <v>-0.10653019999999901</v>
      </c>
      <c r="Z2711">
        <v>6.2474669999999996E-3</v>
      </c>
      <c r="AA2711">
        <v>0.9942898</v>
      </c>
      <c r="AB2711">
        <v>30</v>
      </c>
      <c r="AC2711">
        <v>13.1724</v>
      </c>
      <c r="AD2711">
        <v>-1.10572521215699</v>
      </c>
      <c r="AE2711">
        <v>1.1362599999999901</v>
      </c>
      <c r="AF2711">
        <v>-1.42029420626845</v>
      </c>
      <c r="AG2711">
        <v>-1.10572521215699</v>
      </c>
      <c r="AH2711">
        <v>13.0524378407115</v>
      </c>
      <c r="AI2711">
        <v>94.813916582883394</v>
      </c>
      <c r="AJ2711">
        <v>96.210176518653398</v>
      </c>
      <c r="AK2711">
        <v>13.1759628666294</v>
      </c>
    </row>
    <row r="2712" spans="1:37" x14ac:dyDescent="0.2">
      <c r="A2712" t="str">
        <f>"20200111150645642"</f>
        <v>20200111150645642</v>
      </c>
      <c r="B2712" t="str">
        <f>"1578726405639200"</f>
        <v>1578726405639200</v>
      </c>
      <c r="C2712" t="s">
        <v>37</v>
      </c>
      <c r="D2712">
        <v>5.146611</v>
      </c>
      <c r="E2712">
        <v>0.48253429999999897</v>
      </c>
      <c r="F2712" t="s">
        <v>85</v>
      </c>
      <c r="G2712">
        <v>-205.20099999999999</v>
      </c>
      <c r="H2712" s="1">
        <v>-3.2818099999999999E-6</v>
      </c>
      <c r="I2712">
        <v>-62.249780000000001</v>
      </c>
      <c r="J2712">
        <v>-218.33150000000001</v>
      </c>
      <c r="K2712">
        <v>1.105769</v>
      </c>
      <c r="L2712">
        <v>-63.400419999999997</v>
      </c>
      <c r="M2712">
        <v>0.99970789999999998</v>
      </c>
      <c r="N2712">
        <v>0</v>
      </c>
      <c r="O2712">
        <v>-2.0794130000000001E-2</v>
      </c>
      <c r="P2712">
        <v>0.9867127</v>
      </c>
      <c r="Q2712">
        <v>0.15686349999999999</v>
      </c>
      <c r="R2712">
        <v>4.2334490000000002E-2</v>
      </c>
      <c r="S2712">
        <v>3.0701450000000001</v>
      </c>
      <c r="T2712">
        <v>-0.25553559999999997</v>
      </c>
      <c r="U2712">
        <v>0.2654724</v>
      </c>
      <c r="V2712">
        <v>-6.3764340000000003E-2</v>
      </c>
      <c r="W2712">
        <v>0.16864970000000001</v>
      </c>
      <c r="X2712">
        <v>0.98361139999999903</v>
      </c>
      <c r="Y2712">
        <v>-0.10641059999999999</v>
      </c>
      <c r="Z2712">
        <v>6.1375539999999999E-3</v>
      </c>
      <c r="AA2712">
        <v>0.9943033</v>
      </c>
      <c r="AB2712">
        <v>30</v>
      </c>
      <c r="AC2712">
        <v>13.1305</v>
      </c>
      <c r="AD2712">
        <v>-1.10577228181</v>
      </c>
      <c r="AE2712">
        <v>1.1506399999999899</v>
      </c>
      <c r="AF2712">
        <v>-1.4135010493612601</v>
      </c>
      <c r="AG2712">
        <v>-1.10577228181</v>
      </c>
      <c r="AH2712">
        <v>13.0121531357119</v>
      </c>
      <c r="AI2712">
        <v>94.829049981762594</v>
      </c>
      <c r="AJ2712">
        <v>96.199690404853399</v>
      </c>
      <c r="AK2712">
        <v>13.135328194718999</v>
      </c>
    </row>
    <row r="2713" spans="1:37" x14ac:dyDescent="0.2">
      <c r="A2713" t="str">
        <f>"20200111150645654"</f>
        <v>20200111150645654</v>
      </c>
      <c r="B2713" t="str">
        <f>"1578726405648959"</f>
        <v>1578726405648959</v>
      </c>
      <c r="C2713" t="s">
        <v>37</v>
      </c>
      <c r="D2713">
        <v>5.1545430000000003</v>
      </c>
      <c r="E2713">
        <v>0.48261029999999999</v>
      </c>
      <c r="F2713" t="s">
        <v>85</v>
      </c>
      <c r="G2713">
        <v>-205.1063</v>
      </c>
      <c r="H2713" s="1">
        <v>-3.340245E-6</v>
      </c>
      <c r="I2713">
        <v>-62.237189999999998</v>
      </c>
      <c r="J2713">
        <v>-218.17060000000001</v>
      </c>
      <c r="K2713">
        <v>1.1058139999999901</v>
      </c>
      <c r="L2713">
        <v>-63.4022199999999</v>
      </c>
      <c r="M2713">
        <v>0.99974019999999997</v>
      </c>
      <c r="N2713">
        <v>0</v>
      </c>
      <c r="O2713">
        <v>-1.9171830000000001E-2</v>
      </c>
      <c r="P2713">
        <v>0.98661900000000002</v>
      </c>
      <c r="Q2713">
        <v>0.15685439999999901</v>
      </c>
      <c r="R2713">
        <v>4.4493810000000002E-2</v>
      </c>
      <c r="S2713">
        <v>3.0696110000000001</v>
      </c>
      <c r="T2713">
        <v>-0.25665369999999998</v>
      </c>
      <c r="U2713">
        <v>0.26998899999999998</v>
      </c>
      <c r="V2713">
        <v>-6.4341919999999997E-2</v>
      </c>
      <c r="W2713">
        <v>0.16863139999999999</v>
      </c>
      <c r="X2713">
        <v>0.98357689999999998</v>
      </c>
      <c r="Y2713">
        <v>-0.1062661</v>
      </c>
      <c r="Z2713">
        <v>6.0237819999999897E-3</v>
      </c>
      <c r="AA2713">
        <v>0.99431950000000002</v>
      </c>
      <c r="AB2713">
        <v>30</v>
      </c>
      <c r="AC2713">
        <v>13.064299999999999</v>
      </c>
      <c r="AD2713">
        <v>-1.10581734024499</v>
      </c>
      <c r="AE2713">
        <v>1.16502999999998</v>
      </c>
      <c r="AF2713">
        <v>-1.4053122906045099</v>
      </c>
      <c r="AG2713">
        <v>-1.10581734024499</v>
      </c>
      <c r="AH2713">
        <v>12.947528486538699</v>
      </c>
      <c r="AI2713">
        <v>94.853281850167704</v>
      </c>
      <c r="AJ2713">
        <v>96.194579219407601</v>
      </c>
      <c r="AK2713">
        <v>13.0704333720746</v>
      </c>
    </row>
    <row r="2714" spans="1:37" x14ac:dyDescent="0.2">
      <c r="A2714" t="str">
        <f>"20200111150645668"</f>
        <v>20200111150645668</v>
      </c>
      <c r="B2714" t="str">
        <f>"1578726405659695"</f>
        <v>1578726405659695</v>
      </c>
      <c r="C2714" t="s">
        <v>37</v>
      </c>
      <c r="D2714">
        <v>5.1411389999999999</v>
      </c>
      <c r="E2714">
        <v>0.48264819999999897</v>
      </c>
      <c r="F2714" t="s">
        <v>85</v>
      </c>
      <c r="G2714">
        <v>-204.97460000000001</v>
      </c>
      <c r="H2714" s="1">
        <v>-3.4210829999999999E-6</v>
      </c>
      <c r="I2714">
        <v>-62.216719999999903</v>
      </c>
      <c r="J2714">
        <v>-217.96879999999999</v>
      </c>
      <c r="K2714">
        <v>1.10586299999999</v>
      </c>
      <c r="L2714">
        <v>-63.40399</v>
      </c>
      <c r="M2714">
        <v>0.99977799999999994</v>
      </c>
      <c r="N2714">
        <v>0</v>
      </c>
      <c r="O2714">
        <v>-1.709571E-2</v>
      </c>
      <c r="P2714">
        <v>0.98653579999999996</v>
      </c>
      <c r="Q2714">
        <v>0.15644449999999999</v>
      </c>
      <c r="R2714">
        <v>4.7673960000000001E-2</v>
      </c>
      <c r="S2714">
        <v>3.069153</v>
      </c>
      <c r="T2714">
        <v>-0.25719389999999998</v>
      </c>
      <c r="U2714">
        <v>0.27572629999999998</v>
      </c>
      <c r="V2714">
        <v>-6.5491510000000003E-2</v>
      </c>
      <c r="W2714">
        <v>0.16820979999999999</v>
      </c>
      <c r="X2714">
        <v>0.98357329999999998</v>
      </c>
      <c r="Y2714">
        <v>-0.10606449999999901</v>
      </c>
      <c r="Z2714">
        <v>5.8550169999999997E-3</v>
      </c>
      <c r="AA2714">
        <v>0.99434199999999995</v>
      </c>
      <c r="AB2714">
        <v>30</v>
      </c>
      <c r="AC2714">
        <v>12.9941999999999</v>
      </c>
      <c r="AD2714">
        <v>-1.10586642108299</v>
      </c>
      <c r="AE2714">
        <v>1.18727</v>
      </c>
      <c r="AF2714">
        <v>-1.39920811263494</v>
      </c>
      <c r="AG2714">
        <v>-1.10586642108299</v>
      </c>
      <c r="AH2714">
        <v>12.879490737606501</v>
      </c>
      <c r="AI2714">
        <v>94.878960261628393</v>
      </c>
      <c r="AJ2714">
        <v>96.200209597278999</v>
      </c>
      <c r="AK2714">
        <v>13.002384609902601</v>
      </c>
    </row>
    <row r="2715" spans="1:37" x14ac:dyDescent="0.2">
      <c r="A2715" t="str">
        <f>"20200111150645682"</f>
        <v>20200111150645682</v>
      </c>
      <c r="B2715" t="str">
        <f>"1578726405679216"</f>
        <v>1578726405679216</v>
      </c>
      <c r="C2715" t="s">
        <v>37</v>
      </c>
      <c r="D2715">
        <v>5.1693889999999998</v>
      </c>
      <c r="E2715">
        <v>0.4827919</v>
      </c>
      <c r="F2715" t="s">
        <v>85</v>
      </c>
      <c r="G2715">
        <v>-204.86590000000001</v>
      </c>
      <c r="H2715" s="1">
        <v>-3.4590769999999899E-6</v>
      </c>
      <c r="I2715">
        <v>-62.183759999999999</v>
      </c>
      <c r="J2715">
        <v>-217.80699999999999</v>
      </c>
      <c r="K2715">
        <v>1.1058950000000001</v>
      </c>
      <c r="L2715">
        <v>-63.405059999999999</v>
      </c>
      <c r="M2715">
        <v>0.99980530000000001</v>
      </c>
      <c r="N2715">
        <v>0</v>
      </c>
      <c r="O2715">
        <v>-1.5409519999999999E-2</v>
      </c>
      <c r="P2715">
        <v>0.98640450000000002</v>
      </c>
      <c r="Q2715">
        <v>0.1565609</v>
      </c>
      <c r="R2715">
        <v>4.9951290000000002E-2</v>
      </c>
      <c r="S2715">
        <v>3.068222</v>
      </c>
      <c r="T2715">
        <v>-0.25895479999999998</v>
      </c>
      <c r="U2715">
        <v>0.28573609999999999</v>
      </c>
      <c r="V2715">
        <v>-6.6118709999999997E-2</v>
      </c>
      <c r="W2715">
        <v>0.16831789999999999</v>
      </c>
      <c r="X2715">
        <v>0.98351279999999996</v>
      </c>
      <c r="Y2715">
        <v>-0.10762579999999999</v>
      </c>
      <c r="Z2715">
        <v>5.8197029999999999E-3</v>
      </c>
      <c r="AA2715">
        <v>0.99417440000000001</v>
      </c>
      <c r="AB2715">
        <v>30</v>
      </c>
      <c r="AC2715">
        <v>12.9411</v>
      </c>
      <c r="AD2715">
        <v>-1.105898459077</v>
      </c>
      <c r="AE2715">
        <v>1.2212999999999901</v>
      </c>
      <c r="AF2715">
        <v>-1.4103775049613501</v>
      </c>
      <c r="AG2715">
        <v>-1.105898459077</v>
      </c>
      <c r="AH2715">
        <v>12.8278898884477</v>
      </c>
      <c r="AI2715">
        <v>94.897943599543794</v>
      </c>
      <c r="AJ2715">
        <v>96.274251742073702</v>
      </c>
      <c r="AK2715">
        <v>12.9524876027128</v>
      </c>
    </row>
    <row r="2716" spans="1:37" x14ac:dyDescent="0.2">
      <c r="A2716" t="str">
        <f>"20200111150645693"</f>
        <v>20200111150645693</v>
      </c>
      <c r="B2716" t="str">
        <f>"1578726405688976"</f>
        <v>1578726405688976</v>
      </c>
      <c r="C2716" t="s">
        <v>37</v>
      </c>
      <c r="D2716">
        <v>5.1637849999999998</v>
      </c>
      <c r="E2716">
        <v>0.48287370000000002</v>
      </c>
      <c r="F2716" t="s">
        <v>85</v>
      </c>
      <c r="G2716">
        <v>-204.745</v>
      </c>
      <c r="H2716" s="1">
        <v>-3.4980709999999999E-6</v>
      </c>
      <c r="I2716">
        <v>-62.162350000000004</v>
      </c>
      <c r="J2716">
        <v>-217.643</v>
      </c>
      <c r="K2716">
        <v>1.1059239999999999</v>
      </c>
      <c r="L2716">
        <v>-63.405940000000001</v>
      </c>
      <c r="M2716">
        <v>0.9998302</v>
      </c>
      <c r="N2716">
        <v>0</v>
      </c>
      <c r="O2716">
        <v>-1.3689740000000001E-2</v>
      </c>
      <c r="P2716">
        <v>0.9863189</v>
      </c>
      <c r="Q2716">
        <v>0.15634229999999999</v>
      </c>
      <c r="R2716">
        <v>5.2270610000000002E-2</v>
      </c>
      <c r="S2716">
        <v>3.0677949999999998</v>
      </c>
      <c r="T2716">
        <v>-0.25973679999999999</v>
      </c>
      <c r="U2716">
        <v>0.29187009999999902</v>
      </c>
      <c r="V2716">
        <v>-6.6752539999999999E-2</v>
      </c>
      <c r="W2716">
        <v>0.16809279999999999</v>
      </c>
      <c r="X2716">
        <v>0.98350849999999901</v>
      </c>
      <c r="Y2716">
        <v>-0.1079015</v>
      </c>
      <c r="Z2716">
        <v>5.7040369999999899E-3</v>
      </c>
      <c r="AA2716">
        <v>0.99414519999999995</v>
      </c>
      <c r="AB2716">
        <v>30</v>
      </c>
      <c r="AC2716">
        <v>12.8979999999999</v>
      </c>
      <c r="AD2716">
        <v>-1.1059274980709899</v>
      </c>
      <c r="AE2716">
        <v>1.24358999999999</v>
      </c>
      <c r="AF2716">
        <v>-1.4097877825243199</v>
      </c>
      <c r="AG2716">
        <v>-1.1059274980709899</v>
      </c>
      <c r="AH2716">
        <v>12.786623395611199</v>
      </c>
      <c r="AI2716">
        <v>94.913637738028996</v>
      </c>
      <c r="AJ2716">
        <v>96.291727731193603</v>
      </c>
      <c r="AK2716">
        <v>12.911557422864799</v>
      </c>
    </row>
    <row r="2717" spans="1:37" x14ac:dyDescent="0.2">
      <c r="A2717" t="str">
        <f>"20200111150645705"</f>
        <v>20200111150645705</v>
      </c>
      <c r="B2717" t="str">
        <f>"1578726405699711"</f>
        <v>1578726405699711</v>
      </c>
      <c r="C2717" t="s">
        <v>37</v>
      </c>
      <c r="D2717">
        <v>5.1010080000000002</v>
      </c>
      <c r="E2717">
        <v>0.48287370000000002</v>
      </c>
      <c r="F2717" t="s">
        <v>85</v>
      </c>
      <c r="G2717">
        <v>-204.65870000000001</v>
      </c>
      <c r="H2717" s="1">
        <v>-3.525378E-6</v>
      </c>
      <c r="I2717">
        <v>-62.143269999999902</v>
      </c>
      <c r="J2717">
        <v>-217.47550000000001</v>
      </c>
      <c r="K2717">
        <v>1.105947</v>
      </c>
      <c r="L2717">
        <v>-63.40643</v>
      </c>
      <c r="M2717">
        <v>0.99985309999999905</v>
      </c>
      <c r="N2717">
        <v>0</v>
      </c>
      <c r="O2717">
        <v>-1.1912539999999999E-2</v>
      </c>
      <c r="P2717">
        <v>0.98618869999999903</v>
      </c>
      <c r="Q2717">
        <v>0.15636549999999999</v>
      </c>
      <c r="R2717">
        <v>5.4607799999999998E-2</v>
      </c>
      <c r="S2717">
        <v>3.0672450000000002</v>
      </c>
      <c r="T2717">
        <v>-0.26125130000000002</v>
      </c>
      <c r="U2717">
        <v>0.29827880000000001</v>
      </c>
      <c r="V2717">
        <v>-6.7347470000000006E-2</v>
      </c>
      <c r="W2717">
        <v>0.1681088</v>
      </c>
      <c r="X2717">
        <v>0.98346520000000004</v>
      </c>
      <c r="Y2717">
        <v>-0.1082095</v>
      </c>
      <c r="Z2717">
        <v>5.5999029999999998E-3</v>
      </c>
      <c r="AA2717">
        <v>0.99411229999999995</v>
      </c>
      <c r="AB2717">
        <v>30</v>
      </c>
      <c r="AC2717">
        <v>12.816800000000001</v>
      </c>
      <c r="AD2717">
        <v>-1.105950525378</v>
      </c>
      <c r="AE2717">
        <v>1.2631600000000101</v>
      </c>
      <c r="AF2717">
        <v>-1.4053989187278999</v>
      </c>
      <c r="AG2717">
        <v>-1.105950525378</v>
      </c>
      <c r="AH2717">
        <v>12.707137020343101</v>
      </c>
      <c r="AI2717">
        <v>94.944139555134001</v>
      </c>
      <c r="AJ2717">
        <v>96.311216258685704</v>
      </c>
      <c r="AK2717">
        <v>12.8323654849415</v>
      </c>
    </row>
    <row r="2718" spans="1:37" x14ac:dyDescent="0.2">
      <c r="A2718" t="str">
        <f>"20200111150645717"</f>
        <v>20200111150645717</v>
      </c>
      <c r="B2718" t="str">
        <f>"1578726405709472"</f>
        <v>1578726405709472</v>
      </c>
      <c r="C2718" t="s">
        <v>37</v>
      </c>
      <c r="D2718">
        <v>5.146439</v>
      </c>
      <c r="E2718">
        <v>0.48287370000000002</v>
      </c>
      <c r="F2718" t="s">
        <v>85</v>
      </c>
      <c r="G2718">
        <v>-204.494</v>
      </c>
      <c r="H2718" s="1">
        <v>-3.5785440000000001E-6</v>
      </c>
      <c r="I2718">
        <v>-62.114409999999999</v>
      </c>
      <c r="J2718">
        <v>-217.3261</v>
      </c>
      <c r="K2718">
        <v>1.1059680000000001</v>
      </c>
      <c r="L2718">
        <v>-63.406649999999999</v>
      </c>
      <c r="M2718">
        <v>0.99987079999999995</v>
      </c>
      <c r="N2718">
        <v>0</v>
      </c>
      <c r="O2718">
        <v>-1.0317399999999999E-2</v>
      </c>
      <c r="P2718">
        <v>0.98614740000000001</v>
      </c>
      <c r="Q2718">
        <v>0.15579889999999999</v>
      </c>
      <c r="R2718">
        <v>5.6922229999999997E-2</v>
      </c>
      <c r="S2718">
        <v>3.0665589999999998</v>
      </c>
      <c r="T2718">
        <v>-0.26125300000000001</v>
      </c>
      <c r="U2718">
        <v>0.30520629999999999</v>
      </c>
      <c r="V2718">
        <v>-6.8094199999999994E-2</v>
      </c>
      <c r="W2718">
        <v>0.1675362</v>
      </c>
      <c r="X2718">
        <v>0.98351139999999904</v>
      </c>
      <c r="Y2718">
        <v>-0.1088725</v>
      </c>
      <c r="Z2718">
        <v>5.4933319999999897E-3</v>
      </c>
      <c r="AA2718">
        <v>0.99404049999999999</v>
      </c>
      <c r="AB2718">
        <v>30</v>
      </c>
      <c r="AC2718">
        <v>12.832099999999899</v>
      </c>
      <c r="AD2718">
        <v>-1.1059715785440001</v>
      </c>
      <c r="AE2718">
        <v>1.2922399999999901</v>
      </c>
      <c r="AF2718">
        <v>-1.4141756462547399</v>
      </c>
      <c r="AG2718">
        <v>-1.1059715785440001</v>
      </c>
      <c r="AH2718">
        <v>12.7245101378925</v>
      </c>
      <c r="AI2718">
        <v>94.9372262172364</v>
      </c>
      <c r="AJ2718">
        <v>96.341709296833201</v>
      </c>
      <c r="AK2718">
        <v>12.850534002147</v>
      </c>
    </row>
    <row r="2719" spans="1:37" x14ac:dyDescent="0.2">
      <c r="A2719" t="str">
        <f>"20200111150645728"</f>
        <v>20200111150645728</v>
      </c>
      <c r="B2719" t="str">
        <f>"1578726405719232"</f>
        <v>1578726405719232</v>
      </c>
      <c r="C2719" t="s">
        <v>37</v>
      </c>
      <c r="D2719">
        <v>6.0307190000000004</v>
      </c>
      <c r="E2719">
        <v>0.42887049999999999</v>
      </c>
      <c r="F2719" t="s">
        <v>85</v>
      </c>
      <c r="G2719">
        <v>-204.4348</v>
      </c>
      <c r="H2719" s="1">
        <v>-3.5961059999999999E-6</v>
      </c>
      <c r="I2719">
        <v>-62.092959999999998</v>
      </c>
      <c r="J2719">
        <v>-217.17179999999999</v>
      </c>
      <c r="K2719">
        <v>1.10599</v>
      </c>
      <c r="L2719">
        <v>-63.406649999999999</v>
      </c>
      <c r="M2719">
        <v>0.99988659999999996</v>
      </c>
      <c r="N2719">
        <v>0</v>
      </c>
      <c r="O2719">
        <v>-8.6612330000000008E-3</v>
      </c>
      <c r="P2719">
        <v>0.9860662</v>
      </c>
      <c r="Q2719">
        <v>0.15550420000000001</v>
      </c>
      <c r="R2719">
        <v>5.909652E-2</v>
      </c>
      <c r="S2719">
        <v>3.065674</v>
      </c>
      <c r="T2719">
        <v>-0.2630111</v>
      </c>
      <c r="U2719">
        <v>0.31240839999999998</v>
      </c>
      <c r="V2719">
        <v>-6.8642209999999995E-2</v>
      </c>
      <c r="W2719">
        <v>0.16723629999999901</v>
      </c>
      <c r="X2719">
        <v>0.98352439999999997</v>
      </c>
      <c r="Y2719">
        <v>-0.109563799999999</v>
      </c>
      <c r="Z2719">
        <v>5.4191259999999998E-3</v>
      </c>
      <c r="AA2719">
        <v>0.99396499999999999</v>
      </c>
      <c r="AB2719">
        <v>30</v>
      </c>
      <c r="AC2719">
        <v>12.736999999999901</v>
      </c>
      <c r="AD2719">
        <v>-1.1059935961059999</v>
      </c>
      <c r="AE2719">
        <v>1.31369</v>
      </c>
      <c r="AF2719">
        <v>-1.41342219687149</v>
      </c>
      <c r="AG2719">
        <v>-1.1059935961059999</v>
      </c>
      <c r="AH2719">
        <v>12.630908622275999</v>
      </c>
      <c r="AI2719">
        <v>94.9733128519199</v>
      </c>
      <c r="AJ2719">
        <v>96.384942035658</v>
      </c>
      <c r="AK2719">
        <v>12.757775541430499</v>
      </c>
    </row>
    <row r="2720" spans="1:37" x14ac:dyDescent="0.2">
      <c r="A2720" t="str">
        <f>"20200111150645740"</f>
        <v>20200111150645740</v>
      </c>
      <c r="B2720" t="str">
        <f>"1578726405728992"</f>
        <v>1578726405728992</v>
      </c>
      <c r="C2720" t="s">
        <v>37</v>
      </c>
      <c r="D2720">
        <v>5.1507480000000001</v>
      </c>
      <c r="E2720">
        <v>0.42887049999999999</v>
      </c>
      <c r="F2720" t="s">
        <v>76</v>
      </c>
      <c r="G2720">
        <v>-167.99870000000001</v>
      </c>
      <c r="H2720">
        <v>9.6839689999999994</v>
      </c>
      <c r="I2720">
        <v>-50.880339999999997</v>
      </c>
      <c r="J2720">
        <v>-217.03129999999999</v>
      </c>
      <c r="K2720">
        <v>1.1060049999999999</v>
      </c>
      <c r="L2720">
        <v>-63.40634</v>
      </c>
      <c r="M2720">
        <v>0.99989839999999997</v>
      </c>
      <c r="N2720">
        <v>0</v>
      </c>
      <c r="O2720">
        <v>-7.1378759999999996E-3</v>
      </c>
      <c r="P2720">
        <v>0.98603639999999904</v>
      </c>
      <c r="Q2720">
        <v>0.15496099999999999</v>
      </c>
      <c r="R2720">
        <v>6.0988590000000002E-2</v>
      </c>
      <c r="S2720">
        <v>2.91760299999999</v>
      </c>
      <c r="T2720">
        <v>0.50895729999999995</v>
      </c>
      <c r="U2720">
        <v>0.74322509999999997</v>
      </c>
      <c r="V2720">
        <v>-6.9037470000000004E-2</v>
      </c>
      <c r="W2720">
        <v>0.16668949999999999</v>
      </c>
      <c r="X2720">
        <v>0.98358959999999995</v>
      </c>
      <c r="Y2720">
        <v>-0.25011460000000002</v>
      </c>
      <c r="Z2720">
        <v>-2.253614E-2</v>
      </c>
      <c r="AA2720">
        <v>0.96795390000000003</v>
      </c>
      <c r="AB2720">
        <v>30</v>
      </c>
      <c r="AC2720">
        <v>49.032599999999903</v>
      </c>
      <c r="AD2720">
        <v>8.5779639999999997</v>
      </c>
      <c r="AE2720">
        <v>12.5259999999999</v>
      </c>
      <c r="AF2720">
        <v>-12.5161027988927</v>
      </c>
      <c r="AG2720">
        <v>8.5779639999999997</v>
      </c>
      <c r="AH2720">
        <v>47.5750811817366</v>
      </c>
      <c r="AI2720">
        <v>80.108758002502597</v>
      </c>
      <c r="AJ2720">
        <v>104.739445589467</v>
      </c>
      <c r="AK2720">
        <v>49.936185728453303</v>
      </c>
    </row>
    <row r="2721" spans="1:37" x14ac:dyDescent="0.2">
      <c r="A2721" t="str">
        <f>"20200111150645751"</f>
        <v>20200111150645751</v>
      </c>
      <c r="B2721" t="str">
        <f>"1578726405749805"</f>
        <v>1578726405749805</v>
      </c>
      <c r="C2721" t="s">
        <v>37</v>
      </c>
      <c r="D2721">
        <v>5.1352469999999997</v>
      </c>
      <c r="E2721">
        <v>0.44890959999999902</v>
      </c>
      <c r="F2721" t="s">
        <v>76</v>
      </c>
      <c r="G2721">
        <v>-167.99870000000001</v>
      </c>
      <c r="H2721">
        <v>9.6371970000000005</v>
      </c>
      <c r="I2721">
        <v>-50.816969999999998</v>
      </c>
      <c r="J2721">
        <v>-216.87479999999999</v>
      </c>
      <c r="K2721">
        <v>1.106025</v>
      </c>
      <c r="L2721">
        <v>-63.405850000000001</v>
      </c>
      <c r="M2721">
        <v>0.99990919999999905</v>
      </c>
      <c r="N2721">
        <v>0</v>
      </c>
      <c r="O2721">
        <v>-5.4355749999999998E-3</v>
      </c>
      <c r="P2721">
        <v>0.986012</v>
      </c>
      <c r="Q2721">
        <v>0.1543195</v>
      </c>
      <c r="R2721">
        <v>6.297693E-2</v>
      </c>
      <c r="S2721">
        <v>2.9164430000000001</v>
      </c>
      <c r="T2721">
        <v>0.50743000000000005</v>
      </c>
      <c r="U2721">
        <v>0.74880979999999997</v>
      </c>
      <c r="V2721">
        <v>-6.935231E-2</v>
      </c>
      <c r="W2721">
        <v>0.16604539999999901</v>
      </c>
      <c r="X2721">
        <v>0.98367640000000001</v>
      </c>
      <c r="Y2721">
        <v>-0.25034190000000001</v>
      </c>
      <c r="Z2721">
        <v>-2.2202679999999999E-2</v>
      </c>
      <c r="AA2721">
        <v>0.96790290000000001</v>
      </c>
      <c r="AB2721">
        <v>30</v>
      </c>
      <c r="AC2721">
        <v>48.876099999999902</v>
      </c>
      <c r="AD2721">
        <v>8.5311719999999998</v>
      </c>
      <c r="AE2721">
        <v>12.58888</v>
      </c>
      <c r="AF2721">
        <v>-12.497320642598201</v>
      </c>
      <c r="AG2721">
        <v>8.5311719999999998</v>
      </c>
      <c r="AH2721">
        <v>47.451207608146703</v>
      </c>
      <c r="AI2721">
        <v>80.137169605564296</v>
      </c>
      <c r="AJ2721">
        <v>104.755036390109</v>
      </c>
      <c r="AK2721">
        <v>49.8054316556833</v>
      </c>
    </row>
    <row r="2722" spans="1:37" x14ac:dyDescent="0.2">
      <c r="A2722" t="str">
        <f>"20200111150645764"</f>
        <v>20200111150645764</v>
      </c>
      <c r="B2722" t="str">
        <f>"1578726405759566"</f>
        <v>1578726405759566</v>
      </c>
      <c r="C2722" t="s">
        <v>37</v>
      </c>
      <c r="D2722">
        <v>5.4797320000000003</v>
      </c>
      <c r="E2722">
        <v>0.4508839</v>
      </c>
      <c r="F2722" t="s">
        <v>85</v>
      </c>
      <c r="G2722">
        <v>-203.58940000000001</v>
      </c>
      <c r="H2722" s="1">
        <v>-3.896688E-6</v>
      </c>
      <c r="I2722">
        <v>-60.778559999999999</v>
      </c>
      <c r="J2722">
        <v>-216.71599999999901</v>
      </c>
      <c r="K2722">
        <v>1.1060459999999901</v>
      </c>
      <c r="L2722">
        <v>-63.404910000000001</v>
      </c>
      <c r="M2722">
        <v>0.99991719999999895</v>
      </c>
      <c r="N2722">
        <v>0</v>
      </c>
      <c r="O2722">
        <v>-3.680792E-3</v>
      </c>
      <c r="P2722">
        <v>0.98594280000000001</v>
      </c>
      <c r="Q2722">
        <v>0.15405550000000001</v>
      </c>
      <c r="R2722">
        <v>6.4681680000000005E-2</v>
      </c>
      <c r="S2722">
        <v>3.0437620000000001</v>
      </c>
      <c r="T2722">
        <v>-0.25339810000000001</v>
      </c>
      <c r="U2722">
        <v>0.60192869999999998</v>
      </c>
      <c r="V2722">
        <v>-6.9335759999999996E-2</v>
      </c>
      <c r="W2722">
        <v>0.1657787</v>
      </c>
      <c r="X2722">
        <v>0.98372250000000006</v>
      </c>
      <c r="Y2722">
        <v>-0.1969427</v>
      </c>
      <c r="Z2722">
        <v>8.4086850000000008E-3</v>
      </c>
      <c r="AA2722">
        <v>0.98037890000000005</v>
      </c>
      <c r="AB2722">
        <v>30</v>
      </c>
      <c r="AC2722">
        <v>13.1265999999999</v>
      </c>
      <c r="AD2722">
        <v>-1.1060498966879999</v>
      </c>
      <c r="AE2722">
        <v>2.62635</v>
      </c>
      <c r="AF2722">
        <v>-2.65651743118348</v>
      </c>
      <c r="AG2722">
        <v>-1.1060498966879999</v>
      </c>
      <c r="AH2722">
        <v>13.0279081862603</v>
      </c>
      <c r="AI2722">
        <v>94.755297929715795</v>
      </c>
      <c r="AJ2722">
        <v>101.525165657275</v>
      </c>
      <c r="AK2722">
        <v>13.341919762379501</v>
      </c>
    </row>
    <row r="2723" spans="1:37" x14ac:dyDescent="0.2">
      <c r="A2723" t="str">
        <f>"20200111150645776"</f>
        <v>20200111150645776</v>
      </c>
      <c r="B2723" t="str">
        <f>"1578726405769325"</f>
        <v>1578726405769325</v>
      </c>
      <c r="C2723" t="s">
        <v>37</v>
      </c>
      <c r="D2723">
        <v>5.1450509999999996</v>
      </c>
      <c r="E2723">
        <v>0.45052900000000001</v>
      </c>
      <c r="F2723" t="s">
        <v>85</v>
      </c>
      <c r="G2723">
        <v>-201.07560000000001</v>
      </c>
      <c r="H2723" s="1">
        <v>-5.160249E-6</v>
      </c>
      <c r="I2723">
        <v>-60.358509999999903</v>
      </c>
      <c r="J2723">
        <v>-216.5521</v>
      </c>
      <c r="K2723">
        <v>1.1060729999999901</v>
      </c>
      <c r="L2723">
        <v>-63.403779999999998</v>
      </c>
      <c r="M2723">
        <v>0.99992219999999998</v>
      </c>
      <c r="N2723">
        <v>0</v>
      </c>
      <c r="O2723">
        <v>-1.85637E-3</v>
      </c>
      <c r="P2723">
        <v>0.98581929999999995</v>
      </c>
      <c r="Q2723">
        <v>0.1540463</v>
      </c>
      <c r="R2723">
        <v>6.6558519999999996E-2</v>
      </c>
      <c r="S2723">
        <v>3.0375369999999999</v>
      </c>
      <c r="T2723">
        <v>-0.2148071</v>
      </c>
      <c r="U2723">
        <v>0.59164430000000001</v>
      </c>
      <c r="V2723">
        <v>-6.9425520000000004E-2</v>
      </c>
      <c r="W2723">
        <v>0.16576559999999901</v>
      </c>
      <c r="X2723">
        <v>0.98371839999999999</v>
      </c>
      <c r="Y2723">
        <v>-0.19253889999999901</v>
      </c>
      <c r="Z2723">
        <v>6.8662999999999997E-3</v>
      </c>
      <c r="AA2723">
        <v>0.98126530000000001</v>
      </c>
      <c r="AB2723">
        <v>30</v>
      </c>
      <c r="AC2723">
        <v>15.4764999999999</v>
      </c>
      <c r="AD2723">
        <v>-1.106078160249</v>
      </c>
      <c r="AE2723">
        <v>3.0452699999999999</v>
      </c>
      <c r="AF2723">
        <v>-3.05895517788435</v>
      </c>
      <c r="AG2723">
        <v>-1.106078160249</v>
      </c>
      <c r="AH2723">
        <v>15.395116989934699</v>
      </c>
      <c r="AI2723">
        <v>94.030881186396499</v>
      </c>
      <c r="AJ2723">
        <v>101.238099506032</v>
      </c>
      <c r="AK2723">
        <v>15.735000565956801</v>
      </c>
    </row>
    <row r="2724" spans="1:37" x14ac:dyDescent="0.2">
      <c r="A2724" t="str">
        <f>"20200111150645786"</f>
        <v>20200111150645786</v>
      </c>
      <c r="B2724" t="str">
        <f>"1578726405779085"</f>
        <v>1578726405779085</v>
      </c>
      <c r="C2724" t="s">
        <v>37</v>
      </c>
      <c r="D2724">
        <v>5.1683479999999999</v>
      </c>
      <c r="E2724">
        <v>0.45041039999999999</v>
      </c>
      <c r="F2724" t="s">
        <v>85</v>
      </c>
      <c r="G2724">
        <v>-201.07429999999999</v>
      </c>
      <c r="H2724" s="1">
        <v>-5.1647860000000001E-6</v>
      </c>
      <c r="I2724">
        <v>-60.341030000000003</v>
      </c>
      <c r="J2724">
        <v>-216.39840000000001</v>
      </c>
      <c r="K2724">
        <v>1.1061049999999999</v>
      </c>
      <c r="L2724">
        <v>-63.40231</v>
      </c>
      <c r="M2724">
        <v>0.99992389999999998</v>
      </c>
      <c r="N2724">
        <v>0</v>
      </c>
      <c r="O2724">
        <v>-1.199017E-4</v>
      </c>
      <c r="P2724">
        <v>0.98564979999999902</v>
      </c>
      <c r="Q2724">
        <v>0.15446760000000001</v>
      </c>
      <c r="R2724">
        <v>6.8076949999999997E-2</v>
      </c>
      <c r="S2724">
        <v>3.0364990000000001</v>
      </c>
      <c r="T2724">
        <v>-0.21699459999999901</v>
      </c>
      <c r="U2724">
        <v>0.60086059999999997</v>
      </c>
      <c r="V2724">
        <v>-6.9247950000000003E-2</v>
      </c>
      <c r="W2724">
        <v>0.16618450000000001</v>
      </c>
      <c r="X2724">
        <v>0.98366019999999899</v>
      </c>
      <c r="Y2724">
        <v>-0.19375729999999999</v>
      </c>
      <c r="Z2724">
        <v>6.8566669999999899E-3</v>
      </c>
      <c r="AA2724">
        <v>0.981025499999999</v>
      </c>
      <c r="AB2724">
        <v>30</v>
      </c>
      <c r="AC2724">
        <v>15.3241</v>
      </c>
      <c r="AD2724">
        <v>-1.1061101647859899</v>
      </c>
      <c r="AE2724">
        <v>3.0612799999999898</v>
      </c>
      <c r="AF2724">
        <v>-3.04784728530226</v>
      </c>
      <c r="AG2724">
        <v>-1.1061101647859899</v>
      </c>
      <c r="AH2724">
        <v>15.247341112642699</v>
      </c>
      <c r="AI2724">
        <v>94.069004088298001</v>
      </c>
      <c r="AJ2724">
        <v>101.304075541095</v>
      </c>
      <c r="AK2724">
        <v>15.588273277578001</v>
      </c>
    </row>
    <row r="2725" spans="1:37" x14ac:dyDescent="0.2">
      <c r="A2725" t="str">
        <f>"20200111150645799"</f>
        <v>20200111150645799</v>
      </c>
      <c r="B2725" t="str">
        <f>"1578726405789821"</f>
        <v>1578726405789821</v>
      </c>
      <c r="C2725" t="s">
        <v>37</v>
      </c>
      <c r="D2725">
        <v>5.1554279999999997</v>
      </c>
      <c r="E2725">
        <v>0.45027859999999997</v>
      </c>
      <c r="F2725" t="s">
        <v>85</v>
      </c>
      <c r="G2725">
        <v>-200.86279999999999</v>
      </c>
      <c r="H2725" s="1">
        <v>-5.2830759999999996E-6</v>
      </c>
      <c r="I2725">
        <v>-60.293480000000002</v>
      </c>
      <c r="J2725">
        <v>-216.24799999999999</v>
      </c>
      <c r="K2725">
        <v>1.106144</v>
      </c>
      <c r="L2725">
        <v>-63.40063</v>
      </c>
      <c r="M2725">
        <v>0.99992259999999999</v>
      </c>
      <c r="N2725">
        <v>0</v>
      </c>
      <c r="O2725">
        <v>1.6037689999999999E-3</v>
      </c>
      <c r="P2725">
        <v>0.9854733</v>
      </c>
      <c r="Q2725">
        <v>0.1548997</v>
      </c>
      <c r="R2725">
        <v>6.9631879999999993E-2</v>
      </c>
      <c r="S2725">
        <v>3.0355989999999999</v>
      </c>
      <c r="T2725">
        <v>-0.2161294</v>
      </c>
      <c r="U2725">
        <v>0.6074524</v>
      </c>
      <c r="V2725">
        <v>-6.9120929999999997E-2</v>
      </c>
      <c r="W2725">
        <v>0.16661239999999999</v>
      </c>
      <c r="X2725">
        <v>0.98359669999999899</v>
      </c>
      <c r="Y2725">
        <v>-0.19417779999999901</v>
      </c>
      <c r="Z2725">
        <v>6.7233789999999998E-3</v>
      </c>
      <c r="AA2725">
        <v>0.98094329999999996</v>
      </c>
      <c r="AB2725">
        <v>30</v>
      </c>
      <c r="AC2725">
        <v>15.3851999999999</v>
      </c>
      <c r="AD2725">
        <v>-1.106149283076</v>
      </c>
      <c r="AE2725">
        <v>3.1071499999999999</v>
      </c>
      <c r="AF2725">
        <v>-3.0672360735888198</v>
      </c>
      <c r="AG2725">
        <v>-1.106149283076</v>
      </c>
      <c r="AH2725">
        <v>15.3141046581373</v>
      </c>
      <c r="AI2725">
        <v>94.051160260645005</v>
      </c>
      <c r="AJ2725">
        <v>101.325814952123</v>
      </c>
      <c r="AK2725">
        <v>15.6573722203937</v>
      </c>
    </row>
    <row r="2726" spans="1:37" x14ac:dyDescent="0.2">
      <c r="A2726" t="str">
        <f>"20200111150645810"</f>
        <v>20200111150645810</v>
      </c>
      <c r="B2726" t="str">
        <f>"1578726405799582"</f>
        <v>1578726405799582</v>
      </c>
      <c r="C2726" t="s">
        <v>37</v>
      </c>
      <c r="D2726">
        <v>5.1603699999999897</v>
      </c>
      <c r="E2726">
        <v>0.45038240000000002</v>
      </c>
      <c r="F2726" t="s">
        <v>85</v>
      </c>
      <c r="G2726">
        <v>-200.60169999999999</v>
      </c>
      <c r="H2726" s="1">
        <v>-5.4293089999999901E-6</v>
      </c>
      <c r="I2726">
        <v>-60.233939999999997</v>
      </c>
      <c r="J2726">
        <v>-216.0951</v>
      </c>
      <c r="K2726">
        <v>1.106179</v>
      </c>
      <c r="L2726">
        <v>-63.398709999999902</v>
      </c>
      <c r="M2726">
        <v>0.99991819999999898</v>
      </c>
      <c r="N2726">
        <v>0</v>
      </c>
      <c r="O2726">
        <v>3.3729350000000001E-3</v>
      </c>
      <c r="P2726">
        <v>0.98526729999999996</v>
      </c>
      <c r="Q2726">
        <v>0.15539159999999999</v>
      </c>
      <c r="R2726">
        <v>7.1429480000000004E-2</v>
      </c>
      <c r="S2726">
        <v>3.03454599999999</v>
      </c>
      <c r="T2726">
        <v>-0.21453330000000001</v>
      </c>
      <c r="U2726">
        <v>0.61416630000000005</v>
      </c>
      <c r="V2726">
        <v>-6.9194439999999996E-2</v>
      </c>
      <c r="W2726">
        <v>0.16709860000000001</v>
      </c>
      <c r="X2726">
        <v>0.98350910000000002</v>
      </c>
      <c r="Y2726">
        <v>-0.19460369999999999</v>
      </c>
      <c r="Z2726">
        <v>6.56589999999999E-3</v>
      </c>
      <c r="AA2726">
        <v>0.98085999999999995</v>
      </c>
      <c r="AB2726">
        <v>30</v>
      </c>
      <c r="AC2726">
        <v>15.493399999999999</v>
      </c>
      <c r="AD2726">
        <v>-1.106184429309</v>
      </c>
      <c r="AE2726">
        <v>3.1647699999999901</v>
      </c>
      <c r="AF2726">
        <v>-3.0973333636556402</v>
      </c>
      <c r="AG2726">
        <v>-1.106184429309</v>
      </c>
      <c r="AH2726">
        <v>15.4284898007698</v>
      </c>
      <c r="AI2726">
        <v>94.020991726500696</v>
      </c>
      <c r="AJ2726">
        <v>101.35147417422699</v>
      </c>
      <c r="AK2726">
        <v>15.7751518372952</v>
      </c>
    </row>
    <row r="2727" spans="1:37" x14ac:dyDescent="0.2">
      <c r="A2727" t="str">
        <f>"20200111150645826"</f>
        <v>20200111150645826</v>
      </c>
      <c r="B2727" t="str">
        <f>"1578726405819106"</f>
        <v>1578726405819106</v>
      </c>
      <c r="C2727" t="s">
        <v>37</v>
      </c>
      <c r="D2727">
        <v>5.1399119999999998</v>
      </c>
      <c r="E2727">
        <v>0.45038990000000001</v>
      </c>
      <c r="F2727" t="s">
        <v>85</v>
      </c>
      <c r="G2727">
        <v>-200.35810000000001</v>
      </c>
      <c r="H2727" s="1">
        <v>-5.5638449999999998E-6</v>
      </c>
      <c r="I2727">
        <v>-60.18703</v>
      </c>
      <c r="J2727">
        <v>-215.88640000000001</v>
      </c>
      <c r="K2727">
        <v>1.106239</v>
      </c>
      <c r="L2727">
        <v>-63.395449999999997</v>
      </c>
      <c r="M2727">
        <v>0.99990669999999904</v>
      </c>
      <c r="N2727">
        <v>0</v>
      </c>
      <c r="O2727">
        <v>5.8531950000000003E-3</v>
      </c>
      <c r="P2727">
        <v>0.98516979999999998</v>
      </c>
      <c r="Q2727">
        <v>0.1544884</v>
      </c>
      <c r="R2727">
        <v>7.4659349999999999E-2</v>
      </c>
      <c r="S2727">
        <v>3.0335999999999999</v>
      </c>
      <c r="T2727">
        <v>-0.21323719999999999</v>
      </c>
      <c r="U2727">
        <v>0.6191101</v>
      </c>
      <c r="V2727">
        <v>-6.9998859999999996E-2</v>
      </c>
      <c r="W2727">
        <v>0.16618450000000001</v>
      </c>
      <c r="X2727">
        <v>0.98360709999999996</v>
      </c>
      <c r="Y2727">
        <v>-0.1937787</v>
      </c>
      <c r="Z2727">
        <v>6.3262769999999999E-3</v>
      </c>
      <c r="AA2727">
        <v>0.98102489999999998</v>
      </c>
      <c r="AB2727">
        <v>30</v>
      </c>
      <c r="AC2727">
        <v>15.5283</v>
      </c>
      <c r="AD2727">
        <v>-1.106244563845</v>
      </c>
      <c r="AE2727">
        <v>3.2084199999999798</v>
      </c>
      <c r="AF2727">
        <v>-3.1023674111215902</v>
      </c>
      <c r="AG2727">
        <v>-1.106244563845</v>
      </c>
      <c r="AH2727">
        <v>15.4715085497446</v>
      </c>
      <c r="AI2727">
        <v>94.010244587778701</v>
      </c>
      <c r="AJ2727">
        <v>101.338650539724</v>
      </c>
      <c r="AK2727">
        <v>15.8182185278067</v>
      </c>
    </row>
    <row r="2728" spans="1:37" x14ac:dyDescent="0.2">
      <c r="A2728" t="str">
        <f>"20200111150645837"</f>
        <v>20200111150645837</v>
      </c>
      <c r="B2728" t="str">
        <f>"1578726405829837"</f>
        <v>1578726405829837</v>
      </c>
      <c r="C2728" t="s">
        <v>37</v>
      </c>
      <c r="D2728">
        <v>5.2746009999999997</v>
      </c>
      <c r="E2728">
        <v>0.45074709999999901</v>
      </c>
      <c r="F2728" t="s">
        <v>85</v>
      </c>
      <c r="G2728">
        <v>-200.33</v>
      </c>
      <c r="H2728" s="1">
        <v>-5.581391E-6</v>
      </c>
      <c r="I2728">
        <v>-60.172409999999999</v>
      </c>
      <c r="J2728">
        <v>-215.7346</v>
      </c>
      <c r="K2728">
        <v>1.106287</v>
      </c>
      <c r="L2728">
        <v>-63.39273</v>
      </c>
      <c r="M2728">
        <v>0.99989419999999996</v>
      </c>
      <c r="N2728">
        <v>0</v>
      </c>
      <c r="O2728">
        <v>7.6930499999999999E-3</v>
      </c>
      <c r="P2728">
        <v>0.98506469999999902</v>
      </c>
      <c r="Q2728">
        <v>0.15397569999999999</v>
      </c>
      <c r="R2728">
        <v>7.7066019999999999E-2</v>
      </c>
      <c r="S2728">
        <v>3.0313720000000002</v>
      </c>
      <c r="T2728">
        <v>-0.215566799999999</v>
      </c>
      <c r="U2728">
        <v>0.62805180000000005</v>
      </c>
      <c r="V2728">
        <v>-7.0608770000000001E-2</v>
      </c>
      <c r="W2728">
        <v>0.16566259999999999</v>
      </c>
      <c r="X2728">
        <v>0.98365149999999901</v>
      </c>
      <c r="Y2728">
        <v>-0.19488279999999999</v>
      </c>
      <c r="Z2728">
        <v>6.3074759999999898E-3</v>
      </c>
      <c r="AA2728">
        <v>0.98080619999999996</v>
      </c>
      <c r="AB2728">
        <v>30</v>
      </c>
      <c r="AC2728">
        <v>15.404599999999901</v>
      </c>
      <c r="AD2728">
        <v>-1.1062925813910001</v>
      </c>
      <c r="AE2728">
        <v>3.2203200000000001</v>
      </c>
      <c r="AF2728">
        <v>-3.0864554399817301</v>
      </c>
      <c r="AG2728">
        <v>-1.1062925813910001</v>
      </c>
      <c r="AH2728">
        <v>15.353052241939499</v>
      </c>
      <c r="AI2728">
        <v>94.040861300226297</v>
      </c>
      <c r="AJ2728">
        <v>101.366778518473</v>
      </c>
      <c r="AK2728">
        <v>15.6992453195164</v>
      </c>
    </row>
    <row r="2729" spans="1:37" x14ac:dyDescent="0.2">
      <c r="A2729" t="str">
        <f>"20200111150645851"</f>
        <v>20200111150645851</v>
      </c>
      <c r="B2729" t="str">
        <f>"1578726405839597"</f>
        <v>1578726405839597</v>
      </c>
      <c r="C2729" t="s">
        <v>37</v>
      </c>
      <c r="D2729">
        <v>5.1464319999999999</v>
      </c>
      <c r="E2729">
        <v>0.450708</v>
      </c>
      <c r="F2729" t="s">
        <v>85</v>
      </c>
      <c r="G2729">
        <v>-200.25530000000001</v>
      </c>
      <c r="H2729" s="1">
        <v>-5.6214969999999996E-6</v>
      </c>
      <c r="I2729">
        <v>-60.163309999999903</v>
      </c>
      <c r="J2729">
        <v>-215.56309999999999</v>
      </c>
      <c r="K2729">
        <v>1.106347</v>
      </c>
      <c r="L2729">
        <v>-63.3893699999999</v>
      </c>
      <c r="M2729">
        <v>0.99987549999999903</v>
      </c>
      <c r="N2729">
        <v>0</v>
      </c>
      <c r="O2729">
        <v>9.8107779999999992E-3</v>
      </c>
      <c r="P2729">
        <v>0.98494009999999999</v>
      </c>
      <c r="Q2729">
        <v>0.1536188</v>
      </c>
      <c r="R2729">
        <v>7.9335810000000007E-2</v>
      </c>
      <c r="S2729">
        <v>3.0298609999999999</v>
      </c>
      <c r="T2729">
        <v>-0.2165405</v>
      </c>
      <c r="U2729">
        <v>0.63211059999999997</v>
      </c>
      <c r="V2729">
        <v>-7.0812490000000006E-2</v>
      </c>
      <c r="W2729">
        <v>0.1652981</v>
      </c>
      <c r="X2729">
        <v>0.98369819999999997</v>
      </c>
      <c r="Y2729">
        <v>-0.1941647</v>
      </c>
      <c r="Z2729">
        <v>6.1632789999999998E-3</v>
      </c>
      <c r="AA2729">
        <v>0.98094959999999898</v>
      </c>
      <c r="AB2729">
        <v>30</v>
      </c>
      <c r="AC2729">
        <v>15.307799999999901</v>
      </c>
      <c r="AD2729">
        <v>-1.1063526214970001</v>
      </c>
      <c r="AE2729">
        <v>3.2260599999999902</v>
      </c>
      <c r="AF2729">
        <v>-3.06040560014576</v>
      </c>
      <c r="AG2729">
        <v>-1.1063526214970001</v>
      </c>
      <c r="AH2729">
        <v>15.2623829345941</v>
      </c>
      <c r="AI2729">
        <v>94.065407261057402</v>
      </c>
      <c r="AJ2729">
        <v>101.338550697241</v>
      </c>
      <c r="AK2729">
        <v>15.605461588901701</v>
      </c>
    </row>
    <row r="2730" spans="1:37" x14ac:dyDescent="0.2">
      <c r="A2730" t="str">
        <f>"20200111150645865"</f>
        <v>20200111150645865</v>
      </c>
      <c r="B2730" t="str">
        <f>"1578726405859118"</f>
        <v>1578726405859118</v>
      </c>
      <c r="C2730" t="s">
        <v>37</v>
      </c>
      <c r="D2730">
        <v>5.0978779999999997</v>
      </c>
      <c r="E2730">
        <v>0.45055810000000002</v>
      </c>
      <c r="F2730" t="s">
        <v>85</v>
      </c>
      <c r="G2730">
        <v>-200.24279999999999</v>
      </c>
      <c r="H2730" s="1">
        <v>-5.6298540000000001E-6</v>
      </c>
      <c r="I2730">
        <v>-60.154339999999998</v>
      </c>
      <c r="J2730">
        <v>-215.3681</v>
      </c>
      <c r="K2730">
        <v>1.1064240000000001</v>
      </c>
      <c r="L2730">
        <v>-63.384889999999999</v>
      </c>
      <c r="M2730">
        <v>0.99984799999999996</v>
      </c>
      <c r="N2730">
        <v>0</v>
      </c>
      <c r="O2730">
        <v>1.2297829999999999E-2</v>
      </c>
      <c r="P2730">
        <v>0.98467479999999996</v>
      </c>
      <c r="Q2730">
        <v>0.15377299999999999</v>
      </c>
      <c r="R2730">
        <v>8.2277550000000005E-2</v>
      </c>
      <c r="S2730">
        <v>3.0284879999999998</v>
      </c>
      <c r="T2730">
        <v>-0.2187016</v>
      </c>
      <c r="U2730">
        <v>0.63949579999999995</v>
      </c>
      <c r="V2730">
        <v>-7.13366E-2</v>
      </c>
      <c r="W2730">
        <v>0.16544020000000001</v>
      </c>
      <c r="X2730">
        <v>0.98363639999999997</v>
      </c>
      <c r="Y2730">
        <v>-0.19410229999999901</v>
      </c>
      <c r="Z2730">
        <v>6.0463080000000002E-3</v>
      </c>
      <c r="AA2730">
        <v>0.98096269999999997</v>
      </c>
      <c r="AB2730">
        <v>30</v>
      </c>
      <c r="AC2730">
        <v>15.125299999999999</v>
      </c>
      <c r="AD2730">
        <v>-1.106429629854</v>
      </c>
      <c r="AE2730">
        <v>3.23055</v>
      </c>
      <c r="AF2730">
        <v>-3.0287829956226999</v>
      </c>
      <c r="AG2730">
        <v>-1.106429629854</v>
      </c>
      <c r="AH2730">
        <v>15.086680256453</v>
      </c>
      <c r="AI2730">
        <v>94.112688487673395</v>
      </c>
      <c r="AJ2730">
        <v>101.351727224463</v>
      </c>
      <c r="AK2730">
        <v>15.4274312223662</v>
      </c>
    </row>
    <row r="2731" spans="1:37" x14ac:dyDescent="0.2">
      <c r="A2731" t="str">
        <f>"20200111150645877"</f>
        <v>20200111150645877</v>
      </c>
      <c r="B2731" t="str">
        <f>"1578726405869853"</f>
        <v>1578726405869853</v>
      </c>
      <c r="C2731" t="s">
        <v>37</v>
      </c>
      <c r="D2731">
        <v>5.0756589999999999</v>
      </c>
      <c r="E2731">
        <v>0.4509647</v>
      </c>
      <c r="F2731" t="s">
        <v>85</v>
      </c>
      <c r="G2731">
        <v>-199.9426</v>
      </c>
      <c r="H2731" s="1">
        <v>-7.3950810000000003E-6</v>
      </c>
      <c r="I2731">
        <v>-60.070639999999997</v>
      </c>
      <c r="J2731">
        <v>-215.20310000000001</v>
      </c>
      <c r="K2731">
        <v>1.1064940000000001</v>
      </c>
      <c r="L2731">
        <v>-63.380769999999998</v>
      </c>
      <c r="M2731">
        <v>0.99981929999999997</v>
      </c>
      <c r="N2731">
        <v>0</v>
      </c>
      <c r="O2731">
        <v>1.444866E-2</v>
      </c>
      <c r="P2731">
        <v>0.98432050000000004</v>
      </c>
      <c r="Q2731">
        <v>0.1547509</v>
      </c>
      <c r="R2731">
        <v>8.4651870000000004E-2</v>
      </c>
      <c r="S2731">
        <v>3.02625999999999</v>
      </c>
      <c r="T2731">
        <v>-0.21706619999999999</v>
      </c>
      <c r="U2731">
        <v>0.65020749999999905</v>
      </c>
      <c r="V2731">
        <v>-7.1628709999999998E-2</v>
      </c>
      <c r="W2731">
        <v>0.16640650000000001</v>
      </c>
      <c r="X2731">
        <v>0.983452199999999</v>
      </c>
      <c r="Y2731">
        <v>-0.1954678</v>
      </c>
      <c r="Z2731">
        <v>5.8994649999999996E-3</v>
      </c>
      <c r="AA2731">
        <v>0.98069240000000002</v>
      </c>
      <c r="AB2731">
        <v>30</v>
      </c>
      <c r="AC2731">
        <v>15.2605</v>
      </c>
      <c r="AD2731">
        <v>-1.1065013950810001</v>
      </c>
      <c r="AE2731">
        <v>3.3101299999999898</v>
      </c>
      <c r="AF2731">
        <v>-3.0738397376862299</v>
      </c>
      <c r="AG2731">
        <v>-1.1065013950810001</v>
      </c>
      <c r="AH2731">
        <v>15.230264589253601</v>
      </c>
      <c r="AI2731">
        <v>94.073473319661801</v>
      </c>
      <c r="AJ2731">
        <v>101.410409760319</v>
      </c>
      <c r="AK2731">
        <v>15.5767068255446</v>
      </c>
    </row>
    <row r="2732" spans="1:37" x14ac:dyDescent="0.2">
      <c r="A2732" t="str">
        <f>"20200111150645893"</f>
        <v>20200111150645893</v>
      </c>
      <c r="B2732" t="str">
        <f>"1578726405889373"</f>
        <v>1578726405889373</v>
      </c>
      <c r="C2732" t="s">
        <v>37</v>
      </c>
      <c r="D2732">
        <v>5.0893329999999999</v>
      </c>
      <c r="E2732">
        <v>0.4516326</v>
      </c>
      <c r="F2732" t="s">
        <v>85</v>
      </c>
      <c r="G2732">
        <v>-199.54519999999999</v>
      </c>
      <c r="H2732" s="1">
        <v>-7.3784789999999998E-6</v>
      </c>
      <c r="I2732">
        <v>-59.990580000000001</v>
      </c>
      <c r="J2732">
        <v>-215.0086</v>
      </c>
      <c r="K2732">
        <v>1.1065769999999999</v>
      </c>
      <c r="L2732">
        <v>-63.375430000000001</v>
      </c>
      <c r="M2732">
        <v>0.99977839999999996</v>
      </c>
      <c r="N2732">
        <v>0</v>
      </c>
      <c r="O2732">
        <v>1.7042180000000001E-2</v>
      </c>
      <c r="P2732">
        <v>0.98363159999999905</v>
      </c>
      <c r="Q2732">
        <v>0.15664459999999999</v>
      </c>
      <c r="R2732">
        <v>8.9060280000000006E-2</v>
      </c>
      <c r="S2732">
        <v>3.0250400000000002</v>
      </c>
      <c r="T2732">
        <v>-0.21377070000000001</v>
      </c>
      <c r="U2732">
        <v>0.65496829999999995</v>
      </c>
      <c r="V2732">
        <v>-7.3538419999999993E-2</v>
      </c>
      <c r="W2732">
        <v>0.1682719</v>
      </c>
      <c r="X2732">
        <v>0.98299369999999997</v>
      </c>
      <c r="Y2732">
        <v>-0.1945017</v>
      </c>
      <c r="Z2732">
        <v>5.596948E-3</v>
      </c>
      <c r="AA2732">
        <v>0.98088619999999904</v>
      </c>
      <c r="AB2732">
        <v>30</v>
      </c>
      <c r="AC2732">
        <v>15.4634</v>
      </c>
      <c r="AD2732">
        <v>-1.1065843784789999</v>
      </c>
      <c r="AE2732">
        <v>3.3848500000000001</v>
      </c>
      <c r="AF2732">
        <v>-3.1056312782085298</v>
      </c>
      <c r="AG2732">
        <v>-1.1065843784789999</v>
      </c>
      <c r="AH2732">
        <v>15.4433733894969</v>
      </c>
      <c r="AI2732">
        <v>94.0183108754903</v>
      </c>
      <c r="AJ2732">
        <v>101.370410004802</v>
      </c>
      <c r="AK2732">
        <v>15.791366510543099</v>
      </c>
    </row>
    <row r="2733" spans="1:37" x14ac:dyDescent="0.2">
      <c r="A2733" t="str">
        <f>"20200111150645904"</f>
        <v>20200111150645904</v>
      </c>
      <c r="B2733" t="str">
        <f>"1578726405899133"</f>
        <v>1578726405899133</v>
      </c>
      <c r="C2733" t="s">
        <v>37</v>
      </c>
      <c r="D2733">
        <v>5.0602830000000001</v>
      </c>
      <c r="E2733">
        <v>0.45209110000000002</v>
      </c>
      <c r="F2733" t="s">
        <v>85</v>
      </c>
      <c r="G2733">
        <v>-199.03620000000001</v>
      </c>
      <c r="H2733" s="1">
        <v>-7.3635209999999998E-6</v>
      </c>
      <c r="I2733">
        <v>-59.870089999999998</v>
      </c>
      <c r="J2733">
        <v>-214.8502</v>
      </c>
      <c r="K2733">
        <v>1.106649</v>
      </c>
      <c r="L2733">
        <v>-63.370449999999998</v>
      </c>
      <c r="M2733">
        <v>0.99973849999999997</v>
      </c>
      <c r="N2733">
        <v>0</v>
      </c>
      <c r="O2733">
        <v>1.9235559999999999E-2</v>
      </c>
      <c r="P2733">
        <v>0.98320469999999904</v>
      </c>
      <c r="Q2733">
        <v>0.1571477</v>
      </c>
      <c r="R2733">
        <v>9.2807580000000001E-2</v>
      </c>
      <c r="S2733">
        <v>3.0232239999999999</v>
      </c>
      <c r="T2733">
        <v>-0.20945179999999999</v>
      </c>
      <c r="U2733">
        <v>0.66348269999999998</v>
      </c>
      <c r="V2733">
        <v>-7.51637E-2</v>
      </c>
      <c r="W2733">
        <v>0.16875270000000001</v>
      </c>
      <c r="X2733">
        <v>0.98278829999999995</v>
      </c>
      <c r="Y2733">
        <v>-0.1951291</v>
      </c>
      <c r="Z2733">
        <v>5.357339E-3</v>
      </c>
      <c r="AA2733">
        <v>0.98076299999999905</v>
      </c>
      <c r="AB2733">
        <v>30</v>
      </c>
      <c r="AC2733">
        <v>15.813999999999901</v>
      </c>
      <c r="AD2733">
        <v>-1.1066563635210001</v>
      </c>
      <c r="AE2733">
        <v>3.5003599999999899</v>
      </c>
      <c r="AF2733">
        <v>-3.18064927481243</v>
      </c>
      <c r="AG2733">
        <v>-1.1066563635210001</v>
      </c>
      <c r="AH2733">
        <v>15.8046276643769</v>
      </c>
      <c r="AI2733">
        <v>93.926894136005004</v>
      </c>
      <c r="AJ2733">
        <v>101.378669369246</v>
      </c>
      <c r="AK2733">
        <v>16.159439152578098</v>
      </c>
    </row>
    <row r="2734" spans="1:37" x14ac:dyDescent="0.2">
      <c r="A2734" t="str">
        <f>"20200111150645915"</f>
        <v>20200111150645915</v>
      </c>
      <c r="B2734" t="str">
        <f>"1578726405908894"</f>
        <v>1578726405908894</v>
      </c>
      <c r="C2734" t="s">
        <v>37</v>
      </c>
      <c r="D2734">
        <v>5.0375360000000002</v>
      </c>
      <c r="E2734">
        <v>0.45252529999999902</v>
      </c>
      <c r="F2734" t="s">
        <v>85</v>
      </c>
      <c r="G2734">
        <v>-198.82069999999999</v>
      </c>
      <c r="H2734" s="1">
        <v>-7.3606740000000002E-6</v>
      </c>
      <c r="I2734">
        <v>-59.809139999999999</v>
      </c>
      <c r="J2734">
        <v>-214.71289999999999</v>
      </c>
      <c r="K2734">
        <v>1.1067069999999899</v>
      </c>
      <c r="L2734">
        <v>-63.365969999999997</v>
      </c>
      <c r="M2734">
        <v>0.99969959999999902</v>
      </c>
      <c r="N2734">
        <v>0</v>
      </c>
      <c r="O2734">
        <v>2.1154590000000001E-2</v>
      </c>
      <c r="P2734">
        <v>0.98282060000000004</v>
      </c>
      <c r="Q2734">
        <v>0.1573177</v>
      </c>
      <c r="R2734">
        <v>9.6513249999999995E-2</v>
      </c>
      <c r="S2734">
        <v>3.0212249999999998</v>
      </c>
      <c r="T2734">
        <v>-0.20858160000000001</v>
      </c>
      <c r="U2734">
        <v>0.67123409999999994</v>
      </c>
      <c r="V2734">
        <v>-7.7011739999999995E-2</v>
      </c>
      <c r="W2734">
        <v>0.1688993</v>
      </c>
      <c r="X2734">
        <v>0.982620099999999</v>
      </c>
      <c r="Y2734">
        <v>-0.19578770000000001</v>
      </c>
      <c r="Z2734">
        <v>5.2289750000000003E-3</v>
      </c>
      <c r="AA2734">
        <v>0.98063239999999996</v>
      </c>
      <c r="AB2734">
        <v>30</v>
      </c>
      <c r="AC2734">
        <v>15.892200000000001</v>
      </c>
      <c r="AD2734">
        <v>-1.106714360674</v>
      </c>
      <c r="AE2734">
        <v>3.5568299999999899</v>
      </c>
      <c r="AF2734">
        <v>-3.2050136775909102</v>
      </c>
      <c r="AG2734">
        <v>-1.106714360674</v>
      </c>
      <c r="AH2734">
        <v>15.8905059721423</v>
      </c>
      <c r="AI2734">
        <v>93.905605674589097</v>
      </c>
      <c r="AJ2734">
        <v>101.40320710288201</v>
      </c>
      <c r="AK2734">
        <v>16.248234039438099</v>
      </c>
    </row>
    <row r="2735" spans="1:37" x14ac:dyDescent="0.2">
      <c r="A2735" t="str">
        <f>"20200111150645926"</f>
        <v>20200111150645926</v>
      </c>
      <c r="B2735" t="str">
        <f>"1578726405919629"</f>
        <v>1578726405919629</v>
      </c>
      <c r="C2735" t="s">
        <v>37</v>
      </c>
      <c r="D2735">
        <v>5.2048819999999996</v>
      </c>
      <c r="E2735">
        <v>0.45252529999999902</v>
      </c>
      <c r="F2735" t="s">
        <v>85</v>
      </c>
      <c r="G2735">
        <v>-198.72730000000001</v>
      </c>
      <c r="H2735" s="1">
        <v>-7.3634429999999998E-6</v>
      </c>
      <c r="I2735">
        <v>-59.771340000000002</v>
      </c>
      <c r="J2735">
        <v>-214.5566</v>
      </c>
      <c r="K2735">
        <v>1.1067719999999901</v>
      </c>
      <c r="L2735">
        <v>-63.360439999999997</v>
      </c>
      <c r="M2735">
        <v>0.99964959999999903</v>
      </c>
      <c r="N2735">
        <v>0</v>
      </c>
      <c r="O2735">
        <v>2.3395679999999999E-2</v>
      </c>
      <c r="P2735">
        <v>0.98243479999999905</v>
      </c>
      <c r="Q2735">
        <v>0.15734899999999999</v>
      </c>
      <c r="R2735">
        <v>0.1003154</v>
      </c>
      <c r="S2735">
        <v>3.01922599999999</v>
      </c>
      <c r="T2735">
        <v>-0.20902759999999901</v>
      </c>
      <c r="U2735">
        <v>0.67892459999999999</v>
      </c>
      <c r="V2735">
        <v>-7.8641589999999997E-2</v>
      </c>
      <c r="W2735">
        <v>0.1689088</v>
      </c>
      <c r="X2735">
        <v>0.98248930000000001</v>
      </c>
      <c r="Y2735">
        <v>-0.19610820000000001</v>
      </c>
      <c r="Z2735">
        <v>5.10016799999999E-3</v>
      </c>
      <c r="AA2735">
        <v>0.98056900000000002</v>
      </c>
      <c r="AB2735">
        <v>30</v>
      </c>
      <c r="AC2735">
        <v>15.8292999999999</v>
      </c>
      <c r="AD2735">
        <v>-1.1067793634430001</v>
      </c>
      <c r="AE2735">
        <v>3.5891000000000002</v>
      </c>
      <c r="AF2735">
        <v>-3.2028594313430299</v>
      </c>
      <c r="AG2735">
        <v>-1.1067793634430001</v>
      </c>
      <c r="AH2735">
        <v>15.835312737194</v>
      </c>
      <c r="AI2735">
        <v>93.918975746967305</v>
      </c>
      <c r="AJ2735">
        <v>101.43441787720199</v>
      </c>
      <c r="AK2735">
        <v>16.193838290566699</v>
      </c>
    </row>
    <row r="2736" spans="1:37" x14ac:dyDescent="0.2">
      <c r="A2736" t="str">
        <f>"20200111150645938"</f>
        <v>20200111150645938</v>
      </c>
      <c r="B2736" t="str">
        <f>"1578726405929389"</f>
        <v>1578726405929389</v>
      </c>
      <c r="C2736" t="s">
        <v>37</v>
      </c>
      <c r="D2736">
        <v>5.0368579999999996</v>
      </c>
      <c r="E2736">
        <v>0.45271889999999998</v>
      </c>
      <c r="F2736" t="s">
        <v>85</v>
      </c>
      <c r="G2736">
        <v>-198.57669999999999</v>
      </c>
      <c r="H2736" s="1">
        <v>-7.3706570000000003E-6</v>
      </c>
      <c r="I2736">
        <v>-59.702509999999997</v>
      </c>
      <c r="J2736">
        <v>-214.41470000000001</v>
      </c>
      <c r="K2736">
        <v>1.1068279999999999</v>
      </c>
      <c r="L2736">
        <v>-63.3551</v>
      </c>
      <c r="M2736">
        <v>0.99959889999999996</v>
      </c>
      <c r="N2736">
        <v>0</v>
      </c>
      <c r="O2736">
        <v>2.546853E-2</v>
      </c>
      <c r="P2736">
        <v>0.98203680000000004</v>
      </c>
      <c r="Q2736">
        <v>0.1573088</v>
      </c>
      <c r="R2736">
        <v>0.10420069999999999</v>
      </c>
      <c r="S2736">
        <v>3.0165860000000002</v>
      </c>
      <c r="T2736">
        <v>-0.20893100000000001</v>
      </c>
      <c r="U2736">
        <v>0.69052119999999995</v>
      </c>
      <c r="V2736">
        <v>-8.0518660000000006E-2</v>
      </c>
      <c r="W2736">
        <v>0.16884389999999999</v>
      </c>
      <c r="X2736">
        <v>0.98234840000000001</v>
      </c>
      <c r="Y2736">
        <v>-0.1978442</v>
      </c>
      <c r="Z2736">
        <v>5.0179669999999999E-3</v>
      </c>
      <c r="AA2736">
        <v>0.9802206</v>
      </c>
      <c r="AB2736">
        <v>30</v>
      </c>
      <c r="AC2736">
        <v>15.837999999999999</v>
      </c>
      <c r="AD2736">
        <v>-1.106835370657</v>
      </c>
      <c r="AE2736">
        <v>3.65259</v>
      </c>
      <c r="AF2736">
        <v>-3.2330112207566599</v>
      </c>
      <c r="AG2736">
        <v>-1.106835370657</v>
      </c>
      <c r="AH2736">
        <v>15.852383586184599</v>
      </c>
      <c r="AI2736">
        <v>93.913684227136002</v>
      </c>
      <c r="AJ2736">
        <v>101.52709406234</v>
      </c>
      <c r="AK2736">
        <v>16.216519708458101</v>
      </c>
    </row>
    <row r="2737" spans="1:37" x14ac:dyDescent="0.2">
      <c r="A2737" t="str">
        <f>"20200111150645949"</f>
        <v>20200111150645949</v>
      </c>
      <c r="B2737" t="str">
        <f>"1578726405939149"</f>
        <v>1578726405939149</v>
      </c>
      <c r="C2737" t="s">
        <v>37</v>
      </c>
      <c r="D2737">
        <v>5.037852</v>
      </c>
      <c r="E2737">
        <v>0.45327020000000001</v>
      </c>
      <c r="F2737" t="s">
        <v>85</v>
      </c>
      <c r="G2737">
        <v>-198.68389999999999</v>
      </c>
      <c r="H2737" s="1">
        <v>-7.3846999999999998E-6</v>
      </c>
      <c r="I2737">
        <v>-59.696869999999997</v>
      </c>
      <c r="J2737">
        <v>-214.25120000000001</v>
      </c>
      <c r="K2737">
        <v>1.106894</v>
      </c>
      <c r="L2737">
        <v>-63.348569999999903</v>
      </c>
      <c r="M2737">
        <v>0.99953400000000003</v>
      </c>
      <c r="N2737">
        <v>0</v>
      </c>
      <c r="O2737">
        <v>2.7897849999999998E-2</v>
      </c>
      <c r="P2737">
        <v>0.98162850000000001</v>
      </c>
      <c r="Q2737">
        <v>0.15717529999999999</v>
      </c>
      <c r="R2737">
        <v>0.1081729</v>
      </c>
      <c r="S2737">
        <v>3.0144500000000001</v>
      </c>
      <c r="T2737">
        <v>-0.21210029999999899</v>
      </c>
      <c r="U2737">
        <v>0.70101930000000001</v>
      </c>
      <c r="V2737">
        <v>-8.2135899999999998E-2</v>
      </c>
      <c r="W2737">
        <v>0.1686869</v>
      </c>
      <c r="X2737">
        <v>0.98224149999999999</v>
      </c>
      <c r="Y2737">
        <v>-0.19884540000000001</v>
      </c>
      <c r="Z2737">
        <v>4.9619999999999899E-3</v>
      </c>
      <c r="AA2737">
        <v>0.98001830000000001</v>
      </c>
      <c r="AB2737">
        <v>30</v>
      </c>
      <c r="AC2737">
        <v>15.567299999999999</v>
      </c>
      <c r="AD2737">
        <v>-1.1069013847</v>
      </c>
      <c r="AE2737">
        <v>3.6516999999999902</v>
      </c>
      <c r="AF2737">
        <v>-3.2006131841795602</v>
      </c>
      <c r="AG2737">
        <v>-1.1069013847</v>
      </c>
      <c r="AH2737">
        <v>15.5884206570522</v>
      </c>
      <c r="AI2737">
        <v>93.978909780345901</v>
      </c>
      <c r="AJ2737">
        <v>101.602715583324</v>
      </c>
      <c r="AK2737">
        <v>15.952053598562401</v>
      </c>
    </row>
    <row r="2738" spans="1:37" x14ac:dyDescent="0.2">
      <c r="A2738" t="str">
        <f>"20200111150645962"</f>
        <v>20200111150645962</v>
      </c>
      <c r="B2738" t="str">
        <f>"1578726405959645"</f>
        <v>1578726405959645</v>
      </c>
      <c r="C2738" t="s">
        <v>37</v>
      </c>
      <c r="D2738">
        <v>4.929195</v>
      </c>
      <c r="E2738">
        <v>0.45422950000000001</v>
      </c>
      <c r="F2738" t="s">
        <v>85</v>
      </c>
      <c r="G2738">
        <v>-198.56059999999999</v>
      </c>
      <c r="H2738" s="1">
        <v>-7.38503E-6</v>
      </c>
      <c r="I2738">
        <v>-59.656419999999997</v>
      </c>
      <c r="J2738">
        <v>-214.08629999999999</v>
      </c>
      <c r="K2738">
        <v>1.106965</v>
      </c>
      <c r="L2738">
        <v>-63.3414</v>
      </c>
      <c r="M2738">
        <v>0.99946019999999902</v>
      </c>
      <c r="N2738">
        <v>0</v>
      </c>
      <c r="O2738">
        <v>3.0423550000000001E-2</v>
      </c>
      <c r="P2738">
        <v>0.98122410000000004</v>
      </c>
      <c r="Q2738">
        <v>0.15691859999999999</v>
      </c>
      <c r="R2738">
        <v>0.1121426</v>
      </c>
      <c r="S2738">
        <v>3.01207</v>
      </c>
      <c r="T2738">
        <v>-0.21248829999999999</v>
      </c>
      <c r="U2738">
        <v>0.70877080000000003</v>
      </c>
      <c r="V2738">
        <v>-8.3655960000000001E-2</v>
      </c>
      <c r="W2738">
        <v>0.16840769999999999</v>
      </c>
      <c r="X2738">
        <v>0.98216119999999996</v>
      </c>
      <c r="Y2738">
        <v>-0.198935</v>
      </c>
      <c r="Z2738">
        <v>4.8013439999999999E-3</v>
      </c>
      <c r="AA2738">
        <v>0.98000089999999995</v>
      </c>
      <c r="AB2738">
        <v>30</v>
      </c>
      <c r="AC2738">
        <v>15.525700000000001</v>
      </c>
      <c r="AD2738">
        <v>-1.10697238503</v>
      </c>
      <c r="AE2738">
        <v>3.6849799999999999</v>
      </c>
      <c r="AF2738">
        <v>-3.1955123503488001</v>
      </c>
      <c r="AG2738">
        <v>-1.10697238503</v>
      </c>
      <c r="AH2738">
        <v>15.5557687645314</v>
      </c>
      <c r="AI2738">
        <v>93.987408893269304</v>
      </c>
      <c r="AJ2738">
        <v>101.608381767898</v>
      </c>
      <c r="AK2738">
        <v>15.919127768129099</v>
      </c>
    </row>
    <row r="2739" spans="1:37" x14ac:dyDescent="0.2">
      <c r="A2739" t="str">
        <f>"20200111150645977"</f>
        <v>20200111150645977</v>
      </c>
      <c r="B2739" t="str">
        <f>"1578726405969405"</f>
        <v>1578726405969405</v>
      </c>
      <c r="C2739" t="s">
        <v>37</v>
      </c>
      <c r="D2739">
        <v>4.8651499999999999</v>
      </c>
      <c r="E2739">
        <v>0.45473599999999997</v>
      </c>
      <c r="F2739" t="s">
        <v>85</v>
      </c>
      <c r="G2739">
        <v>-198.69280000000001</v>
      </c>
      <c r="H2739" s="1">
        <v>-7.3866380000000003E-6</v>
      </c>
      <c r="I2739">
        <v>-59.694180000000003</v>
      </c>
      <c r="J2739">
        <v>-213.89920000000001</v>
      </c>
      <c r="K2739">
        <v>1.1070469999999999</v>
      </c>
      <c r="L2739">
        <v>-63.332819999999998</v>
      </c>
      <c r="M2739">
        <v>0.99936709999999995</v>
      </c>
      <c r="N2739">
        <v>0</v>
      </c>
      <c r="O2739">
        <v>3.333916E-2</v>
      </c>
      <c r="P2739">
        <v>0.9807787</v>
      </c>
      <c r="Q2739">
        <v>0.1565</v>
      </c>
      <c r="R2739">
        <v>0.116537899999999</v>
      </c>
      <c r="S2739">
        <v>3.010513</v>
      </c>
      <c r="T2739">
        <v>-0.21649070000000001</v>
      </c>
      <c r="U2739">
        <v>0.71328740000000002</v>
      </c>
      <c r="V2739">
        <v>-8.5222409999999998E-2</v>
      </c>
      <c r="W2739">
        <v>0.16796449999999999</v>
      </c>
      <c r="X2739">
        <v>0.98210239999999904</v>
      </c>
      <c r="Y2739">
        <v>-0.197576799999999</v>
      </c>
      <c r="Z2739">
        <v>4.6389919999999998E-3</v>
      </c>
      <c r="AA2739">
        <v>0.98027640000000005</v>
      </c>
      <c r="AB2739">
        <v>30</v>
      </c>
      <c r="AC2739">
        <v>15.2064</v>
      </c>
      <c r="AD2739">
        <v>-1.1070543866379901</v>
      </c>
      <c r="AE2739">
        <v>3.6386399999999899</v>
      </c>
      <c r="AF2739">
        <v>-3.11399860813825</v>
      </c>
      <c r="AG2739">
        <v>-1.1070543866379901</v>
      </c>
      <c r="AH2739">
        <v>15.242850292901601</v>
      </c>
      <c r="AI2739">
        <v>94.070195667528907</v>
      </c>
      <c r="AJ2739">
        <v>101.54621390558501</v>
      </c>
      <c r="AK2739">
        <v>15.597020285883801</v>
      </c>
    </row>
    <row r="2740" spans="1:37" x14ac:dyDescent="0.2">
      <c r="A2740" t="str">
        <f>"20200111150645987"</f>
        <v>20200111150645987</v>
      </c>
      <c r="B2740" t="str">
        <f>"1578726405979165"</f>
        <v>1578726405979165</v>
      </c>
      <c r="C2740" t="s">
        <v>37</v>
      </c>
      <c r="D2740">
        <v>5.5386160000000002</v>
      </c>
      <c r="E2740">
        <v>0.45523809999999898</v>
      </c>
      <c r="F2740" t="s">
        <v>85</v>
      </c>
      <c r="G2740">
        <v>-198.75210000000001</v>
      </c>
      <c r="H2740" s="1">
        <v>-7.3928849999999998E-6</v>
      </c>
      <c r="I2740">
        <v>-59.695399999999999</v>
      </c>
      <c r="J2740">
        <v>-213.74099999999899</v>
      </c>
      <c r="K2740">
        <v>1.107116</v>
      </c>
      <c r="L2740">
        <v>-63.325099999999999</v>
      </c>
      <c r="M2740">
        <v>0.99927969999999899</v>
      </c>
      <c r="N2740">
        <v>0</v>
      </c>
      <c r="O2740">
        <v>3.5864409999999999E-2</v>
      </c>
      <c r="P2740">
        <v>0.98029129999999998</v>
      </c>
      <c r="Q2740">
        <v>0.15623509999999999</v>
      </c>
      <c r="R2740">
        <v>0.1209126</v>
      </c>
      <c r="S2740">
        <v>3.008041</v>
      </c>
      <c r="T2740">
        <v>-0.2198484</v>
      </c>
      <c r="U2740">
        <v>0.72235109999999902</v>
      </c>
      <c r="V2740">
        <v>-8.7152300000000002E-2</v>
      </c>
      <c r="W2740">
        <v>0.1676716</v>
      </c>
      <c r="X2740">
        <v>0.9819831</v>
      </c>
      <c r="Y2740">
        <v>-0.19806760000000001</v>
      </c>
      <c r="Z2740">
        <v>4.5492800000000002E-3</v>
      </c>
      <c r="AA2740">
        <v>0.98017779999999999</v>
      </c>
      <c r="AB2740">
        <v>30</v>
      </c>
      <c r="AC2740">
        <v>14.9888999999999</v>
      </c>
      <c r="AD2740">
        <v>-1.1071233928849999</v>
      </c>
      <c r="AE2740">
        <v>3.6297000000000001</v>
      </c>
      <c r="AF2740">
        <v>-3.0739136533431402</v>
      </c>
      <c r="AG2740">
        <v>-1.1071233928849999</v>
      </c>
      <c r="AH2740">
        <v>15.031975143032099</v>
      </c>
      <c r="AI2740">
        <v>94.127193791603204</v>
      </c>
      <c r="AJ2740">
        <v>101.557172717379</v>
      </c>
      <c r="AK2740">
        <v>15.382943283260801</v>
      </c>
    </row>
    <row r="2741" spans="1:37" x14ac:dyDescent="0.2">
      <c r="A2741" t="str">
        <f>"20200111150646000"</f>
        <v>20200111150646000</v>
      </c>
      <c r="B2741" t="str">
        <f>"1578726405988926"</f>
        <v>1578726405988926</v>
      </c>
      <c r="C2741" t="s">
        <v>37</v>
      </c>
      <c r="D2741">
        <v>4.8755550000000003</v>
      </c>
      <c r="E2741">
        <v>0.45568249999999999</v>
      </c>
      <c r="F2741" t="s">
        <v>85</v>
      </c>
      <c r="G2741">
        <v>-198.41749999999999</v>
      </c>
      <c r="H2741" s="1">
        <v>-7.3901389999999998E-6</v>
      </c>
      <c r="I2741">
        <v>-59.59601</v>
      </c>
      <c r="J2741">
        <v>-213.5813</v>
      </c>
      <c r="K2741">
        <v>1.1071899999999999</v>
      </c>
      <c r="L2741">
        <v>-63.316740000000003</v>
      </c>
      <c r="M2741">
        <v>0.99918269999999998</v>
      </c>
      <c r="N2741">
        <v>0</v>
      </c>
      <c r="O2741">
        <v>3.8470419999999998E-2</v>
      </c>
      <c r="P2741">
        <v>0.97979649999999996</v>
      </c>
      <c r="Q2741">
        <v>0.15595390000000001</v>
      </c>
      <c r="R2741">
        <v>0.1252093</v>
      </c>
      <c r="S2741">
        <v>3.0047450000000002</v>
      </c>
      <c r="T2741">
        <v>-0.2170936</v>
      </c>
      <c r="U2741">
        <v>0.73123169999999904</v>
      </c>
      <c r="V2741">
        <v>-8.8924509999999998E-2</v>
      </c>
      <c r="W2741">
        <v>0.1673637</v>
      </c>
      <c r="X2741">
        <v>0.98187669999999905</v>
      </c>
      <c r="Y2741">
        <v>-0.1985073</v>
      </c>
      <c r="Z2741">
        <v>4.326486E-3</v>
      </c>
      <c r="AA2741">
        <v>0.98008980000000001</v>
      </c>
      <c r="AB2741">
        <v>30</v>
      </c>
      <c r="AC2741">
        <v>15.1638</v>
      </c>
      <c r="AD2741">
        <v>-1.107197390139</v>
      </c>
      <c r="AE2741">
        <v>3.7207300000000001</v>
      </c>
      <c r="AF2741">
        <v>-3.1188890752168099</v>
      </c>
      <c r="AG2741">
        <v>-1.107197390139</v>
      </c>
      <c r="AH2741">
        <v>15.219191538918199</v>
      </c>
      <c r="AI2741">
        <v>94.076516603006397</v>
      </c>
      <c r="AJ2741">
        <v>101.581350032291</v>
      </c>
      <c r="AK2741">
        <v>15.5748883213497</v>
      </c>
    </row>
    <row r="2742" spans="1:37" x14ac:dyDescent="0.2">
      <c r="A2742" t="str">
        <f>"20200111150646016"</f>
        <v>20200111150646016</v>
      </c>
      <c r="B2742" t="str">
        <f>"1578726406009420"</f>
        <v>1578726406009420</v>
      </c>
      <c r="C2742" t="s">
        <v>37</v>
      </c>
      <c r="D2742">
        <v>4.9368749999999997</v>
      </c>
      <c r="E2742">
        <v>0.45651439999999999</v>
      </c>
      <c r="F2742" t="s">
        <v>85</v>
      </c>
      <c r="G2742">
        <v>-198.49010000000001</v>
      </c>
      <c r="H2742" s="1">
        <v>-7.3987109999999899E-6</v>
      </c>
      <c r="I2742">
        <v>-59.594859999999997</v>
      </c>
      <c r="J2742">
        <v>-213.38380000000001</v>
      </c>
      <c r="K2742">
        <v>1.107278</v>
      </c>
      <c r="L2742">
        <v>-63.305909999999997</v>
      </c>
      <c r="M2742">
        <v>0.99905109999999997</v>
      </c>
      <c r="N2742">
        <v>0</v>
      </c>
      <c r="O2742">
        <v>4.174775E-2</v>
      </c>
      <c r="P2742">
        <v>0.97903379999999995</v>
      </c>
      <c r="Q2742">
        <v>0.15584010000000001</v>
      </c>
      <c r="R2742">
        <v>0.13117609999999999</v>
      </c>
      <c r="S2742">
        <v>3.0023040000000001</v>
      </c>
      <c r="T2742">
        <v>-0.22027039999999901</v>
      </c>
      <c r="U2742">
        <v>0.740448</v>
      </c>
      <c r="V2742">
        <v>-9.172545E-2</v>
      </c>
      <c r="W2742">
        <v>0.16720950000000001</v>
      </c>
      <c r="X2742">
        <v>0.98164530000000005</v>
      </c>
      <c r="Y2742">
        <v>-0.19831089999999901</v>
      </c>
      <c r="Z2742">
        <v>4.1485749999999998E-3</v>
      </c>
      <c r="AA2742">
        <v>0.98013039999999996</v>
      </c>
      <c r="AB2742">
        <v>30</v>
      </c>
      <c r="AC2742">
        <v>14.8936999999999</v>
      </c>
      <c r="AD2742">
        <v>-1.1072853987109901</v>
      </c>
      <c r="AE2742">
        <v>3.7110500000000002</v>
      </c>
      <c r="AF2742">
        <v>-3.0700108172599099</v>
      </c>
      <c r="AG2742">
        <v>-1.1072853987109901</v>
      </c>
      <c r="AH2742">
        <v>14.957809794036701</v>
      </c>
      <c r="AI2742">
        <v>94.147579262324896</v>
      </c>
      <c r="AJ2742">
        <v>101.59857906721</v>
      </c>
      <c r="AK2742">
        <v>15.309706764235299</v>
      </c>
    </row>
    <row r="2743" spans="1:37" x14ac:dyDescent="0.2">
      <c r="A2743" t="str">
        <f>"20200111150646029"</f>
        <v>20200111150646029</v>
      </c>
      <c r="B2743" t="str">
        <f>"1578726406019181"</f>
        <v>1578726406019181</v>
      </c>
      <c r="C2743" t="s">
        <v>37</v>
      </c>
      <c r="D2743">
        <v>4.8567119999999999</v>
      </c>
      <c r="E2743">
        <v>0.45703189999999999</v>
      </c>
      <c r="F2743" t="s">
        <v>85</v>
      </c>
      <c r="G2743">
        <v>-198.62549999999999</v>
      </c>
      <c r="H2743" s="1">
        <v>-7.4093089999999898E-6</v>
      </c>
      <c r="I2743">
        <v>-59.608040000000003</v>
      </c>
      <c r="J2743">
        <v>-213.203</v>
      </c>
      <c r="K2743">
        <v>1.107364</v>
      </c>
      <c r="L2743">
        <v>-63.295319999999997</v>
      </c>
      <c r="M2743">
        <v>0.99891779999999997</v>
      </c>
      <c r="N2743">
        <v>0</v>
      </c>
      <c r="O2743">
        <v>4.4819400000000002E-2</v>
      </c>
      <c r="P2743">
        <v>0.97846520000000003</v>
      </c>
      <c r="Q2743">
        <v>0.15583859999999999</v>
      </c>
      <c r="R2743">
        <v>0.13535239999999901</v>
      </c>
      <c r="S2743">
        <v>2.9993590000000001</v>
      </c>
      <c r="T2743">
        <v>-0.22503570000000001</v>
      </c>
      <c r="U2743">
        <v>0.75152589999999997</v>
      </c>
      <c r="V2743">
        <v>-9.293158E-2</v>
      </c>
      <c r="W2743">
        <v>0.16718359999999999</v>
      </c>
      <c r="X2743">
        <v>0.98153619999999997</v>
      </c>
      <c r="Y2743">
        <v>-0.19891929999999999</v>
      </c>
      <c r="Z2743">
        <v>4.0368599999999998E-3</v>
      </c>
      <c r="AA2743">
        <v>0.98000759999999898</v>
      </c>
      <c r="AB2743">
        <v>30</v>
      </c>
      <c r="AC2743">
        <v>14.577500000000001</v>
      </c>
      <c r="AD2743">
        <v>-1.1073714093089999</v>
      </c>
      <c r="AE2743">
        <v>3.6872799999999901</v>
      </c>
      <c r="AF2743">
        <v>-3.0138230923510601</v>
      </c>
      <c r="AG2743">
        <v>-1.1073714093089999</v>
      </c>
      <c r="AH2743">
        <v>14.6486749097493</v>
      </c>
      <c r="AI2743">
        <v>94.234706982776999</v>
      </c>
      <c r="AJ2743">
        <v>101.625826918397</v>
      </c>
      <c r="AK2743">
        <v>14.996435499199899</v>
      </c>
    </row>
    <row r="2744" spans="1:37" x14ac:dyDescent="0.2">
      <c r="A2744" t="str">
        <f>"20200111150646042"</f>
        <v>20200111150646042</v>
      </c>
      <c r="B2744" t="str">
        <f>"1578726406039676"</f>
        <v>1578726406039676</v>
      </c>
      <c r="C2744" t="s">
        <v>37</v>
      </c>
      <c r="D2744">
        <v>4.9206810000000001</v>
      </c>
      <c r="E2744">
        <v>0.45767639999999998</v>
      </c>
      <c r="F2744" t="s">
        <v>85</v>
      </c>
      <c r="G2744">
        <v>-198.577</v>
      </c>
      <c r="H2744" s="1">
        <v>-7.4115339999999998E-6</v>
      </c>
      <c r="I2744">
        <v>-59.586169999999903</v>
      </c>
      <c r="J2744">
        <v>-213.03790000000001</v>
      </c>
      <c r="K2744">
        <v>1.1074389999999901</v>
      </c>
      <c r="L2744">
        <v>-63.285029999999999</v>
      </c>
      <c r="M2744">
        <v>0.99878500000000003</v>
      </c>
      <c r="N2744">
        <v>0</v>
      </c>
      <c r="O2744">
        <v>4.7686550000000001E-2</v>
      </c>
      <c r="P2744">
        <v>0.97786070000000003</v>
      </c>
      <c r="Q2744">
        <v>0.156079299999999</v>
      </c>
      <c r="R2744">
        <v>0.13938249999999999</v>
      </c>
      <c r="S2744">
        <v>2.9969939999999999</v>
      </c>
      <c r="T2744">
        <v>-0.2269109</v>
      </c>
      <c r="U2744">
        <v>0.7600403</v>
      </c>
      <c r="V2744">
        <v>-9.4194479999999997E-2</v>
      </c>
      <c r="W2744">
        <v>0.16740079999999999</v>
      </c>
      <c r="X2744">
        <v>0.9813788</v>
      </c>
      <c r="Y2744">
        <v>-0.19890720000000001</v>
      </c>
      <c r="Z2744">
        <v>3.859098E-3</v>
      </c>
      <c r="AA2744">
        <v>0.98001070000000001</v>
      </c>
      <c r="AB2744">
        <v>30</v>
      </c>
      <c r="AC2744">
        <v>14.460900000000001</v>
      </c>
      <c r="AD2744">
        <v>-1.1074464115339999</v>
      </c>
      <c r="AE2744">
        <v>3.69886000000001</v>
      </c>
      <c r="AF2744">
        <v>-2.9885565870369302</v>
      </c>
      <c r="AG2744">
        <v>-1.1074464115339999</v>
      </c>
      <c r="AH2744">
        <v>14.5408030836882</v>
      </c>
      <c r="AI2744">
        <v>94.266471955978702</v>
      </c>
      <c r="AJ2744">
        <v>101.61420978695401</v>
      </c>
      <c r="AK2744">
        <v>14.8859955107791</v>
      </c>
    </row>
    <row r="2745" spans="1:37" x14ac:dyDescent="0.2">
      <c r="A2745" t="str">
        <f>"20200111150646056"</f>
        <v>20200111150646056</v>
      </c>
      <c r="B2745" t="str">
        <f>"1578726406049436"</f>
        <v>1578726406049436</v>
      </c>
      <c r="C2745" t="s">
        <v>37</v>
      </c>
      <c r="D2745">
        <v>4.9538519999999897</v>
      </c>
      <c r="E2745">
        <v>0.4580108</v>
      </c>
      <c r="F2745" t="s">
        <v>85</v>
      </c>
      <c r="G2745">
        <v>-198.55940000000001</v>
      </c>
      <c r="H2745" s="1">
        <v>-7.4126790000000003E-6</v>
      </c>
      <c r="I2745">
        <v>-59.577259999999903</v>
      </c>
      <c r="J2745">
        <v>-212.86250000000001</v>
      </c>
      <c r="K2745">
        <v>1.107515</v>
      </c>
      <c r="L2745">
        <v>-63.273650000000004</v>
      </c>
      <c r="M2745">
        <v>0.99863279999999999</v>
      </c>
      <c r="N2745">
        <v>0</v>
      </c>
      <c r="O2745">
        <v>5.0771810000000001E-2</v>
      </c>
      <c r="P2745">
        <v>0.97721229999999903</v>
      </c>
      <c r="Q2745">
        <v>0.15628059999999999</v>
      </c>
      <c r="R2745">
        <v>0.14364009999999999</v>
      </c>
      <c r="S2745">
        <v>2.9951629999999998</v>
      </c>
      <c r="T2745">
        <v>-0.22909769999999999</v>
      </c>
      <c r="U2745">
        <v>0.76702879999999996</v>
      </c>
      <c r="V2745">
        <v>-9.5474180000000006E-2</v>
      </c>
      <c r="W2745">
        <v>0.1675767</v>
      </c>
      <c r="X2745">
        <v>0.98122509999999996</v>
      </c>
      <c r="Y2745">
        <v>-0.19817219999999999</v>
      </c>
      <c r="Z2745">
        <v>3.6388009999999901E-3</v>
      </c>
      <c r="AA2745">
        <v>0.98016049999999999</v>
      </c>
      <c r="AB2745">
        <v>30</v>
      </c>
      <c r="AC2745">
        <v>14.303100000000001</v>
      </c>
      <c r="AD2745">
        <v>-1.107522412679</v>
      </c>
      <c r="AE2745">
        <v>3.6963900000000001</v>
      </c>
      <c r="AF2745">
        <v>-2.9487980729330001</v>
      </c>
      <c r="AG2745">
        <v>-1.107522412679</v>
      </c>
      <c r="AH2745">
        <v>14.391451452071999</v>
      </c>
      <c r="AI2745">
        <v>94.311409811426003</v>
      </c>
      <c r="AJ2745">
        <v>101.579588145777</v>
      </c>
      <c r="AK2745">
        <v>14.7321380276884</v>
      </c>
    </row>
    <row r="2746" spans="1:37" x14ac:dyDescent="0.2">
      <c r="A2746" t="str">
        <f>"20200111150646068"</f>
        <v>20200111150646068</v>
      </c>
      <c r="B2746" t="str">
        <f>"1578726406059196"</f>
        <v>1578726406059196</v>
      </c>
      <c r="C2746" t="s">
        <v>37</v>
      </c>
      <c r="D2746">
        <v>4.8351300000000004</v>
      </c>
      <c r="E2746">
        <v>0.458476099999999</v>
      </c>
      <c r="F2746" t="s">
        <v>85</v>
      </c>
      <c r="G2746">
        <v>-198.44880000000001</v>
      </c>
      <c r="H2746" s="1">
        <v>-7.4158369999999998E-6</v>
      </c>
      <c r="I2746">
        <v>-59.532809999999998</v>
      </c>
      <c r="J2746">
        <v>-212.6867</v>
      </c>
      <c r="K2746">
        <v>1.107594</v>
      </c>
      <c r="L2746">
        <v>-63.261600000000001</v>
      </c>
      <c r="M2746">
        <v>0.99846710000000005</v>
      </c>
      <c r="N2746">
        <v>0</v>
      </c>
      <c r="O2746">
        <v>5.3931430000000002E-2</v>
      </c>
      <c r="P2746">
        <v>0.97655479999999995</v>
      </c>
      <c r="Q2746">
        <v>0.15629270000000001</v>
      </c>
      <c r="R2746">
        <v>0.148032</v>
      </c>
      <c r="S2746">
        <v>2.992569</v>
      </c>
      <c r="T2746">
        <v>-0.22994319999999999</v>
      </c>
      <c r="U2746">
        <v>0.77667240000000004</v>
      </c>
      <c r="V2746">
        <v>-9.6814800000000006E-2</v>
      </c>
      <c r="W2746">
        <v>0.16756299999999999</v>
      </c>
      <c r="X2746">
        <v>0.98109609999999903</v>
      </c>
      <c r="Y2746">
        <v>-0.1982421</v>
      </c>
      <c r="Z2746">
        <v>3.4190559999999902E-3</v>
      </c>
      <c r="AA2746">
        <v>0.98014709999999905</v>
      </c>
      <c r="AB2746">
        <v>30</v>
      </c>
      <c r="AC2746">
        <v>14.2378999999999</v>
      </c>
      <c r="AD2746">
        <v>-1.107601415837</v>
      </c>
      <c r="AE2746">
        <v>3.72879</v>
      </c>
      <c r="AF2746">
        <v>-2.93878958948777</v>
      </c>
      <c r="AG2746">
        <v>-1.107601415837</v>
      </c>
      <c r="AH2746">
        <v>14.337095648155</v>
      </c>
      <c r="AI2746">
        <v>94.327934309237094</v>
      </c>
      <c r="AJ2746">
        <v>101.583918074216</v>
      </c>
      <c r="AK2746">
        <v>14.677042507671301</v>
      </c>
    </row>
    <row r="2747" spans="1:37" x14ac:dyDescent="0.2">
      <c r="A2747" t="str">
        <f>"20200111150646083"</f>
        <v>20200111150646083</v>
      </c>
      <c r="B2747" t="str">
        <f>"1578726406079693"</f>
        <v>1578726406079693</v>
      </c>
      <c r="C2747" t="s">
        <v>37</v>
      </c>
      <c r="D2747">
        <v>4.8559039999999998</v>
      </c>
      <c r="E2747">
        <v>0.4588082</v>
      </c>
      <c r="F2747" t="s">
        <v>85</v>
      </c>
      <c r="G2747">
        <v>-198.33320000000001</v>
      </c>
      <c r="H2747" s="1">
        <v>-7.4180529999999999E-6</v>
      </c>
      <c r="I2747">
        <v>-59.489440000000002</v>
      </c>
      <c r="J2747">
        <v>-212.5059</v>
      </c>
      <c r="K2747">
        <v>1.1076760000000001</v>
      </c>
      <c r="L2747">
        <v>-63.248440000000002</v>
      </c>
      <c r="M2747">
        <v>0.99828240000000001</v>
      </c>
      <c r="N2747">
        <v>0</v>
      </c>
      <c r="O2747">
        <v>5.7247810000000003E-2</v>
      </c>
      <c r="P2747">
        <v>0.97574309999999997</v>
      </c>
      <c r="Q2747">
        <v>0.15659909999999999</v>
      </c>
      <c r="R2747">
        <v>0.15297829999999901</v>
      </c>
      <c r="S2747">
        <v>2.9898380000000002</v>
      </c>
      <c r="T2747">
        <v>-0.23071230000000001</v>
      </c>
      <c r="U2747">
        <v>0.78573609999999905</v>
      </c>
      <c r="V2747">
        <v>-9.8568050000000004E-2</v>
      </c>
      <c r="W2747">
        <v>0.16783799999999999</v>
      </c>
      <c r="X2747">
        <v>0.98087449999999998</v>
      </c>
      <c r="Y2747">
        <v>-0.19799259999999999</v>
      </c>
      <c r="Z2747">
        <v>3.1727179999999902E-3</v>
      </c>
      <c r="AA2747">
        <v>0.98019840000000003</v>
      </c>
      <c r="AB2747">
        <v>30</v>
      </c>
      <c r="AC2747">
        <v>14.172699999999899</v>
      </c>
      <c r="AD2747">
        <v>-1.107683418053</v>
      </c>
      <c r="AE2747">
        <v>3.7589999999999999</v>
      </c>
      <c r="AF2747">
        <v>-2.92472420976909</v>
      </c>
      <c r="AG2747">
        <v>-1.107683418053</v>
      </c>
      <c r="AH2747">
        <v>14.2831515186513</v>
      </c>
      <c r="AI2747">
        <v>94.344717060767195</v>
      </c>
      <c r="AJ2747">
        <v>101.572337697535</v>
      </c>
      <c r="AK2747">
        <v>14.621538618168399</v>
      </c>
    </row>
    <row r="2748" spans="1:37" x14ac:dyDescent="0.2">
      <c r="A2748" t="str">
        <f>"20200111150646095"</f>
        <v>20200111150646095</v>
      </c>
      <c r="B2748" t="str">
        <f>"1578726406089453"</f>
        <v>1578726406089453</v>
      </c>
      <c r="C2748" t="s">
        <v>37</v>
      </c>
      <c r="D2748">
        <v>4.8561120000000004</v>
      </c>
      <c r="E2748">
        <v>0.45922959999999902</v>
      </c>
      <c r="F2748" t="s">
        <v>85</v>
      </c>
      <c r="G2748">
        <v>-198.16419999999999</v>
      </c>
      <c r="H2748" s="1">
        <v>-7.4241409999999901E-6</v>
      </c>
      <c r="I2748">
        <v>-59.417949999999998</v>
      </c>
      <c r="J2748">
        <v>-212.34979999999999</v>
      </c>
      <c r="K2748">
        <v>1.1077440000000001</v>
      </c>
      <c r="L2748">
        <v>-63.236789999999999</v>
      </c>
      <c r="M2748">
        <v>0.99811229999999995</v>
      </c>
      <c r="N2748">
        <v>0</v>
      </c>
      <c r="O2748">
        <v>6.0140949999999999E-2</v>
      </c>
      <c r="P2748">
        <v>0.97515959999999902</v>
      </c>
      <c r="Q2748">
        <v>0.1570192</v>
      </c>
      <c r="R2748">
        <v>0.1562326</v>
      </c>
      <c r="S2748">
        <v>2.986542</v>
      </c>
      <c r="T2748">
        <v>-0.230665799999999</v>
      </c>
      <c r="U2748">
        <v>0.7976685</v>
      </c>
      <c r="V2748">
        <v>-9.9032590000000004E-2</v>
      </c>
      <c r="W2748">
        <v>0.16824229999999901</v>
      </c>
      <c r="X2748">
        <v>0.98075840000000003</v>
      </c>
      <c r="Y2748">
        <v>-0.1990816</v>
      </c>
      <c r="Z2748">
        <v>2.9970769999999999E-3</v>
      </c>
      <c r="AA2748">
        <v>0.97997829999999997</v>
      </c>
      <c r="AB2748">
        <v>30</v>
      </c>
      <c r="AC2748">
        <v>14.1855999999999</v>
      </c>
      <c r="AD2748">
        <v>-1.107751424141</v>
      </c>
      <c r="AE2748">
        <v>3.8188399999999998</v>
      </c>
      <c r="AF2748">
        <v>-2.9419968192891202</v>
      </c>
      <c r="AG2748">
        <v>-1.107751424141</v>
      </c>
      <c r="AH2748">
        <v>14.308248982582899</v>
      </c>
      <c r="AI2748">
        <v>94.336669146240297</v>
      </c>
      <c r="AJ2748">
        <v>101.618961763969</v>
      </c>
      <c r="AK2748">
        <v>14.6495203829333</v>
      </c>
    </row>
    <row r="2749" spans="1:37" x14ac:dyDescent="0.2">
      <c r="A2749" t="str">
        <f>"20200111150646107"</f>
        <v>20200111150646107</v>
      </c>
      <c r="B2749" t="str">
        <f>"1578726406099213"</f>
        <v>1578726406099213</v>
      </c>
      <c r="C2749" t="s">
        <v>37</v>
      </c>
      <c r="D2749">
        <v>4.8873169999999897</v>
      </c>
      <c r="E2749">
        <v>0.45967140000000001</v>
      </c>
      <c r="F2749" t="s">
        <v>85</v>
      </c>
      <c r="G2749">
        <v>-197.9657</v>
      </c>
      <c r="H2749" s="1">
        <v>-7.4227930000000003E-6</v>
      </c>
      <c r="I2749">
        <v>-59.358179999999997</v>
      </c>
      <c r="J2749">
        <v>-212.18369999999999</v>
      </c>
      <c r="K2749">
        <v>1.1078159999999999</v>
      </c>
      <c r="L2749">
        <v>-63.223599999999998</v>
      </c>
      <c r="M2749">
        <v>0.99791749999999901</v>
      </c>
      <c r="N2749">
        <v>0</v>
      </c>
      <c r="O2749">
        <v>6.3284839999999995E-2</v>
      </c>
      <c r="P2749">
        <v>0.97446669999999902</v>
      </c>
      <c r="Q2749">
        <v>0.15768750000000001</v>
      </c>
      <c r="R2749">
        <v>0.15984079999999901</v>
      </c>
      <c r="S2749">
        <v>2.9844819999999999</v>
      </c>
      <c r="T2749">
        <v>-0.22984060000000001</v>
      </c>
      <c r="U2749">
        <v>0.80474849999999998</v>
      </c>
      <c r="V2749">
        <v>-9.9616650000000001E-2</v>
      </c>
      <c r="W2749">
        <v>0.16889279999999901</v>
      </c>
      <c r="X2749">
        <v>0.98058749999999995</v>
      </c>
      <c r="Y2749">
        <v>-0.1983451</v>
      </c>
      <c r="Z2749">
        <v>2.723479E-3</v>
      </c>
      <c r="AA2749">
        <v>0.98012849999999996</v>
      </c>
      <c r="AB2749">
        <v>30</v>
      </c>
      <c r="AC2749">
        <v>14.2179999999999</v>
      </c>
      <c r="AD2749">
        <v>-1.1078234227929999</v>
      </c>
      <c r="AE2749">
        <v>3.8654199999999901</v>
      </c>
      <c r="AF2749">
        <v>-2.9411895033220601</v>
      </c>
      <c r="AG2749">
        <v>-1.1078234227929999</v>
      </c>
      <c r="AH2749">
        <v>14.352996653008301</v>
      </c>
      <c r="AI2749">
        <v>94.324071761219997</v>
      </c>
      <c r="AJ2749">
        <v>101.58062555933</v>
      </c>
      <c r="AK2749">
        <v>14.693072563347901</v>
      </c>
    </row>
    <row r="2750" spans="1:37" x14ac:dyDescent="0.2">
      <c r="A2750" t="str">
        <f>"20200111150646120"</f>
        <v>20200111150646120</v>
      </c>
      <c r="B2750" t="str">
        <f>"1578726406108974"</f>
        <v>1578726406108974</v>
      </c>
      <c r="C2750" t="s">
        <v>37</v>
      </c>
      <c r="D2750">
        <v>4.9046459999999996</v>
      </c>
      <c r="E2750">
        <v>0.46009250000000002</v>
      </c>
      <c r="F2750" t="s">
        <v>85</v>
      </c>
      <c r="G2750">
        <v>-197.55179999999999</v>
      </c>
      <c r="H2750" s="1">
        <v>-7.4191480000000003E-6</v>
      </c>
      <c r="I2750">
        <v>-59.235939999999999</v>
      </c>
      <c r="J2750">
        <v>-212.01249999999999</v>
      </c>
      <c r="K2750">
        <v>1.1078870000000001</v>
      </c>
      <c r="L2750">
        <v>-63.209469999999897</v>
      </c>
      <c r="M2750">
        <v>0.99770389999999998</v>
      </c>
      <c r="N2750">
        <v>0</v>
      </c>
      <c r="O2750">
        <v>6.6569749999999997E-2</v>
      </c>
      <c r="P2750">
        <v>0.973684199999999</v>
      </c>
      <c r="Q2750">
        <v>0.15852279999999999</v>
      </c>
      <c r="R2750">
        <v>0.16373679999999999</v>
      </c>
      <c r="S2750">
        <v>2.98185699999999</v>
      </c>
      <c r="T2750">
        <v>-0.2257652</v>
      </c>
      <c r="U2750">
        <v>0.81265259999999995</v>
      </c>
      <c r="V2750">
        <v>-0.100358</v>
      </c>
      <c r="W2750">
        <v>0.1697081</v>
      </c>
      <c r="X2750">
        <v>0.98037109999999905</v>
      </c>
      <c r="Y2750">
        <v>-0.1977785</v>
      </c>
      <c r="Z2750">
        <v>2.4132379999999998E-3</v>
      </c>
      <c r="AA2750">
        <v>0.98024369999999905</v>
      </c>
      <c r="AB2750">
        <v>30</v>
      </c>
      <c r="AC2750">
        <v>14.460699999999999</v>
      </c>
      <c r="AD2750">
        <v>-1.107894419148</v>
      </c>
      <c r="AE2750">
        <v>3.97352999999999</v>
      </c>
      <c r="AF2750">
        <v>-2.9856995456724502</v>
      </c>
      <c r="AG2750">
        <v>-1.107894419148</v>
      </c>
      <c r="AH2750">
        <v>14.61340051773</v>
      </c>
      <c r="AI2750">
        <v>94.248078020393905</v>
      </c>
      <c r="AJ2750">
        <v>101.547315716149</v>
      </c>
      <c r="AK2750">
        <v>14.956380127310201</v>
      </c>
    </row>
    <row r="2751" spans="1:37" x14ac:dyDescent="0.2">
      <c r="A2751" t="str">
        <f>"20200111150646133"</f>
        <v>20200111150646133</v>
      </c>
      <c r="B2751" t="str">
        <f>"1578726406129469"</f>
        <v>1578726406129469</v>
      </c>
      <c r="C2751" t="s">
        <v>37</v>
      </c>
      <c r="D2751">
        <v>4.8440750000000001</v>
      </c>
      <c r="E2751">
        <v>0.4609354</v>
      </c>
      <c r="F2751" t="s">
        <v>85</v>
      </c>
      <c r="G2751">
        <v>-197.2988</v>
      </c>
      <c r="H2751" s="1">
        <v>-7.4193899999999998E-6</v>
      </c>
      <c r="I2751">
        <v>-59.154169999999901</v>
      </c>
      <c r="J2751">
        <v>-211.84479999999999</v>
      </c>
      <c r="K2751">
        <v>1.1079540000000001</v>
      </c>
      <c r="L2751">
        <v>-63.195189999999997</v>
      </c>
      <c r="M2751">
        <v>0.99748150000000002</v>
      </c>
      <c r="N2751">
        <v>0</v>
      </c>
      <c r="O2751">
        <v>6.9822040000000002E-2</v>
      </c>
      <c r="P2751">
        <v>0.97290189999999999</v>
      </c>
      <c r="Q2751">
        <v>0.15863479999999999</v>
      </c>
      <c r="R2751">
        <v>0.16821729999999999</v>
      </c>
      <c r="S2751">
        <v>2.9795229999999999</v>
      </c>
      <c r="T2751">
        <v>-0.22434789999999999</v>
      </c>
      <c r="U2751">
        <v>0.82119750000000002</v>
      </c>
      <c r="V2751">
        <v>-0.1017078</v>
      </c>
      <c r="W2751">
        <v>0.1697941</v>
      </c>
      <c r="X2751">
        <v>0.980217</v>
      </c>
      <c r="Y2751">
        <v>-0.19740629999999901</v>
      </c>
      <c r="Z2751">
        <v>2.1468429999999998E-3</v>
      </c>
      <c r="AA2751">
        <v>0.98031939999999995</v>
      </c>
      <c r="AB2751">
        <v>30</v>
      </c>
      <c r="AC2751">
        <v>14.5459999999999</v>
      </c>
      <c r="AD2751">
        <v>-1.10796141939</v>
      </c>
      <c r="AE2751">
        <v>4.0410199999999996</v>
      </c>
      <c r="AF2751">
        <v>-2.9992913296671899</v>
      </c>
      <c r="AG2751">
        <v>-1.10796141939</v>
      </c>
      <c r="AH2751">
        <v>14.713420650492701</v>
      </c>
      <c r="AI2751">
        <v>94.2199421087236</v>
      </c>
      <c r="AJ2751">
        <v>101.52173158443701</v>
      </c>
      <c r="AK2751">
        <v>15.0568281595235</v>
      </c>
    </row>
    <row r="2752" spans="1:37" x14ac:dyDescent="0.2">
      <c r="A2752" t="str">
        <f>"20200111150646146"</f>
        <v>20200111150646146</v>
      </c>
      <c r="B2752" t="str">
        <f>"1578726406139228"</f>
        <v>1578726406139228</v>
      </c>
      <c r="C2752" t="s">
        <v>37</v>
      </c>
      <c r="D2752">
        <v>4.9078390000000001</v>
      </c>
      <c r="E2752">
        <v>0.46140699999999901</v>
      </c>
      <c r="F2752" t="s">
        <v>85</v>
      </c>
      <c r="G2752">
        <v>-197.18860000000001</v>
      </c>
      <c r="H2752" s="1">
        <v>-7.4187410000000003E-6</v>
      </c>
      <c r="I2752">
        <v>-59.120690000000003</v>
      </c>
      <c r="J2752">
        <v>-211.67429999999999</v>
      </c>
      <c r="K2752">
        <v>1.10802</v>
      </c>
      <c r="L2752">
        <v>-63.179809999999897</v>
      </c>
      <c r="M2752">
        <v>0.99723919999999999</v>
      </c>
      <c r="N2752">
        <v>0</v>
      </c>
      <c r="O2752">
        <v>7.3200870000000001E-2</v>
      </c>
      <c r="P2752">
        <v>0.97218819999999995</v>
      </c>
      <c r="Q2752">
        <v>0.15843460000000001</v>
      </c>
      <c r="R2752">
        <v>0.17247789999999999</v>
      </c>
      <c r="S2752">
        <v>2.9771730000000001</v>
      </c>
      <c r="T2752">
        <v>-0.22506419999999999</v>
      </c>
      <c r="U2752">
        <v>0.82766719999999905</v>
      </c>
      <c r="V2752">
        <v>-0.102706399999999</v>
      </c>
      <c r="W2752">
        <v>0.1695728</v>
      </c>
      <c r="X2752">
        <v>0.980151199999999</v>
      </c>
      <c r="Y2752">
        <v>-0.19627159999999999</v>
      </c>
      <c r="Z2752">
        <v>1.864105E-3</v>
      </c>
      <c r="AA2752">
        <v>0.98054779999999997</v>
      </c>
      <c r="AB2752">
        <v>30</v>
      </c>
      <c r="AC2752">
        <v>14.4856999999999</v>
      </c>
      <c r="AD2752">
        <v>-1.108027418741</v>
      </c>
      <c r="AE2752">
        <v>4.0591199999999903</v>
      </c>
      <c r="AF2752">
        <v>-2.9716591933940699</v>
      </c>
      <c r="AG2752">
        <v>-1.108027418741</v>
      </c>
      <c r="AH2752">
        <v>14.664432793739399</v>
      </c>
      <c r="AI2752">
        <v>94.235230307064498</v>
      </c>
      <c r="AJ2752">
        <v>101.455521163415</v>
      </c>
      <c r="AK2752">
        <v>15.0034686750919</v>
      </c>
    </row>
    <row r="2753" spans="1:37" x14ac:dyDescent="0.2">
      <c r="A2753" t="str">
        <f>"20200111150646157"</f>
        <v>20200111150646157</v>
      </c>
      <c r="B2753" t="str">
        <f>"1578726406148989"</f>
        <v>1578726406148989</v>
      </c>
      <c r="C2753" t="s">
        <v>37</v>
      </c>
      <c r="D2753">
        <v>4.886666</v>
      </c>
      <c r="E2753">
        <v>0.46179740000000002</v>
      </c>
      <c r="F2753" t="s">
        <v>85</v>
      </c>
      <c r="G2753">
        <v>-197.16130000000001</v>
      </c>
      <c r="H2753" s="1">
        <v>-7.4233439999999899E-6</v>
      </c>
      <c r="I2753">
        <v>-59.098849999999999</v>
      </c>
      <c r="J2753">
        <v>-211.51949999999999</v>
      </c>
      <c r="K2753">
        <v>1.108077</v>
      </c>
      <c r="L2753">
        <v>-63.165409999999902</v>
      </c>
      <c r="M2753">
        <v>0.99700669999999902</v>
      </c>
      <c r="N2753">
        <v>0</v>
      </c>
      <c r="O2753">
        <v>7.6300129999999994E-2</v>
      </c>
      <c r="P2753">
        <v>0.97134669999999901</v>
      </c>
      <c r="Q2753">
        <v>0.15813959999999999</v>
      </c>
      <c r="R2753">
        <v>0.17741999999999999</v>
      </c>
      <c r="S2753">
        <v>2.9744419999999998</v>
      </c>
      <c r="T2753">
        <v>-0.22709079999999901</v>
      </c>
      <c r="U2753">
        <v>0.83639529999999995</v>
      </c>
      <c r="V2753">
        <v>-0.104666699999999</v>
      </c>
      <c r="W2753">
        <v>0.1692457</v>
      </c>
      <c r="X2753">
        <v>0.98000039999999999</v>
      </c>
      <c r="Y2753">
        <v>-0.19612750000000001</v>
      </c>
      <c r="Z2753">
        <v>1.6463929999999999E-3</v>
      </c>
      <c r="AA2753">
        <v>0.98057709999999998</v>
      </c>
      <c r="AB2753">
        <v>30</v>
      </c>
      <c r="AC2753">
        <v>14.358199999999901</v>
      </c>
      <c r="AD2753">
        <v>-1.1080844233439999</v>
      </c>
      <c r="AE2753">
        <v>4.0665599999999902</v>
      </c>
      <c r="AF2753">
        <v>-2.9428599886667199</v>
      </c>
      <c r="AG2753">
        <v>-1.1080844233439999</v>
      </c>
      <c r="AH2753">
        <v>14.5464377685219</v>
      </c>
      <c r="AI2753">
        <v>94.269955204357103</v>
      </c>
      <c r="AJ2753">
        <v>101.43702559824899</v>
      </c>
      <c r="AK2753">
        <v>14.882443608347099</v>
      </c>
    </row>
    <row r="2754" spans="1:37" x14ac:dyDescent="0.2">
      <c r="A2754" t="str">
        <f>"20200111150646171"</f>
        <v>20200111150646171</v>
      </c>
      <c r="B2754" t="str">
        <f>"1578726406169484"</f>
        <v>1578726406169484</v>
      </c>
      <c r="C2754" t="s">
        <v>37</v>
      </c>
      <c r="D2754">
        <v>4.7751970000000004</v>
      </c>
      <c r="E2754">
        <v>0.46213509999999902</v>
      </c>
      <c r="F2754" t="s">
        <v>85</v>
      </c>
      <c r="G2754">
        <v>-197.13030000000001</v>
      </c>
      <c r="H2754" s="1">
        <v>-7.433744E-6</v>
      </c>
      <c r="I2754">
        <v>-59.059289999999997</v>
      </c>
      <c r="J2754">
        <v>-211.34049999999999</v>
      </c>
      <c r="K2754">
        <v>1.108142</v>
      </c>
      <c r="L2754">
        <v>-63.148249999999997</v>
      </c>
      <c r="M2754">
        <v>0.99672260000000001</v>
      </c>
      <c r="N2754">
        <v>0</v>
      </c>
      <c r="O2754">
        <v>7.9923679999999997E-2</v>
      </c>
      <c r="P2754">
        <v>0.97036339999999999</v>
      </c>
      <c r="Q2754">
        <v>0.157083</v>
      </c>
      <c r="R2754">
        <v>0.18362970000000001</v>
      </c>
      <c r="S2754">
        <v>2.9708860000000001</v>
      </c>
      <c r="T2754">
        <v>-0.22878309999999999</v>
      </c>
      <c r="U2754">
        <v>0.84777829999999998</v>
      </c>
      <c r="V2754">
        <v>-0.1073812</v>
      </c>
      <c r="W2754">
        <v>0.16814679999999901</v>
      </c>
      <c r="X2754">
        <v>0.97989590000000004</v>
      </c>
      <c r="Y2754">
        <v>-0.196351</v>
      </c>
      <c r="Z2754">
        <v>1.3972100000000001E-3</v>
      </c>
      <c r="AA2754">
        <v>0.98053259999999898</v>
      </c>
      <c r="AB2754">
        <v>30</v>
      </c>
      <c r="AC2754">
        <v>14.210199999999899</v>
      </c>
      <c r="AD2754">
        <v>-1.1081494337440001</v>
      </c>
      <c r="AE2754">
        <v>4.0889599999999904</v>
      </c>
      <c r="AF2754">
        <v>-2.9236371345908898</v>
      </c>
      <c r="AG2754">
        <v>-1.1081494337440001</v>
      </c>
      <c r="AH2754">
        <v>14.4106304481711</v>
      </c>
      <c r="AI2754">
        <v>94.309818202989703</v>
      </c>
      <c r="AJ2754">
        <v>101.468541666517</v>
      </c>
      <c r="AK2754">
        <v>14.745911947927199</v>
      </c>
    </row>
    <row r="2755" spans="1:37" x14ac:dyDescent="0.2">
      <c r="A2755" t="str">
        <f>"20200111150646186"</f>
        <v>20200111150646186</v>
      </c>
      <c r="B2755" t="str">
        <f>"1578726406179246"</f>
        <v>1578726406179246</v>
      </c>
      <c r="C2755" t="s">
        <v>37</v>
      </c>
      <c r="D2755">
        <v>5.6166049999999998</v>
      </c>
      <c r="E2755">
        <v>0.46213509999999902</v>
      </c>
      <c r="F2755" t="s">
        <v>85</v>
      </c>
      <c r="G2755">
        <v>-197.22710000000001</v>
      </c>
      <c r="H2755" s="1">
        <v>-7.4526090000000001E-6</v>
      </c>
      <c r="I2755">
        <v>-59.036559999999902</v>
      </c>
      <c r="J2755">
        <v>-211.16489999999999</v>
      </c>
      <c r="K2755">
        <v>1.108177</v>
      </c>
      <c r="L2755">
        <v>-63.1303699999999</v>
      </c>
      <c r="M2755">
        <v>0.9964653</v>
      </c>
      <c r="N2755">
        <v>0</v>
      </c>
      <c r="O2755">
        <v>8.3096299999999998E-2</v>
      </c>
      <c r="P2755">
        <v>0.96953210000000001</v>
      </c>
      <c r="Q2755">
        <v>0.15704660000000001</v>
      </c>
      <c r="R2755">
        <v>0.18800059999999999</v>
      </c>
      <c r="S2755">
        <v>2.9658359999999999</v>
      </c>
      <c r="T2755">
        <v>-0.2328703</v>
      </c>
      <c r="U2755">
        <v>0.86404419999999904</v>
      </c>
      <c r="V2755">
        <v>-0.10871210000000001</v>
      </c>
      <c r="W2755">
        <v>0.16791039999999999</v>
      </c>
      <c r="X2755">
        <v>0.97978969999999899</v>
      </c>
      <c r="Y2755">
        <v>-0.19862489999999999</v>
      </c>
      <c r="Z2755">
        <v>1.26936E-3</v>
      </c>
      <c r="AA2755">
        <v>0.98007479999999902</v>
      </c>
      <c r="AB2755">
        <v>30</v>
      </c>
      <c r="AC2755">
        <v>13.9377999999999</v>
      </c>
      <c r="AD2755">
        <v>-1.1081844526089999</v>
      </c>
      <c r="AE2755">
        <v>4.0938099999999897</v>
      </c>
      <c r="AF2755">
        <v>-2.9044788357617999</v>
      </c>
      <c r="AG2755">
        <v>-1.1081844526089999</v>
      </c>
      <c r="AH2755">
        <v>14.147462033870299</v>
      </c>
      <c r="AI2755">
        <v>94.387743696481095</v>
      </c>
      <c r="AJ2755">
        <v>101.601639725947</v>
      </c>
      <c r="AK2755">
        <v>14.484983675800001</v>
      </c>
    </row>
    <row r="2756" spans="1:37" x14ac:dyDescent="0.2">
      <c r="A2756" t="str">
        <f>"20200111150646197"</f>
        <v>20200111150646197</v>
      </c>
      <c r="B2756" t="str">
        <f>"1578726406189004"</f>
        <v>1578726406189004</v>
      </c>
      <c r="C2756" t="s">
        <v>37</v>
      </c>
      <c r="D2756">
        <v>4.7564209999999996</v>
      </c>
      <c r="E2756">
        <v>0.46261639999999998</v>
      </c>
      <c r="F2756" t="s">
        <v>85</v>
      </c>
      <c r="G2756">
        <v>-197.07740000000001</v>
      </c>
      <c r="H2756" s="1">
        <v>-7.4635239999999996E-6</v>
      </c>
      <c r="I2756">
        <v>-58.95749</v>
      </c>
      <c r="J2756">
        <v>-210.9974</v>
      </c>
      <c r="K2756">
        <v>1.1081859999999999</v>
      </c>
      <c r="L2756">
        <v>-63.112850000000002</v>
      </c>
      <c r="M2756">
        <v>0.99619559999999996</v>
      </c>
      <c r="N2756">
        <v>0</v>
      </c>
      <c r="O2756">
        <v>8.6272810000000005E-2</v>
      </c>
      <c r="P2756">
        <v>0.96869930000000004</v>
      </c>
      <c r="Q2756">
        <v>0.1572615</v>
      </c>
      <c r="R2756">
        <v>0.19206799999999999</v>
      </c>
      <c r="S2756">
        <v>2.9619140000000002</v>
      </c>
      <c r="T2756">
        <v>-0.23299639999999999</v>
      </c>
      <c r="U2756">
        <v>0.87734990000000002</v>
      </c>
      <c r="V2756">
        <v>-0.1097196</v>
      </c>
      <c r="W2756">
        <v>0.16806499999999999</v>
      </c>
      <c r="X2756">
        <v>0.97965089999999999</v>
      </c>
      <c r="Y2756">
        <v>-0.199906</v>
      </c>
      <c r="Z2756">
        <v>1.0782859999999999E-3</v>
      </c>
      <c r="AA2756">
        <v>0.97981450000000003</v>
      </c>
      <c r="AB2756">
        <v>30</v>
      </c>
      <c r="AC2756">
        <v>13.9199999999999</v>
      </c>
      <c r="AD2756">
        <v>-1.1081934635240001</v>
      </c>
      <c r="AE2756">
        <v>4.1553599999999999</v>
      </c>
      <c r="AF2756">
        <v>-2.92185271108064</v>
      </c>
      <c r="AG2756">
        <v>-1.1081934635240001</v>
      </c>
      <c r="AH2756">
        <v>14.144302145186201</v>
      </c>
      <c r="AI2756">
        <v>94.387655329639699</v>
      </c>
      <c r="AJ2756">
        <v>101.671675490933</v>
      </c>
      <c r="AK2756">
        <v>14.4853926143603</v>
      </c>
    </row>
    <row r="2757" spans="1:37" x14ac:dyDescent="0.2">
      <c r="A2757" t="str">
        <f>"20200111150646208"</f>
        <v>20200111150646208</v>
      </c>
      <c r="B2757" t="str">
        <f>"1578726406199740"</f>
        <v>1578726406199740</v>
      </c>
      <c r="C2757" t="s">
        <v>37</v>
      </c>
      <c r="D2757">
        <v>5.5488720000000002</v>
      </c>
      <c r="E2757">
        <v>0.46261639999999998</v>
      </c>
      <c r="F2757" t="s">
        <v>85</v>
      </c>
      <c r="G2757">
        <v>-196.9273</v>
      </c>
      <c r="H2757" s="1">
        <v>-7.4663939999999996E-6</v>
      </c>
      <c r="I2757">
        <v>-58.901219999999903</v>
      </c>
      <c r="J2757">
        <v>-210.84620000000001</v>
      </c>
      <c r="K2757">
        <v>1.108163</v>
      </c>
      <c r="L2757">
        <v>-63.096589999999999</v>
      </c>
      <c r="M2757">
        <v>0.99592389999999997</v>
      </c>
      <c r="N2757">
        <v>0</v>
      </c>
      <c r="O2757">
        <v>8.9337879999999995E-2</v>
      </c>
      <c r="P2757">
        <v>0.96788700000000005</v>
      </c>
      <c r="Q2757">
        <v>0.15722420000000001</v>
      </c>
      <c r="R2757">
        <v>0.19615109999999999</v>
      </c>
      <c r="S2757">
        <v>2.959152</v>
      </c>
      <c r="T2757">
        <v>-0.23307030000000001</v>
      </c>
      <c r="U2757">
        <v>0.88577269999999897</v>
      </c>
      <c r="V2757">
        <v>-0.110825299999999</v>
      </c>
      <c r="W2757">
        <v>0.16813649999999999</v>
      </c>
      <c r="X2757">
        <v>0.97951409999999905</v>
      </c>
      <c r="Y2757">
        <v>-0.19971040000000001</v>
      </c>
      <c r="Z2757">
        <v>8.3811020000000005E-4</v>
      </c>
      <c r="AA2757">
        <v>0.97985460000000002</v>
      </c>
      <c r="AB2757">
        <v>30</v>
      </c>
      <c r="AC2757">
        <v>13.918900000000001</v>
      </c>
      <c r="AD2757">
        <v>-1.108170466394</v>
      </c>
      <c r="AE2757">
        <v>4.1953699999999996</v>
      </c>
      <c r="AF2757">
        <v>-2.91805441761697</v>
      </c>
      <c r="AG2757">
        <v>-1.108170466394</v>
      </c>
      <c r="AH2757">
        <v>14.1558123977031</v>
      </c>
      <c r="AI2757">
        <v>94.384388083866497</v>
      </c>
      <c r="AJ2757">
        <v>101.647698990244</v>
      </c>
      <c r="AK2757">
        <v>14.495865203765</v>
      </c>
    </row>
    <row r="2758" spans="1:37" x14ac:dyDescent="0.2">
      <c r="A2758" t="str">
        <f>"20200111150646220"</f>
        <v>20200111150646220</v>
      </c>
      <c r="B2758" t="str">
        <f>"1578726406209502"</f>
        <v>1578726406209502</v>
      </c>
      <c r="C2758" t="s">
        <v>37</v>
      </c>
      <c r="D2758">
        <v>4.6875790000000004</v>
      </c>
      <c r="E2758">
        <v>0.46834910000000002</v>
      </c>
      <c r="F2758" t="s">
        <v>85</v>
      </c>
      <c r="G2758">
        <v>-196.8125</v>
      </c>
      <c r="H2758" s="1">
        <v>-7.4772329999999996E-6</v>
      </c>
      <c r="I2758">
        <v>-58.833559999999999</v>
      </c>
      <c r="J2758">
        <v>-210.70259999999999</v>
      </c>
      <c r="K2758">
        <v>1.1081179999999999</v>
      </c>
      <c r="L2758">
        <v>-63.080569999999902</v>
      </c>
      <c r="M2758">
        <v>0.99562640000000002</v>
      </c>
      <c r="N2758">
        <v>0</v>
      </c>
      <c r="O2758">
        <v>9.257638E-2</v>
      </c>
      <c r="P2758">
        <v>0.96702060000000001</v>
      </c>
      <c r="Q2758">
        <v>0.15723210000000001</v>
      </c>
      <c r="R2758">
        <v>0.20037379999999999</v>
      </c>
      <c r="S2758">
        <v>2.9554900000000002</v>
      </c>
      <c r="T2758">
        <v>-0.23338119999999901</v>
      </c>
      <c r="U2758">
        <v>0.89779659999999994</v>
      </c>
      <c r="V2758">
        <v>-0.111896</v>
      </c>
      <c r="W2758">
        <v>0.168294</v>
      </c>
      <c r="X2758">
        <v>0.97936529999999999</v>
      </c>
      <c r="Y2758">
        <v>-0.20051669999999999</v>
      </c>
      <c r="Z2758">
        <v>6.2383429999999997E-4</v>
      </c>
      <c r="AA2758">
        <v>0.97969010000000001</v>
      </c>
      <c r="AB2758">
        <v>30</v>
      </c>
      <c r="AC2758">
        <v>13.890099999999901</v>
      </c>
      <c r="AD2758">
        <v>-1.108125477233</v>
      </c>
      <c r="AE2758">
        <v>4.2470099999999897</v>
      </c>
      <c r="AF2758">
        <v>-2.9257431201458401</v>
      </c>
      <c r="AG2758">
        <v>-1.108125477233</v>
      </c>
      <c r="AH2758">
        <v>14.141336257950201</v>
      </c>
      <c r="AI2758">
        <v>94.388027828458505</v>
      </c>
      <c r="AJ2758">
        <v>101.689172622383</v>
      </c>
      <c r="AK2758">
        <v>14.4832767714627</v>
      </c>
    </row>
    <row r="2759" spans="1:37" x14ac:dyDescent="0.2">
      <c r="A2759" t="str">
        <f>"20200111150646231"</f>
        <v>20200111150646231</v>
      </c>
      <c r="B2759" t="str">
        <f>"1578726406229021"</f>
        <v>1578726406229021</v>
      </c>
      <c r="C2759" t="s">
        <v>37</v>
      </c>
      <c r="D2759">
        <v>4.6367539999999998</v>
      </c>
      <c r="E2759">
        <v>0.48985220000000002</v>
      </c>
      <c r="F2759" t="s">
        <v>76</v>
      </c>
      <c r="G2759">
        <v>-169.244</v>
      </c>
      <c r="H2759">
        <v>7.3370519999999999</v>
      </c>
      <c r="I2759">
        <v>-50.754669999999997</v>
      </c>
      <c r="J2759">
        <v>-210.55549999999999</v>
      </c>
      <c r="K2759">
        <v>1.10806</v>
      </c>
      <c r="L2759">
        <v>-63.063929999999999</v>
      </c>
      <c r="M2759">
        <v>0.99529840000000003</v>
      </c>
      <c r="N2759">
        <v>0</v>
      </c>
      <c r="O2759">
        <v>9.6014619999999995E-2</v>
      </c>
      <c r="P2759">
        <v>0.96614750000000005</v>
      </c>
      <c r="Q2759">
        <v>0.1571671</v>
      </c>
      <c r="R2759">
        <v>0.2045911</v>
      </c>
      <c r="S2759">
        <v>2.8565669999999899</v>
      </c>
      <c r="T2759">
        <v>0.42918220000000001</v>
      </c>
      <c r="U2759">
        <v>0.84927369999999902</v>
      </c>
      <c r="V2759">
        <v>-0.1127601</v>
      </c>
      <c r="W2759">
        <v>0.16840250000000001</v>
      </c>
      <c r="X2759">
        <v>0.9792476</v>
      </c>
      <c r="Y2759">
        <v>-0.1906485</v>
      </c>
      <c r="Z2759" s="1">
        <v>3.7316230000000002E-5</v>
      </c>
      <c r="AA2759">
        <v>0.98165840000000004</v>
      </c>
      <c r="AB2759">
        <v>30</v>
      </c>
      <c r="AC2759">
        <v>41.311499999999903</v>
      </c>
      <c r="AD2759">
        <v>6.2289919999999999</v>
      </c>
      <c r="AE2759">
        <v>12.30926</v>
      </c>
      <c r="AF2759">
        <v>-8.1160786815093307</v>
      </c>
      <c r="AG2759">
        <v>6.2289919999999999</v>
      </c>
      <c r="AH2759">
        <v>41.437315663135998</v>
      </c>
      <c r="AI2759">
        <v>81.608237870842999</v>
      </c>
      <c r="AJ2759">
        <v>101.08189177053499</v>
      </c>
      <c r="AK2759">
        <v>42.681637783324199</v>
      </c>
    </row>
    <row r="2760" spans="1:37" x14ac:dyDescent="0.2">
      <c r="A2760" t="str">
        <f>"20200111150646243"</f>
        <v>20200111150646243</v>
      </c>
      <c r="B2760" t="str">
        <f>"1578726406239758"</f>
        <v>1578726406239758</v>
      </c>
      <c r="C2760" t="s">
        <v>37</v>
      </c>
      <c r="D2760">
        <v>4.837917</v>
      </c>
      <c r="E2760">
        <v>0.48823820000000001</v>
      </c>
      <c r="F2760" t="s">
        <v>85</v>
      </c>
      <c r="G2760">
        <v>-193.965</v>
      </c>
      <c r="H2760" s="1">
        <v>-7.0544970000000001E-6</v>
      </c>
      <c r="I2760">
        <v>-59.125399999999999</v>
      </c>
      <c r="J2760">
        <v>-210.4058</v>
      </c>
      <c r="K2760">
        <v>1.1080729999999901</v>
      </c>
      <c r="L2760">
        <v>-63.046199999999999</v>
      </c>
      <c r="M2760">
        <v>0.99493799999999899</v>
      </c>
      <c r="N2760">
        <v>0</v>
      </c>
      <c r="O2760">
        <v>9.9670439999999999E-2</v>
      </c>
      <c r="P2760">
        <v>0.96529129999999996</v>
      </c>
      <c r="Q2760">
        <v>0.1570232</v>
      </c>
      <c r="R2760">
        <v>0.20870279999999899</v>
      </c>
      <c r="S2760">
        <v>2.9873959999999999</v>
      </c>
      <c r="T2760">
        <v>-0.1995257</v>
      </c>
      <c r="U2760">
        <v>0.709198</v>
      </c>
      <c r="V2760">
        <v>-0.1133425</v>
      </c>
      <c r="W2760">
        <v>0.1683259</v>
      </c>
      <c r="X2760">
        <v>0.97919339999999999</v>
      </c>
      <c r="Y2760">
        <v>-0.132773799999999</v>
      </c>
      <c r="Z2760">
        <v>-2.1635090000000001E-3</v>
      </c>
      <c r="AA2760">
        <v>0.99114400000000002</v>
      </c>
      <c r="AB2760">
        <v>30</v>
      </c>
      <c r="AC2760">
        <v>16.4407999999999</v>
      </c>
      <c r="AD2760">
        <v>-1.10808005449699</v>
      </c>
      <c r="AE2760">
        <v>3.9207999999999998</v>
      </c>
      <c r="AF2760">
        <v>-2.2527942018032601</v>
      </c>
      <c r="AG2760">
        <v>-1.10808005449699</v>
      </c>
      <c r="AH2760">
        <v>16.678056078536301</v>
      </c>
      <c r="AI2760">
        <v>93.767000940852895</v>
      </c>
      <c r="AJ2760">
        <v>97.692687487660393</v>
      </c>
      <c r="AK2760">
        <v>16.8659561745445</v>
      </c>
    </row>
    <row r="2761" spans="1:37" x14ac:dyDescent="0.2">
      <c r="A2761" t="str">
        <f>"20200111150646256"</f>
        <v>20200111150646256</v>
      </c>
      <c r="B2761" t="str">
        <f>"1578726406249518"</f>
        <v>1578726406249518</v>
      </c>
      <c r="C2761" t="s">
        <v>37</v>
      </c>
      <c r="D2761">
        <v>4.7586069999999996</v>
      </c>
      <c r="E2761">
        <v>0.47659430000000003</v>
      </c>
      <c r="F2761" t="s">
        <v>85</v>
      </c>
      <c r="G2761">
        <v>-191.87119999999999</v>
      </c>
      <c r="H2761" s="1">
        <v>-7.0458749999999997E-6</v>
      </c>
      <c r="I2761">
        <v>-58.479019999999998</v>
      </c>
      <c r="J2761">
        <v>-210.24189999999999</v>
      </c>
      <c r="K2761">
        <v>1.1081159999999901</v>
      </c>
      <c r="L2761">
        <v>-63.026400000000002</v>
      </c>
      <c r="M2761">
        <v>0.99453029999999998</v>
      </c>
      <c r="N2761">
        <v>0</v>
      </c>
      <c r="O2761">
        <v>0.10365139999999901</v>
      </c>
      <c r="P2761">
        <v>0.96435079999999995</v>
      </c>
      <c r="Q2761">
        <v>0.15708569999999999</v>
      </c>
      <c r="R2761">
        <v>0.21295990000000001</v>
      </c>
      <c r="S2761">
        <v>2.9781490000000002</v>
      </c>
      <c r="T2761">
        <v>-0.17804629999999999</v>
      </c>
      <c r="U2761">
        <v>0.73385619999999996</v>
      </c>
      <c r="V2761">
        <v>-0.11377709999999901</v>
      </c>
      <c r="W2761">
        <v>0.16842699999999999</v>
      </c>
      <c r="X2761">
        <v>0.97912569999999999</v>
      </c>
      <c r="Y2761">
        <v>-0.13726179999999999</v>
      </c>
      <c r="Z2761">
        <v>-2.034269E-3</v>
      </c>
      <c r="AA2761">
        <v>0.99053269999999904</v>
      </c>
      <c r="AB2761">
        <v>30</v>
      </c>
      <c r="AC2761">
        <v>18.370699999999999</v>
      </c>
      <c r="AD2761">
        <v>-1.10812304587499</v>
      </c>
      <c r="AE2761">
        <v>4.5473800000000004</v>
      </c>
      <c r="AF2761">
        <v>-2.6096286304456</v>
      </c>
      <c r="AG2761">
        <v>-1.10812304587499</v>
      </c>
      <c r="AH2761">
        <v>18.6790744056824</v>
      </c>
      <c r="AI2761">
        <v>93.362472397435695</v>
      </c>
      <c r="AJ2761">
        <v>97.953238599178306</v>
      </c>
      <c r="AK2761">
        <v>18.893012436524302</v>
      </c>
    </row>
    <row r="2762" spans="1:37" x14ac:dyDescent="0.2">
      <c r="A2762" t="str">
        <f>"20200111150646269"</f>
        <v>20200111150646269</v>
      </c>
      <c r="B2762" t="str">
        <f>"1578726406259276"</f>
        <v>1578726406259276</v>
      </c>
      <c r="C2762" t="s">
        <v>37</v>
      </c>
      <c r="D2762">
        <v>5.1708639999999999</v>
      </c>
      <c r="E2762">
        <v>0.47659430000000003</v>
      </c>
      <c r="F2762" t="s">
        <v>85</v>
      </c>
      <c r="G2762">
        <v>-193.13210000000001</v>
      </c>
      <c r="H2762" s="1">
        <v>-7.2935730000000002E-6</v>
      </c>
      <c r="I2762">
        <v>-58.177390000000003</v>
      </c>
      <c r="J2762">
        <v>-210.06290000000001</v>
      </c>
      <c r="K2762">
        <v>1.1082449999999999</v>
      </c>
      <c r="L2762">
        <v>-63.003880000000002</v>
      </c>
      <c r="M2762">
        <v>0.99407809999999897</v>
      </c>
      <c r="N2762">
        <v>0</v>
      </c>
      <c r="O2762">
        <v>0.1079006</v>
      </c>
      <c r="P2762">
        <v>0.96331599999999995</v>
      </c>
      <c r="Q2762">
        <v>0.15720110000000001</v>
      </c>
      <c r="R2762">
        <v>0.21750939999999999</v>
      </c>
      <c r="S2762">
        <v>2.9570470000000002</v>
      </c>
      <c r="T2762">
        <v>-0.1915144</v>
      </c>
      <c r="U2762">
        <v>0.83804319999999899</v>
      </c>
      <c r="V2762">
        <v>-0.1142891</v>
      </c>
      <c r="W2762">
        <v>0.16850119999999999</v>
      </c>
      <c r="X2762">
        <v>0.97905330000000002</v>
      </c>
      <c r="Y2762">
        <v>-0.16713929999999999</v>
      </c>
      <c r="Z2762">
        <v>-1.508929E-3</v>
      </c>
      <c r="AA2762">
        <v>0.98593209999999998</v>
      </c>
      <c r="AB2762">
        <v>30</v>
      </c>
      <c r="AC2762">
        <v>16.930800000000001</v>
      </c>
      <c r="AD2762">
        <v>-1.1082522935729999</v>
      </c>
      <c r="AE2762">
        <v>4.8264899999999997</v>
      </c>
      <c r="AF2762">
        <v>-2.9595835388546301</v>
      </c>
      <c r="AG2762">
        <v>-1.1082522935729999</v>
      </c>
      <c r="AH2762">
        <v>17.284268505558</v>
      </c>
      <c r="AI2762">
        <v>93.616245566109299</v>
      </c>
      <c r="AJ2762">
        <v>99.7165200297827</v>
      </c>
      <c r="AK2762">
        <v>17.570808053185701</v>
      </c>
    </row>
    <row r="2763" spans="1:37" x14ac:dyDescent="0.2">
      <c r="A2763" t="str">
        <f>"20200111150646284"</f>
        <v>20200111150646284</v>
      </c>
      <c r="B2763" t="str">
        <f>"1578726406279773"</f>
        <v>1578726406279773</v>
      </c>
      <c r="C2763" t="s">
        <v>37</v>
      </c>
      <c r="D2763">
        <v>4.7145239999999999</v>
      </c>
      <c r="E2763">
        <v>0.40478019999999998</v>
      </c>
      <c r="F2763" t="s">
        <v>85</v>
      </c>
      <c r="G2763">
        <v>-192.93639999999999</v>
      </c>
      <c r="H2763" s="1">
        <v>-7.3122239999999999E-6</v>
      </c>
      <c r="I2763">
        <v>-58.061529999999998</v>
      </c>
      <c r="J2763">
        <v>-209.87809999999999</v>
      </c>
      <c r="K2763">
        <v>1.108414</v>
      </c>
      <c r="L2763">
        <v>-62.979519999999901</v>
      </c>
      <c r="M2763">
        <v>0.99360509999999902</v>
      </c>
      <c r="N2763">
        <v>0</v>
      </c>
      <c r="O2763">
        <v>0.1121736</v>
      </c>
      <c r="P2763">
        <v>0.96211829999999998</v>
      </c>
      <c r="Q2763">
        <v>0.1576659</v>
      </c>
      <c r="R2763">
        <v>0.222418899999999</v>
      </c>
      <c r="S2763">
        <v>2.9530029999999998</v>
      </c>
      <c r="T2763">
        <v>-0.19108820000000001</v>
      </c>
      <c r="U2763">
        <v>0.85217289999999901</v>
      </c>
      <c r="V2763">
        <v>-0.11516999999999999</v>
      </c>
      <c r="W2763">
        <v>0.1688993</v>
      </c>
      <c r="X2763">
        <v>0.97888140000000001</v>
      </c>
      <c r="Y2763">
        <v>-0.16762260000000001</v>
      </c>
      <c r="Z2763">
        <v>-1.7582419999999999E-3</v>
      </c>
      <c r="AA2763">
        <v>0.98584969999999905</v>
      </c>
      <c r="AB2763">
        <v>30</v>
      </c>
      <c r="AC2763">
        <v>16.941699999999901</v>
      </c>
      <c r="AD2763">
        <v>-1.1084213122240001</v>
      </c>
      <c r="AE2763">
        <v>4.9179899999999801</v>
      </c>
      <c r="AF2763">
        <v>-2.9746329628385202</v>
      </c>
      <c r="AG2763">
        <v>-1.1084213122240001</v>
      </c>
      <c r="AH2763">
        <v>17.318102157891399</v>
      </c>
      <c r="AI2763">
        <v>93.609427776223896</v>
      </c>
      <c r="AJ2763">
        <v>99.746268252943693</v>
      </c>
      <c r="AK2763">
        <v>17.606637993102499</v>
      </c>
    </row>
    <row r="2764" spans="1:37" x14ac:dyDescent="0.2">
      <c r="A2764" t="str">
        <f>"20200111150646299"</f>
        <v>20200111150646299</v>
      </c>
      <c r="B2764" t="str">
        <f>"1578726406289533"</f>
        <v>1578726406289533</v>
      </c>
      <c r="C2764" t="s">
        <v>37</v>
      </c>
      <c r="D2764">
        <v>4.7391269999999999</v>
      </c>
      <c r="E2764">
        <v>0.40529999999999999</v>
      </c>
      <c r="F2764" t="s">
        <v>85</v>
      </c>
      <c r="G2764">
        <v>-189.8972</v>
      </c>
      <c r="H2764" s="1">
        <v>-1.0576710000000001E-5</v>
      </c>
      <c r="I2764">
        <v>-52.867690000000003</v>
      </c>
      <c r="J2764">
        <v>-209.68029999999999</v>
      </c>
      <c r="K2764">
        <v>1.10859</v>
      </c>
      <c r="L2764">
        <v>-62.952579999999998</v>
      </c>
      <c r="M2764">
        <v>0.99307999999999996</v>
      </c>
      <c r="N2764">
        <v>0</v>
      </c>
      <c r="O2764">
        <v>0.1167299</v>
      </c>
      <c r="P2764">
        <v>0.96104389999999995</v>
      </c>
      <c r="Q2764">
        <v>0.157607</v>
      </c>
      <c r="R2764">
        <v>0.227056799999999</v>
      </c>
      <c r="S2764">
        <v>2.814438</v>
      </c>
      <c r="T2764">
        <v>-0.15612879999999901</v>
      </c>
      <c r="U2764">
        <v>1.4243159999999999</v>
      </c>
      <c r="V2764">
        <v>-0.1154847</v>
      </c>
      <c r="W2764">
        <v>0.1687767</v>
      </c>
      <c r="X2764">
        <v>0.97886550000000006</v>
      </c>
      <c r="Y2764">
        <v>-0.34402169999999999</v>
      </c>
      <c r="Z2764">
        <v>2.9420279999999902E-3</v>
      </c>
      <c r="AA2764">
        <v>0.93895709999999999</v>
      </c>
      <c r="AB2764">
        <v>30</v>
      </c>
      <c r="AC2764">
        <v>19.783099999999902</v>
      </c>
      <c r="AD2764">
        <v>-1.10860057671</v>
      </c>
      <c r="AE2764">
        <v>10.08489</v>
      </c>
      <c r="AF2764">
        <v>-7.6873032271430697</v>
      </c>
      <c r="AG2764">
        <v>-1.10860057671</v>
      </c>
      <c r="AH2764">
        <v>20.773362508950399</v>
      </c>
      <c r="AI2764">
        <v>92.865231238191399</v>
      </c>
      <c r="AJ2764">
        <v>110.307285650593</v>
      </c>
      <c r="AK2764">
        <v>22.177831635960001</v>
      </c>
    </row>
    <row r="2765" spans="1:37" x14ac:dyDescent="0.2">
      <c r="A2765" t="str">
        <f>"20200111150646310"</f>
        <v>20200111150646310</v>
      </c>
      <c r="B2765" t="str">
        <f>"1578726406299293"</f>
        <v>1578726406299293</v>
      </c>
      <c r="C2765" t="s">
        <v>37</v>
      </c>
      <c r="D2765">
        <v>4.8028719999999998</v>
      </c>
      <c r="E2765">
        <v>0.40489179999999902</v>
      </c>
      <c r="F2765" t="s">
        <v>85</v>
      </c>
      <c r="G2765">
        <v>-190.74610000000001</v>
      </c>
      <c r="H2765" s="1">
        <v>-8.8206309999999997E-6</v>
      </c>
      <c r="I2765">
        <v>-53.288379999999997</v>
      </c>
      <c r="J2765">
        <v>-209.53659999999999</v>
      </c>
      <c r="K2765">
        <v>1.108711</v>
      </c>
      <c r="L2765">
        <v>-62.932340000000003</v>
      </c>
      <c r="M2765">
        <v>0.99268310000000004</v>
      </c>
      <c r="N2765">
        <v>0</v>
      </c>
      <c r="O2765">
        <v>0.12005879999999999</v>
      </c>
      <c r="P2765">
        <v>0.96023359999999902</v>
      </c>
      <c r="Q2765">
        <v>0.15752849999999999</v>
      </c>
      <c r="R2765">
        <v>0.23051340000000001</v>
      </c>
      <c r="S2765">
        <v>2.8097379999999998</v>
      </c>
      <c r="T2765">
        <v>-0.16451009999999999</v>
      </c>
      <c r="U2765">
        <v>1.434113</v>
      </c>
      <c r="V2765">
        <v>-0.1157789</v>
      </c>
      <c r="W2765">
        <v>0.16865539999999901</v>
      </c>
      <c r="X2765">
        <v>0.97885169999999999</v>
      </c>
      <c r="Y2765">
        <v>-0.34408119999999998</v>
      </c>
      <c r="Z2765">
        <v>2.9240409999999901E-3</v>
      </c>
      <c r="AA2765">
        <v>0.93893530000000003</v>
      </c>
      <c r="AB2765">
        <v>30</v>
      </c>
      <c r="AC2765">
        <v>18.790499999999899</v>
      </c>
      <c r="AD2765">
        <v>-1.1087198206310001</v>
      </c>
      <c r="AE2765">
        <v>9.6439599999999999</v>
      </c>
      <c r="AF2765">
        <v>-7.2979287362574103</v>
      </c>
      <c r="AG2765">
        <v>-1.1087198206310001</v>
      </c>
      <c r="AH2765">
        <v>19.758053967609101</v>
      </c>
      <c r="AI2765">
        <v>93.013201881353197</v>
      </c>
      <c r="AJ2765">
        <v>110.27245290118999</v>
      </c>
      <c r="AK2765">
        <v>21.091934953130899</v>
      </c>
    </row>
    <row r="2766" spans="1:37" x14ac:dyDescent="0.2">
      <c r="A2766" t="str">
        <f>"20200111150646320"</f>
        <v>20200111150646320</v>
      </c>
      <c r="B2766" t="str">
        <f>"1578726406309053"</f>
        <v>1578726406309053</v>
      </c>
      <c r="C2766" t="s">
        <v>37</v>
      </c>
      <c r="D2766">
        <v>4.7644849999999996</v>
      </c>
      <c r="E2766">
        <v>0.40497559999999999</v>
      </c>
      <c r="F2766" t="s">
        <v>85</v>
      </c>
      <c r="G2766">
        <v>-190.33019999999999</v>
      </c>
      <c r="H2766" s="1">
        <v>-8.877128E-6</v>
      </c>
      <c r="I2766">
        <v>-53.018729999999998</v>
      </c>
      <c r="J2766">
        <v>-209.39500000000001</v>
      </c>
      <c r="K2766">
        <v>1.1088039999999999</v>
      </c>
      <c r="L2766">
        <v>-62.911650000000002</v>
      </c>
      <c r="M2766">
        <v>0.99226879999999995</v>
      </c>
      <c r="N2766">
        <v>0</v>
      </c>
      <c r="O2766">
        <v>0.1234363</v>
      </c>
      <c r="P2766">
        <v>0.95941290000000001</v>
      </c>
      <c r="Q2766">
        <v>0.15777669999999999</v>
      </c>
      <c r="R2766">
        <v>0.233738099999999</v>
      </c>
      <c r="S2766">
        <v>2.8034209999999899</v>
      </c>
      <c r="T2766">
        <v>-0.16183220000000001</v>
      </c>
      <c r="U2766">
        <v>1.4470209999999999</v>
      </c>
      <c r="V2766">
        <v>-0.1157866</v>
      </c>
      <c r="W2766">
        <v>0.16887260000000001</v>
      </c>
      <c r="X2766">
        <v>0.9788133</v>
      </c>
      <c r="Y2766">
        <v>-0.34517509999999901</v>
      </c>
      <c r="Z2766">
        <v>2.7298959999999999E-3</v>
      </c>
      <c r="AA2766">
        <v>0.93853430000000004</v>
      </c>
      <c r="AB2766">
        <v>30</v>
      </c>
      <c r="AC2766">
        <v>19.064800000000002</v>
      </c>
      <c r="AD2766">
        <v>-1.1088128771279999</v>
      </c>
      <c r="AE2766">
        <v>9.8929199999999895</v>
      </c>
      <c r="AF2766">
        <v>-7.4439292664407599</v>
      </c>
      <c r="AG2766">
        <v>-1.1088128771279999</v>
      </c>
      <c r="AH2766">
        <v>20.086693233401402</v>
      </c>
      <c r="AI2766">
        <v>92.963060041077696</v>
      </c>
      <c r="AJ2766">
        <v>110.33420599901299</v>
      </c>
      <c r="AK2766">
        <v>21.4503331902567</v>
      </c>
    </row>
    <row r="2767" spans="1:37" x14ac:dyDescent="0.2">
      <c r="A2767" t="str">
        <f>"20200111150646332"</f>
        <v>20200111150646332</v>
      </c>
      <c r="B2767" t="str">
        <f>"1578726406329551"</f>
        <v>1578726406329551</v>
      </c>
      <c r="C2767" t="s">
        <v>37</v>
      </c>
      <c r="D2767">
        <v>4.7272460000000001</v>
      </c>
      <c r="E2767">
        <v>0.405281</v>
      </c>
      <c r="F2767" t="s">
        <v>85</v>
      </c>
      <c r="G2767">
        <v>-189.91460000000001</v>
      </c>
      <c r="H2767" s="1">
        <v>-1.054566E-5</v>
      </c>
      <c r="I2767">
        <v>-52.779249999999998</v>
      </c>
      <c r="J2767">
        <v>-209.2457</v>
      </c>
      <c r="K2767">
        <v>1.1088910000000001</v>
      </c>
      <c r="L2767">
        <v>-62.889559999999904</v>
      </c>
      <c r="M2767">
        <v>0.99181540000000001</v>
      </c>
      <c r="N2767">
        <v>0</v>
      </c>
      <c r="O2767">
        <v>0.12702949999999999</v>
      </c>
      <c r="P2767">
        <v>0.95855330000000005</v>
      </c>
      <c r="Q2767">
        <v>0.15808989999999901</v>
      </c>
      <c r="R2767">
        <v>0.23703070000000001</v>
      </c>
      <c r="S2767">
        <v>2.798508</v>
      </c>
      <c r="T2767">
        <v>-0.15928970000000001</v>
      </c>
      <c r="U2767">
        <v>1.455597</v>
      </c>
      <c r="V2767">
        <v>-0.11565350000000001</v>
      </c>
      <c r="W2767">
        <v>0.16915639999999901</v>
      </c>
      <c r="X2767">
        <v>0.97877999999999898</v>
      </c>
      <c r="Y2767">
        <v>-0.34472750000000002</v>
      </c>
      <c r="Z2767">
        <v>2.4896689999999999E-3</v>
      </c>
      <c r="AA2767">
        <v>0.93869950000000002</v>
      </c>
      <c r="AB2767">
        <v>30</v>
      </c>
      <c r="AC2767">
        <v>19.3310999999999</v>
      </c>
      <c r="AD2767">
        <v>-1.10890154566</v>
      </c>
      <c r="AE2767">
        <v>10.110309999999901</v>
      </c>
      <c r="AF2767">
        <v>-7.5530529845605896</v>
      </c>
      <c r="AG2767">
        <v>-1.10890154566</v>
      </c>
      <c r="AH2767">
        <v>20.4061598487183</v>
      </c>
      <c r="AI2767">
        <v>92.917416467892096</v>
      </c>
      <c r="AJ2767">
        <v>110.311323880091</v>
      </c>
      <c r="AK2767">
        <v>21.7873732192982</v>
      </c>
    </row>
    <row r="2768" spans="1:37" x14ac:dyDescent="0.2">
      <c r="A2768" t="str">
        <f>"20200111150646343"</f>
        <v>20200111150646343</v>
      </c>
      <c r="B2768" t="str">
        <f>"1578726406339309"</f>
        <v>1578726406339309</v>
      </c>
      <c r="C2768" t="s">
        <v>37</v>
      </c>
      <c r="D2768">
        <v>4.7024530000000002</v>
      </c>
      <c r="E2768">
        <v>0.40582199999999902</v>
      </c>
      <c r="F2768" t="s">
        <v>85</v>
      </c>
      <c r="G2768">
        <v>-189.86789999999999</v>
      </c>
      <c r="H2768" s="1">
        <v>-1.054553E-5</v>
      </c>
      <c r="I2768">
        <v>-52.745269999999998</v>
      </c>
      <c r="J2768">
        <v>-209.1053</v>
      </c>
      <c r="K2768">
        <v>1.1089560000000001</v>
      </c>
      <c r="L2768">
        <v>-62.867829999999998</v>
      </c>
      <c r="M2768">
        <v>0.99135609999999996</v>
      </c>
      <c r="N2768">
        <v>0</v>
      </c>
      <c r="O2768">
        <v>0.1305644</v>
      </c>
      <c r="P2768">
        <v>0.95769819999999894</v>
      </c>
      <c r="Q2768">
        <v>0.15880749999999999</v>
      </c>
      <c r="R2768">
        <v>0.23998839999999999</v>
      </c>
      <c r="S2768">
        <v>2.79437299999999</v>
      </c>
      <c r="T2768">
        <v>-0.15990950000000001</v>
      </c>
      <c r="U2768">
        <v>1.46286</v>
      </c>
      <c r="V2768">
        <v>-0.1152371</v>
      </c>
      <c r="W2768">
        <v>0.16985710000000001</v>
      </c>
      <c r="X2768">
        <v>0.97870780000000002</v>
      </c>
      <c r="Y2768">
        <v>-0.34387009999999901</v>
      </c>
      <c r="Z2768">
        <v>2.2926639999999998E-3</v>
      </c>
      <c r="AA2768">
        <v>0.93901440000000003</v>
      </c>
      <c r="AB2768">
        <v>30</v>
      </c>
      <c r="AC2768">
        <v>19.237400000000001</v>
      </c>
      <c r="AD2768">
        <v>-1.10896654553</v>
      </c>
      <c r="AE2768">
        <v>10.12256</v>
      </c>
      <c r="AF2768">
        <v>-7.5044361276865503</v>
      </c>
      <c r="AG2768">
        <v>-1.10896654553</v>
      </c>
      <c r="AH2768">
        <v>20.341513540481198</v>
      </c>
      <c r="AI2768">
        <v>92.927996523942596</v>
      </c>
      <c r="AJ2768">
        <v>110.250137818783</v>
      </c>
      <c r="AK2768">
        <v>21.709987137518301</v>
      </c>
    </row>
    <row r="2769" spans="1:37" x14ac:dyDescent="0.2">
      <c r="A2769" t="str">
        <f>"20200111150646354"</f>
        <v>20200111150646354</v>
      </c>
      <c r="B2769" t="str">
        <f>"1578726406349069"</f>
        <v>1578726406349069</v>
      </c>
      <c r="C2769" t="s">
        <v>37</v>
      </c>
      <c r="D2769">
        <v>4.7132509999999996</v>
      </c>
      <c r="E2769">
        <v>0.40643889999999999</v>
      </c>
      <c r="F2769" t="s">
        <v>85</v>
      </c>
      <c r="G2769">
        <v>-189.8048</v>
      </c>
      <c r="H2769" s="1">
        <v>-1.055152E-5</v>
      </c>
      <c r="I2769">
        <v>-52.719329999999999</v>
      </c>
      <c r="J2769">
        <v>-208.9597</v>
      </c>
      <c r="K2769">
        <v>1.109005</v>
      </c>
      <c r="L2769">
        <v>-62.845059999999997</v>
      </c>
      <c r="M2769">
        <v>0.99085219999999896</v>
      </c>
      <c r="N2769">
        <v>0</v>
      </c>
      <c r="O2769">
        <v>0.134339299999999</v>
      </c>
      <c r="P2769">
        <v>0.95679829999999999</v>
      </c>
      <c r="Q2769">
        <v>0.15919849999999999</v>
      </c>
      <c r="R2769">
        <v>0.2432967</v>
      </c>
      <c r="S2769">
        <v>2.7913060000000001</v>
      </c>
      <c r="T2769">
        <v>-0.16038269999999999</v>
      </c>
      <c r="U2769">
        <v>1.4677119999999999</v>
      </c>
      <c r="V2769">
        <v>-0.11492910000000001</v>
      </c>
      <c r="W2769">
        <v>0.170202399999999</v>
      </c>
      <c r="X2769">
        <v>0.978684</v>
      </c>
      <c r="Y2769">
        <v>-0.34200219999999998</v>
      </c>
      <c r="Z2769">
        <v>2.0517140000000001E-3</v>
      </c>
      <c r="AA2769">
        <v>0.93969689999999995</v>
      </c>
      <c r="AB2769">
        <v>30</v>
      </c>
      <c r="AC2769">
        <v>19.154900000000001</v>
      </c>
      <c r="AD2769">
        <v>-1.10901555152</v>
      </c>
      <c r="AE2769">
        <v>10.1257299999999</v>
      </c>
      <c r="AF2769">
        <v>-7.4409659872871101</v>
      </c>
      <c r="AG2769">
        <v>-1.10901555152</v>
      </c>
      <c r="AH2769">
        <v>20.288480218094701</v>
      </c>
      <c r="AI2769">
        <v>92.937821850330096</v>
      </c>
      <c r="AJ2769">
        <v>110.140924995731</v>
      </c>
      <c r="AK2769">
        <v>21.638399198588999</v>
      </c>
    </row>
    <row r="2770" spans="1:37" x14ac:dyDescent="0.2">
      <c r="A2770" t="str">
        <f>"20200111150646366"</f>
        <v>20200111150646366</v>
      </c>
      <c r="B2770" t="str">
        <f>"1578726406358829"</f>
        <v>1578726406358829</v>
      </c>
      <c r="C2770" t="s">
        <v>37</v>
      </c>
      <c r="D2770">
        <v>4.6971800000000004</v>
      </c>
      <c r="E2770">
        <v>0.40688449999999998</v>
      </c>
      <c r="F2770" t="s">
        <v>85</v>
      </c>
      <c r="G2770">
        <v>-190.03630000000001</v>
      </c>
      <c r="H2770" s="1">
        <v>-8.9093100000000003E-6</v>
      </c>
      <c r="I2770">
        <v>-52.84948</v>
      </c>
      <c r="J2770">
        <v>-208.7936</v>
      </c>
      <c r="K2770">
        <v>1.1089739999999999</v>
      </c>
      <c r="L2770">
        <v>-62.818330000000003</v>
      </c>
      <c r="M2770">
        <v>0.99019059999999903</v>
      </c>
      <c r="N2770">
        <v>0</v>
      </c>
      <c r="O2770">
        <v>0.13914760000000001</v>
      </c>
      <c r="P2770">
        <v>0.95558509999999997</v>
      </c>
      <c r="Q2770">
        <v>0.15967319999999999</v>
      </c>
      <c r="R2770">
        <v>0.24771299999999999</v>
      </c>
      <c r="S2770">
        <v>2.7881619999999998</v>
      </c>
      <c r="T2770">
        <v>-0.16340209999999999</v>
      </c>
      <c r="U2770">
        <v>1.4727479999999999</v>
      </c>
      <c r="V2770">
        <v>-0.11471779999999999</v>
      </c>
      <c r="W2770">
        <v>0.17050079999999901</v>
      </c>
      <c r="X2770">
        <v>0.97865689999999905</v>
      </c>
      <c r="Y2770">
        <v>-0.33920400000000001</v>
      </c>
      <c r="Z2770">
        <v>1.7568309999999999E-3</v>
      </c>
      <c r="AA2770">
        <v>0.94071119999999997</v>
      </c>
      <c r="AB2770">
        <v>30</v>
      </c>
      <c r="AC2770">
        <v>18.757299999999901</v>
      </c>
      <c r="AD2770">
        <v>-1.1089829093100001</v>
      </c>
      <c r="AE2770">
        <v>9.9688499999999909</v>
      </c>
      <c r="AF2770">
        <v>-7.2418724658060096</v>
      </c>
      <c r="AG2770">
        <v>-1.1089829093100001</v>
      </c>
      <c r="AH2770">
        <v>19.9077846704288</v>
      </c>
      <c r="AI2770">
        <v>92.996690752996699</v>
      </c>
      <c r="AJ2770">
        <v>109.989913632816</v>
      </c>
      <c r="AK2770">
        <v>21.213072629590901</v>
      </c>
    </row>
    <row r="2771" spans="1:37" x14ac:dyDescent="0.2">
      <c r="A2771" t="str">
        <f>"20200111150646378"</f>
        <v>20200111150646378</v>
      </c>
      <c r="B2771" t="str">
        <f>"1578726406369567"</f>
        <v>1578726406369567</v>
      </c>
      <c r="C2771" t="s">
        <v>37</v>
      </c>
      <c r="D2771">
        <v>4.7048519999999998</v>
      </c>
      <c r="E2771">
        <v>0.40725240000000001</v>
      </c>
      <c r="F2771" t="s">
        <v>85</v>
      </c>
      <c r="G2771">
        <v>-189.85159999999999</v>
      </c>
      <c r="H2771" s="1">
        <v>-1.054437E-5</v>
      </c>
      <c r="I2771">
        <v>-52.729750000000003</v>
      </c>
      <c r="J2771">
        <v>-208.64529999999999</v>
      </c>
      <c r="K2771">
        <v>1.109016</v>
      </c>
      <c r="L2771">
        <v>-62.793759999999999</v>
      </c>
      <c r="M2771">
        <v>0.98960149999999902</v>
      </c>
      <c r="N2771">
        <v>0</v>
      </c>
      <c r="O2771">
        <v>0.14328179999999999</v>
      </c>
      <c r="P2771">
        <v>0.95465580000000005</v>
      </c>
      <c r="Q2771">
        <v>0.15973660000000001</v>
      </c>
      <c r="R2771">
        <v>0.25122990000000001</v>
      </c>
      <c r="S2771">
        <v>2.782486</v>
      </c>
      <c r="T2771">
        <v>-0.16290450000000001</v>
      </c>
      <c r="U2771">
        <v>1.4819639999999901</v>
      </c>
      <c r="V2771">
        <v>-0.1142618</v>
      </c>
      <c r="W2771">
        <v>0.17050409999999999</v>
      </c>
      <c r="X2771">
        <v>0.97870959999999996</v>
      </c>
      <c r="Y2771">
        <v>-0.33850599999999997</v>
      </c>
      <c r="Z2771">
        <v>1.5135019999999999E-3</v>
      </c>
      <c r="AA2771">
        <v>0.94096299999999899</v>
      </c>
      <c r="AB2771">
        <v>30</v>
      </c>
      <c r="AC2771">
        <v>18.793700000000001</v>
      </c>
      <c r="AD2771">
        <v>-1.10902654437</v>
      </c>
      <c r="AE2771">
        <v>10.0640099999999</v>
      </c>
      <c r="AF2771">
        <v>-7.2475293456682</v>
      </c>
      <c r="AG2771">
        <v>-1.10902654437</v>
      </c>
      <c r="AH2771">
        <v>19.987767387346501</v>
      </c>
      <c r="AI2771">
        <v>92.985959441128102</v>
      </c>
      <c r="AJ2771">
        <v>109.930555669923</v>
      </c>
      <c r="AK2771">
        <v>21.2900790656849</v>
      </c>
    </row>
    <row r="2772" spans="1:37" x14ac:dyDescent="0.2">
      <c r="A2772" t="str">
        <f>"20200111150646391"</f>
        <v>20200111150646391</v>
      </c>
      <c r="B2772" t="str">
        <f>"1578726406379325"</f>
        <v>1578726406379325</v>
      </c>
      <c r="C2772" t="s">
        <v>37</v>
      </c>
      <c r="D2772">
        <v>4.7365779999999997</v>
      </c>
      <c r="E2772">
        <v>0.4076958</v>
      </c>
      <c r="F2772" t="s">
        <v>85</v>
      </c>
      <c r="G2772">
        <v>-190.13800000000001</v>
      </c>
      <c r="H2772" s="1">
        <v>-8.9111059999999999E-6</v>
      </c>
      <c r="I2772">
        <v>-52.8724699999999</v>
      </c>
      <c r="J2772">
        <v>-208.48699999999999</v>
      </c>
      <c r="K2772">
        <v>1.1091200000000001</v>
      </c>
      <c r="L2772">
        <v>-62.767090000000003</v>
      </c>
      <c r="M2772">
        <v>0.98897199999999996</v>
      </c>
      <c r="N2772">
        <v>0</v>
      </c>
      <c r="O2772">
        <v>0.14756169999999999</v>
      </c>
      <c r="P2772">
        <v>0.95367739999999901</v>
      </c>
      <c r="Q2772">
        <v>0.15964139999999999</v>
      </c>
      <c r="R2772">
        <v>0.25497889999999901</v>
      </c>
      <c r="S2772">
        <v>2.7783660000000001</v>
      </c>
      <c r="T2772">
        <v>-0.16648979999999999</v>
      </c>
      <c r="U2772">
        <v>1.4894099999999999</v>
      </c>
      <c r="V2772">
        <v>-0.1139172</v>
      </c>
      <c r="W2772">
        <v>0.17041909999999999</v>
      </c>
      <c r="X2772">
        <v>0.97876469999999904</v>
      </c>
      <c r="Y2772">
        <v>-0.33697120000000003</v>
      </c>
      <c r="Z2772">
        <v>1.271285E-3</v>
      </c>
      <c r="AA2772">
        <v>0.94151409999999902</v>
      </c>
      <c r="AB2772">
        <v>30</v>
      </c>
      <c r="AC2772">
        <v>18.348999999999901</v>
      </c>
      <c r="AD2772">
        <v>-1.1091289111060001</v>
      </c>
      <c r="AE2772">
        <v>9.8946200000000104</v>
      </c>
      <c r="AF2772">
        <v>-7.0584785125390397</v>
      </c>
      <c r="AG2772">
        <v>-1.1091289111060001</v>
      </c>
      <c r="AH2772">
        <v>19.552934827024</v>
      </c>
      <c r="AI2772">
        <v>93.054085164319204</v>
      </c>
      <c r="AJ2772">
        <v>109.84924285900399</v>
      </c>
      <c r="AK2772">
        <v>20.817529781491199</v>
      </c>
    </row>
    <row r="2773" spans="1:37" x14ac:dyDescent="0.2">
      <c r="A2773" t="str">
        <f>"20200111150646404"</f>
        <v>20200111150646404</v>
      </c>
      <c r="B2773" t="str">
        <f>"1578726406399822"</f>
        <v>1578726406399822</v>
      </c>
      <c r="C2773" t="s">
        <v>37</v>
      </c>
      <c r="D2773">
        <v>4.6986540000000003</v>
      </c>
      <c r="E2773">
        <v>0.40838659999999999</v>
      </c>
      <c r="F2773" t="s">
        <v>85</v>
      </c>
      <c r="G2773">
        <v>-190.40119999999999</v>
      </c>
      <c r="H2773" s="1">
        <v>-8.8883299999999997E-6</v>
      </c>
      <c r="I2773">
        <v>-53.007419999999897</v>
      </c>
      <c r="J2773">
        <v>-208.31630000000001</v>
      </c>
      <c r="K2773">
        <v>1.109307</v>
      </c>
      <c r="L2773">
        <v>-62.737090000000002</v>
      </c>
      <c r="M2773">
        <v>0.98829519999999904</v>
      </c>
      <c r="N2773">
        <v>0</v>
      </c>
      <c r="O2773">
        <v>0.1520195</v>
      </c>
      <c r="P2773">
        <v>0.95274799999999904</v>
      </c>
      <c r="Q2773">
        <v>0.1592587</v>
      </c>
      <c r="R2773">
        <v>0.25866610000000001</v>
      </c>
      <c r="S2773">
        <v>2.7739720000000001</v>
      </c>
      <c r="T2773">
        <v>-0.17011579999999901</v>
      </c>
      <c r="U2773">
        <v>1.496918</v>
      </c>
      <c r="V2773">
        <v>-0.11335530000000001</v>
      </c>
      <c r="W2773">
        <v>0.170088299999999</v>
      </c>
      <c r="X2773">
        <v>0.97888739999999996</v>
      </c>
      <c r="Y2773">
        <v>-0.33531919999999998</v>
      </c>
      <c r="Z2773">
        <v>1.004135E-3</v>
      </c>
      <c r="AA2773">
        <v>0.94210400000000005</v>
      </c>
      <c r="AB2773">
        <v>30</v>
      </c>
      <c r="AC2773">
        <v>17.915099999999999</v>
      </c>
      <c r="AD2773">
        <v>-1.1093158883299901</v>
      </c>
      <c r="AE2773">
        <v>9.7296700000000005</v>
      </c>
      <c r="AF2773">
        <v>-6.8725536467217303</v>
      </c>
      <c r="AG2773">
        <v>-1.1093158883299901</v>
      </c>
      <c r="AH2773">
        <v>19.129428034675101</v>
      </c>
      <c r="AI2773">
        <v>93.123808719870496</v>
      </c>
      <c r="AJ2773">
        <v>109.76163903611599</v>
      </c>
      <c r="AK2773">
        <v>20.356757902499702</v>
      </c>
    </row>
    <row r="2774" spans="1:37" x14ac:dyDescent="0.2">
      <c r="A2774" t="str">
        <f>"20200111150646420"</f>
        <v>20200111150646420</v>
      </c>
      <c r="B2774" t="str">
        <f>"1578726406409581"</f>
        <v>1578726406409581</v>
      </c>
      <c r="C2774" t="s">
        <v>37</v>
      </c>
      <c r="D2774">
        <v>4.7024710000000001</v>
      </c>
      <c r="E2774">
        <v>0.4087054</v>
      </c>
      <c r="F2774" t="s">
        <v>85</v>
      </c>
      <c r="G2774">
        <v>-190.88489999999999</v>
      </c>
      <c r="H2774" s="1">
        <v>-8.8367010000000007E-6</v>
      </c>
      <c r="I2774">
        <v>-53.282330000000002</v>
      </c>
      <c r="J2774">
        <v>-208.1139</v>
      </c>
      <c r="K2774">
        <v>1.1095159999999999</v>
      </c>
      <c r="L2774">
        <v>-62.700530000000001</v>
      </c>
      <c r="M2774">
        <v>0.98746100000000003</v>
      </c>
      <c r="N2774">
        <v>0</v>
      </c>
      <c r="O2774">
        <v>0.15734129999999999</v>
      </c>
      <c r="P2774">
        <v>0.95165509999999998</v>
      </c>
      <c r="Q2774">
        <v>0.15883829999999999</v>
      </c>
      <c r="R2774">
        <v>0.26291310000000001</v>
      </c>
      <c r="S2774">
        <v>2.77034</v>
      </c>
      <c r="T2774">
        <v>-0.17630119999999999</v>
      </c>
      <c r="U2774">
        <v>1.5026250000000001</v>
      </c>
      <c r="V2774">
        <v>-0.1125275</v>
      </c>
      <c r="W2774">
        <v>0.16969400000000001</v>
      </c>
      <c r="X2774">
        <v>0.97905140000000002</v>
      </c>
      <c r="Y2774">
        <v>-0.33225260000000001</v>
      </c>
      <c r="Z2774">
        <v>6.4275409999999997E-4</v>
      </c>
      <c r="AA2774">
        <v>0.94319019999999998</v>
      </c>
      <c r="AB2774">
        <v>30</v>
      </c>
      <c r="AC2774">
        <v>17.228999999999999</v>
      </c>
      <c r="AD2774">
        <v>-1.109524836701</v>
      </c>
      <c r="AE2774">
        <v>9.4182000000000006</v>
      </c>
      <c r="AF2774">
        <v>-6.5688394015182103</v>
      </c>
      <c r="AG2774">
        <v>-1.109524836701</v>
      </c>
      <c r="AH2774">
        <v>18.4374871589241</v>
      </c>
      <c r="AI2774">
        <v>93.244474558177998</v>
      </c>
      <c r="AJ2774">
        <v>109.60977759332999</v>
      </c>
      <c r="AK2774">
        <v>19.604122759809599</v>
      </c>
    </row>
    <row r="2775" spans="1:37" x14ac:dyDescent="0.2">
      <c r="A2775" t="str">
        <f>"20200111150646433"</f>
        <v>20200111150646433</v>
      </c>
      <c r="B2775" t="str">
        <f>"1578726406429101"</f>
        <v>1578726406429101</v>
      </c>
      <c r="C2775" t="s">
        <v>37</v>
      </c>
      <c r="D2775">
        <v>4.738613</v>
      </c>
      <c r="E2775">
        <v>0.40924479999999902</v>
      </c>
      <c r="F2775" t="s">
        <v>85</v>
      </c>
      <c r="G2775">
        <v>-191.04</v>
      </c>
      <c r="H2775" s="1">
        <v>-8.8242019999999998E-6</v>
      </c>
      <c r="I2775">
        <v>-53.359310000000001</v>
      </c>
      <c r="J2775">
        <v>-207.94309999999999</v>
      </c>
      <c r="K2775">
        <v>1.1096790000000001</v>
      </c>
      <c r="L2775">
        <v>-62.668819999999997</v>
      </c>
      <c r="M2775">
        <v>0.9867243</v>
      </c>
      <c r="N2775">
        <v>0</v>
      </c>
      <c r="O2775">
        <v>0.1618957</v>
      </c>
      <c r="P2775">
        <v>0.95054969999999905</v>
      </c>
      <c r="Q2775">
        <v>0.15880269999999999</v>
      </c>
      <c r="R2775">
        <v>0.26690259999999999</v>
      </c>
      <c r="S2775">
        <v>2.764526</v>
      </c>
      <c r="T2775">
        <v>-0.17964849999999999</v>
      </c>
      <c r="U2775">
        <v>1.5124819999999899</v>
      </c>
      <c r="V2775">
        <v>-0.112193499999999</v>
      </c>
      <c r="W2775">
        <v>0.1696329</v>
      </c>
      <c r="X2775">
        <v>0.97910019999999998</v>
      </c>
      <c r="Y2775">
        <v>-0.33132209999999901</v>
      </c>
      <c r="Z2775">
        <v>3.59852799999999E-4</v>
      </c>
      <c r="AA2775">
        <v>0.94351759999999996</v>
      </c>
      <c r="AB2775">
        <v>30</v>
      </c>
      <c r="AC2775">
        <v>16.903099999999899</v>
      </c>
      <c r="AD2775">
        <v>-1.1096878242020001</v>
      </c>
      <c r="AE2775">
        <v>9.3095099999999906</v>
      </c>
      <c r="AF2775">
        <v>-6.4286539390022703</v>
      </c>
      <c r="AG2775">
        <v>-1.1096878242020001</v>
      </c>
      <c r="AH2775">
        <v>18.127424610441999</v>
      </c>
      <c r="AI2775">
        <v>93.302036207292801</v>
      </c>
      <c r="AJ2775">
        <v>109.526385272845</v>
      </c>
      <c r="AK2775">
        <v>19.265578671347701</v>
      </c>
    </row>
    <row r="2776" spans="1:37" x14ac:dyDescent="0.2">
      <c r="A2776" t="str">
        <f>"20200111150646450"</f>
        <v>20200111150646450</v>
      </c>
      <c r="B2776" t="str">
        <f>"1578726406438861"</f>
        <v>1578726406438861</v>
      </c>
      <c r="C2776" t="s">
        <v>37</v>
      </c>
      <c r="D2776">
        <v>4.7186430000000001</v>
      </c>
      <c r="E2776">
        <v>0.40953020000000001</v>
      </c>
      <c r="F2776" t="s">
        <v>85</v>
      </c>
      <c r="G2776">
        <v>-191.03870000000001</v>
      </c>
      <c r="H2776" s="1">
        <v>-8.8246610000000004E-6</v>
      </c>
      <c r="I2776">
        <v>-53.357700000000001</v>
      </c>
      <c r="J2776">
        <v>-207.72099999999901</v>
      </c>
      <c r="K2776">
        <v>1.1098219999999901</v>
      </c>
      <c r="L2776">
        <v>-62.62585</v>
      </c>
      <c r="M2776">
        <v>0.98569039999999997</v>
      </c>
      <c r="N2776">
        <v>0</v>
      </c>
      <c r="O2776">
        <v>0.16807929999999999</v>
      </c>
      <c r="P2776">
        <v>0.9488721</v>
      </c>
      <c r="Q2776">
        <v>0.15884210000000001</v>
      </c>
      <c r="R2776">
        <v>0.27278370000000002</v>
      </c>
      <c r="S2776">
        <v>2.7595519999999998</v>
      </c>
      <c r="T2776">
        <v>-0.18115059999999999</v>
      </c>
      <c r="U2776">
        <v>1.519989</v>
      </c>
      <c r="V2776">
        <v>-0.112193899999999</v>
      </c>
      <c r="W2776">
        <v>0.1695864</v>
      </c>
      <c r="X2776">
        <v>0.97910830000000004</v>
      </c>
      <c r="Y2776">
        <v>-0.32810259999999902</v>
      </c>
      <c r="Z2776">
        <v>-1.0183079999999999E-4</v>
      </c>
      <c r="AA2776">
        <v>0.94464210000000004</v>
      </c>
      <c r="AB2776">
        <v>30</v>
      </c>
      <c r="AC2776">
        <v>16.682299999999898</v>
      </c>
      <c r="AD2776">
        <v>-1.10983082466099</v>
      </c>
      <c r="AE2776">
        <v>9.2681500000000003</v>
      </c>
      <c r="AF2776">
        <v>-6.31075264535865</v>
      </c>
      <c r="AG2776">
        <v>-1.10983082466099</v>
      </c>
      <c r="AH2776">
        <v>17.942160708246501</v>
      </c>
      <c r="AI2776">
        <v>93.339526692810196</v>
      </c>
      <c r="AJ2776">
        <v>109.378179217097</v>
      </c>
      <c r="AK2776">
        <v>19.051993446640001</v>
      </c>
    </row>
    <row r="2777" spans="1:37" x14ac:dyDescent="0.2">
      <c r="A2777" t="str">
        <f>"20200111150646466"</f>
        <v>20200111150646466</v>
      </c>
      <c r="B2777" t="str">
        <f>"1578726406459357"</f>
        <v>1578726406459357</v>
      </c>
      <c r="C2777" t="s">
        <v>37</v>
      </c>
      <c r="D2777">
        <v>4.7456589999999998</v>
      </c>
      <c r="E2777">
        <v>0.41011110000000001</v>
      </c>
      <c r="F2777" t="s">
        <v>85</v>
      </c>
      <c r="G2777">
        <v>-191.03799999999899</v>
      </c>
      <c r="H2777" s="1">
        <v>-8.8396850000000001E-6</v>
      </c>
      <c r="I2777">
        <v>-53.316189999999999</v>
      </c>
      <c r="J2777">
        <v>-207.53190000000001</v>
      </c>
      <c r="K2777">
        <v>1.109901</v>
      </c>
      <c r="L2777">
        <v>-62.587829999999997</v>
      </c>
      <c r="M2777">
        <v>0.98474079999999997</v>
      </c>
      <c r="N2777">
        <v>0</v>
      </c>
      <c r="O2777">
        <v>0.17355779999999901</v>
      </c>
      <c r="P2777">
        <v>0.94740069999999998</v>
      </c>
      <c r="Q2777">
        <v>0.1588241</v>
      </c>
      <c r="R2777">
        <v>0.27786149999999998</v>
      </c>
      <c r="S2777">
        <v>2.7509610000000002</v>
      </c>
      <c r="T2777">
        <v>-0.18300659999999999</v>
      </c>
      <c r="U2777">
        <v>1.535126</v>
      </c>
      <c r="V2777">
        <v>-0.1120333</v>
      </c>
      <c r="W2777">
        <v>0.16951449999999901</v>
      </c>
      <c r="X2777">
        <v>0.97913909999999904</v>
      </c>
      <c r="Y2777">
        <v>-0.32807209999999998</v>
      </c>
      <c r="Z2777">
        <v>-4.3115109999999999E-4</v>
      </c>
      <c r="AA2777">
        <v>0.94465259999999995</v>
      </c>
      <c r="AB2777">
        <v>30</v>
      </c>
      <c r="AC2777">
        <v>16.4939</v>
      </c>
      <c r="AD2777">
        <v>-1.109909839685</v>
      </c>
      <c r="AE2777">
        <v>9.2716399999999997</v>
      </c>
      <c r="AF2777">
        <v>-6.2465348479337202</v>
      </c>
      <c r="AG2777">
        <v>-1.109909839685</v>
      </c>
      <c r="AH2777">
        <v>17.791619004328901</v>
      </c>
      <c r="AI2777">
        <v>93.368623875974706</v>
      </c>
      <c r="AJ2777">
        <v>109.345880155198</v>
      </c>
      <c r="AK2777">
        <v>18.888959851031402</v>
      </c>
    </row>
    <row r="2778" spans="1:37" x14ac:dyDescent="0.2">
      <c r="A2778" t="str">
        <f>"20200111150646477"</f>
        <v>20200111150646477</v>
      </c>
      <c r="B2778" t="str">
        <f>"1578726406469116"</f>
        <v>1578726406469116</v>
      </c>
      <c r="C2778" t="s">
        <v>37</v>
      </c>
      <c r="D2778">
        <v>4.7418629999999897</v>
      </c>
      <c r="E2778">
        <v>0.41033849999999999</v>
      </c>
      <c r="F2778" t="s">
        <v>85</v>
      </c>
      <c r="G2778">
        <v>-191.18049999999999</v>
      </c>
      <c r="H2778" s="1">
        <v>-8.8311980000000006E-6</v>
      </c>
      <c r="I2778">
        <v>-53.3786699999999</v>
      </c>
      <c r="J2778">
        <v>-207.37479999999999</v>
      </c>
      <c r="K2778">
        <v>1.109955</v>
      </c>
      <c r="L2778">
        <v>-62.55545</v>
      </c>
      <c r="M2778">
        <v>0.98391039999999996</v>
      </c>
      <c r="N2778">
        <v>0</v>
      </c>
      <c r="O2778">
        <v>0.17820610000000001</v>
      </c>
      <c r="P2778">
        <v>0.94612680000000005</v>
      </c>
      <c r="Q2778">
        <v>0.1590086</v>
      </c>
      <c r="R2778">
        <v>0.28206409999999998</v>
      </c>
      <c r="S2778">
        <v>2.7444609999999998</v>
      </c>
      <c r="T2778">
        <v>-0.1862896</v>
      </c>
      <c r="U2778">
        <v>1.545685</v>
      </c>
      <c r="V2778">
        <v>-0.1117908</v>
      </c>
      <c r="W2778">
        <v>0.1696677</v>
      </c>
      <c r="X2778">
        <v>0.97914029999999996</v>
      </c>
      <c r="Y2778">
        <v>-0.32732630000000001</v>
      </c>
      <c r="Z2778">
        <v>-7.4552739999999998E-4</v>
      </c>
      <c r="AA2778">
        <v>0.944911099999999</v>
      </c>
      <c r="AB2778">
        <v>30</v>
      </c>
      <c r="AC2778">
        <v>16.194299999999998</v>
      </c>
      <c r="AD2778">
        <v>-1.109963831198</v>
      </c>
      <c r="AE2778">
        <v>9.1767800000000008</v>
      </c>
      <c r="AF2778">
        <v>-6.1219374864196601</v>
      </c>
      <c r="AG2778">
        <v>-1.109963831198</v>
      </c>
      <c r="AH2778">
        <v>17.508271375627601</v>
      </c>
      <c r="AI2778">
        <v>93.424707116001599</v>
      </c>
      <c r="AJ2778">
        <v>109.272676101146</v>
      </c>
      <c r="AK2778">
        <v>18.580896233950099</v>
      </c>
    </row>
    <row r="2779" spans="1:37" x14ac:dyDescent="0.2">
      <c r="A2779" t="str">
        <f>"20200111150646496"</f>
        <v>20200111150646496</v>
      </c>
      <c r="B2779" t="str">
        <f>"1578726406489613"</f>
        <v>1578726406489613</v>
      </c>
      <c r="C2779" t="s">
        <v>37</v>
      </c>
      <c r="D2779">
        <v>4.7853820000000002</v>
      </c>
      <c r="E2779">
        <v>0.41092849999999997</v>
      </c>
      <c r="F2779" t="s">
        <v>85</v>
      </c>
      <c r="G2779">
        <v>-191.1071</v>
      </c>
      <c r="H2779" s="1">
        <v>-8.8500160000000004E-6</v>
      </c>
      <c r="I2779">
        <v>-53.306769999999901</v>
      </c>
      <c r="J2779">
        <v>-207.13589999999999</v>
      </c>
      <c r="K2779">
        <v>1.1100319999999999</v>
      </c>
      <c r="L2779">
        <v>-62.5047</v>
      </c>
      <c r="M2779">
        <v>0.98257019999999995</v>
      </c>
      <c r="N2779">
        <v>0</v>
      </c>
      <c r="O2779">
        <v>0.18545449999999999</v>
      </c>
      <c r="P2779">
        <v>0.94394869999999897</v>
      </c>
      <c r="Q2779">
        <v>0.15945090000000001</v>
      </c>
      <c r="R2779">
        <v>0.28902679999999997</v>
      </c>
      <c r="S2779">
        <v>2.7380979999999999</v>
      </c>
      <c r="T2779">
        <v>-0.18682470000000001</v>
      </c>
      <c r="U2779">
        <v>1.556702</v>
      </c>
      <c r="V2779">
        <v>-0.1118403</v>
      </c>
      <c r="W2779">
        <v>0.17007649999999999</v>
      </c>
      <c r="X2779">
        <v>0.97906369999999898</v>
      </c>
      <c r="Y2779">
        <v>-0.32419189999999998</v>
      </c>
      <c r="Z2779">
        <v>-1.289899E-3</v>
      </c>
      <c r="AA2779">
        <v>0.94599049999999996</v>
      </c>
      <c r="AB2779">
        <v>30</v>
      </c>
      <c r="AC2779">
        <v>16.028799999999901</v>
      </c>
      <c r="AD2779">
        <v>-1.1100408500159999</v>
      </c>
      <c r="AE2779">
        <v>9.1979299999999995</v>
      </c>
      <c r="AF2779">
        <v>-6.04368635598588</v>
      </c>
      <c r="AG2779">
        <v>-1.1100408500159999</v>
      </c>
      <c r="AH2779">
        <v>17.393880896010799</v>
      </c>
      <c r="AI2779">
        <v>93.449765615184006</v>
      </c>
      <c r="AJ2779">
        <v>109.16031941511601</v>
      </c>
      <c r="AK2779">
        <v>18.447369137165499</v>
      </c>
    </row>
    <row r="2780" spans="1:37" x14ac:dyDescent="0.2">
      <c r="A2780" t="str">
        <f>"20200111150646508"</f>
        <v>20200111150646508</v>
      </c>
      <c r="B2780" t="str">
        <f>"1578726406499373"</f>
        <v>1578726406499373</v>
      </c>
      <c r="C2780" t="s">
        <v>37</v>
      </c>
      <c r="D2780">
        <v>4.7568349999999997</v>
      </c>
      <c r="E2780">
        <v>0.41119139999999998</v>
      </c>
      <c r="F2780" t="s">
        <v>85</v>
      </c>
      <c r="G2780">
        <v>-191.16489999999999</v>
      </c>
      <c r="H2780" s="1">
        <v>-8.8587670000000004E-6</v>
      </c>
      <c r="I2780">
        <v>-53.298559999999902</v>
      </c>
      <c r="J2780">
        <v>-206.98910000000001</v>
      </c>
      <c r="K2780">
        <v>1.110085</v>
      </c>
      <c r="L2780">
        <v>-62.472529999999999</v>
      </c>
      <c r="M2780">
        <v>0.98170210000000002</v>
      </c>
      <c r="N2780">
        <v>0</v>
      </c>
      <c r="O2780">
        <v>0.18999530000000001</v>
      </c>
      <c r="P2780">
        <v>0.94255359999999999</v>
      </c>
      <c r="Q2780">
        <v>0.15943260000000001</v>
      </c>
      <c r="R2780">
        <v>0.29355369999999997</v>
      </c>
      <c r="S2780">
        <v>2.7286069999999998</v>
      </c>
      <c r="T2780">
        <v>-0.18964779999999901</v>
      </c>
      <c r="U2780">
        <v>1.572845</v>
      </c>
      <c r="V2780">
        <v>-0.112031899999999</v>
      </c>
      <c r="W2780">
        <v>0.17004320000000001</v>
      </c>
      <c r="X2780">
        <v>0.97904760000000002</v>
      </c>
      <c r="Y2780">
        <v>-0.32544050000000002</v>
      </c>
      <c r="Z2780">
        <v>-1.5512799999999999E-3</v>
      </c>
      <c r="AA2780">
        <v>0.94556119999999899</v>
      </c>
      <c r="AB2780">
        <v>30</v>
      </c>
      <c r="AC2780">
        <v>15.824199999999999</v>
      </c>
      <c r="AD2780">
        <v>-1.110093858767</v>
      </c>
      <c r="AE2780">
        <v>9.1739700000000095</v>
      </c>
      <c r="AF2780">
        <v>-5.9780514177483104</v>
      </c>
      <c r="AG2780">
        <v>-1.110093858767</v>
      </c>
      <c r="AH2780">
        <v>17.2156575822302</v>
      </c>
      <c r="AI2780">
        <v>93.485789613124695</v>
      </c>
      <c r="AJ2780">
        <v>109.149303295339</v>
      </c>
      <c r="AK2780">
        <v>18.257827721750299</v>
      </c>
    </row>
    <row r="2781" spans="1:37" x14ac:dyDescent="0.2">
      <c r="A2781" t="str">
        <f>"20200111150646519"</f>
        <v>20200111150646519</v>
      </c>
      <c r="B2781" t="str">
        <f>"1578726406509132"</f>
        <v>1578726406509132</v>
      </c>
      <c r="C2781" t="s">
        <v>37</v>
      </c>
      <c r="D2781">
        <v>4.7560510000000003</v>
      </c>
      <c r="E2781">
        <v>0.41149540000000001</v>
      </c>
      <c r="F2781" t="s">
        <v>85</v>
      </c>
      <c r="G2781">
        <v>-191.17</v>
      </c>
      <c r="H2781" s="1">
        <v>-8.8709190000000004E-6</v>
      </c>
      <c r="I2781">
        <v>-53.266530000000003</v>
      </c>
      <c r="J2781">
        <v>-206.8407</v>
      </c>
      <c r="K2781">
        <v>1.110141</v>
      </c>
      <c r="L2781">
        <v>-62.43918</v>
      </c>
      <c r="M2781">
        <v>0.98079259999999902</v>
      </c>
      <c r="N2781">
        <v>0</v>
      </c>
      <c r="O2781">
        <v>0.19463639999999999</v>
      </c>
      <c r="P2781">
        <v>0.94114799999999998</v>
      </c>
      <c r="Q2781">
        <v>0.15952949999999999</v>
      </c>
      <c r="R2781">
        <v>0.29797779999999902</v>
      </c>
      <c r="S2781">
        <v>2.721848</v>
      </c>
      <c r="T2781">
        <v>-0.19100259999999999</v>
      </c>
      <c r="U2781">
        <v>1.5839840000000001</v>
      </c>
      <c r="V2781">
        <v>-0.1120259</v>
      </c>
      <c r="W2781">
        <v>0.17013010000000001</v>
      </c>
      <c r="X2781">
        <v>0.97903320000000005</v>
      </c>
      <c r="Y2781">
        <v>-0.32488519999999999</v>
      </c>
      <c r="Z2781">
        <v>-1.870884E-3</v>
      </c>
      <c r="AA2781">
        <v>0.94575159999999903</v>
      </c>
      <c r="AB2781">
        <v>30</v>
      </c>
      <c r="AC2781">
        <v>15.6707</v>
      </c>
      <c r="AD2781">
        <v>-1.1101498709190001</v>
      </c>
      <c r="AE2781">
        <v>9.1726500000000009</v>
      </c>
      <c r="AF2781">
        <v>-5.9247156720019696</v>
      </c>
      <c r="AG2781">
        <v>-1.1101498709190001</v>
      </c>
      <c r="AH2781">
        <v>17.092541560485198</v>
      </c>
      <c r="AI2781">
        <v>93.511683196890004</v>
      </c>
      <c r="AJ2781">
        <v>109.117635361767</v>
      </c>
      <c r="AK2781">
        <v>18.124283862455901</v>
      </c>
    </row>
    <row r="2782" spans="1:37" x14ac:dyDescent="0.2">
      <c r="A2782" t="str">
        <f>"20200111150646531"</f>
        <v>20200111150646531</v>
      </c>
      <c r="B2782" t="str">
        <f>"1578726406518892"</f>
        <v>1578726406518892</v>
      </c>
      <c r="C2782" t="s">
        <v>37</v>
      </c>
      <c r="D2782">
        <v>4.715414</v>
      </c>
      <c r="E2782">
        <v>0.41175889999999998</v>
      </c>
      <c r="F2782" t="s">
        <v>85</v>
      </c>
      <c r="G2782">
        <v>-191.1746</v>
      </c>
      <c r="H2782" s="1">
        <v>-8.8809369999999995E-6</v>
      </c>
      <c r="I2782">
        <v>-53.240250000000003</v>
      </c>
      <c r="J2782">
        <v>-206.69409999999999</v>
      </c>
      <c r="K2782">
        <v>1.1102049999999899</v>
      </c>
      <c r="L2782">
        <v>-62.405700000000003</v>
      </c>
      <c r="M2782">
        <v>0.97986569999999995</v>
      </c>
      <c r="N2782">
        <v>0</v>
      </c>
      <c r="O2782">
        <v>0.19924919999999999</v>
      </c>
      <c r="P2782">
        <v>0.93975350000000002</v>
      </c>
      <c r="Q2782">
        <v>0.15944549999999999</v>
      </c>
      <c r="R2782">
        <v>0.30239139999999998</v>
      </c>
      <c r="S2782">
        <v>2.7154240000000001</v>
      </c>
      <c r="T2782">
        <v>-0.19242239999999999</v>
      </c>
      <c r="U2782">
        <v>1.594452</v>
      </c>
      <c r="V2782">
        <v>-0.11203199999999899</v>
      </c>
      <c r="W2782">
        <v>0.17003699999999999</v>
      </c>
      <c r="X2782">
        <v>0.97904869999999899</v>
      </c>
      <c r="Y2782">
        <v>-0.32412879999999999</v>
      </c>
      <c r="Z2782">
        <v>-2.200586E-3</v>
      </c>
      <c r="AA2782">
        <v>0.94601039999999903</v>
      </c>
      <c r="AB2782">
        <v>30</v>
      </c>
      <c r="AC2782">
        <v>15.519499999999899</v>
      </c>
      <c r="AD2782">
        <v>-1.1102138809369999</v>
      </c>
      <c r="AE2782">
        <v>9.1654499999999999</v>
      </c>
      <c r="AF2782">
        <v>-5.8668820679054496</v>
      </c>
      <c r="AG2782">
        <v>-1.1102138809369999</v>
      </c>
      <c r="AH2782">
        <v>16.9702344762911</v>
      </c>
      <c r="AI2782">
        <v>93.538124197832403</v>
      </c>
      <c r="AJ2782">
        <v>109.07108801121601</v>
      </c>
      <c r="AK2782">
        <v>17.990045531916699</v>
      </c>
    </row>
    <row r="2783" spans="1:37" x14ac:dyDescent="0.2">
      <c r="A2783" t="str">
        <f>"20200111150646541"</f>
        <v>20200111150646541</v>
      </c>
      <c r="B2783" t="str">
        <f>"1578726406539389"</f>
        <v>1578726406539389</v>
      </c>
      <c r="C2783" t="s">
        <v>37</v>
      </c>
      <c r="D2783">
        <v>4.7214390000000002</v>
      </c>
      <c r="E2783">
        <v>0.4124022</v>
      </c>
      <c r="F2783" t="s">
        <v>85</v>
      </c>
      <c r="G2783">
        <v>-191.1113</v>
      </c>
      <c r="H2783" s="1">
        <v>-8.8999329999999995E-6</v>
      </c>
      <c r="I2783">
        <v>-53.1706199999999</v>
      </c>
      <c r="J2783">
        <v>-206.56559999999999</v>
      </c>
      <c r="K2783">
        <v>1.1102719999999999</v>
      </c>
      <c r="L2783">
        <v>-62.375369999999997</v>
      </c>
      <c r="M2783">
        <v>0.97902400000000001</v>
      </c>
      <c r="N2783">
        <v>0</v>
      </c>
      <c r="O2783">
        <v>0.20334469999999999</v>
      </c>
      <c r="P2783">
        <v>0.93854040000000005</v>
      </c>
      <c r="Q2783">
        <v>0.15942919999999999</v>
      </c>
      <c r="R2783">
        <v>0.30614439999999998</v>
      </c>
      <c r="S2783">
        <v>2.7085720000000002</v>
      </c>
      <c r="T2783">
        <v>-0.19297539999999999</v>
      </c>
      <c r="U2783">
        <v>1.6052249999999999</v>
      </c>
      <c r="V2783">
        <v>-0.11187179999999999</v>
      </c>
      <c r="W2783">
        <v>0.1700169</v>
      </c>
      <c r="X2783">
        <v>0.97907049999999995</v>
      </c>
      <c r="Y2783">
        <v>-0.32401279999999999</v>
      </c>
      <c r="Z2783">
        <v>-2.4703619999999998E-3</v>
      </c>
      <c r="AA2783">
        <v>0.94604949999999999</v>
      </c>
      <c r="AB2783">
        <v>30</v>
      </c>
      <c r="AC2783">
        <v>15.4542999999999</v>
      </c>
      <c r="AD2783">
        <v>-1.1102808999329901</v>
      </c>
      <c r="AE2783">
        <v>9.2047500000000007</v>
      </c>
      <c r="AF2783">
        <v>-5.8473220019262504</v>
      </c>
      <c r="AG2783">
        <v>-1.1102808999329901</v>
      </c>
      <c r="AH2783">
        <v>16.9387191760622</v>
      </c>
      <c r="AI2783">
        <v>93.545461974332994</v>
      </c>
      <c r="AJ2783">
        <v>109.044904157692</v>
      </c>
      <c r="AK2783">
        <v>17.953944012290599</v>
      </c>
    </row>
    <row r="2784" spans="1:37" x14ac:dyDescent="0.2">
      <c r="A2784" t="str">
        <f>"20200111150646562"</f>
        <v>20200111150646562</v>
      </c>
      <c r="B2784" t="str">
        <f>"1578726406558908"</f>
        <v>1578726406558908</v>
      </c>
      <c r="C2784" t="s">
        <v>37</v>
      </c>
      <c r="D2784">
        <v>4.8529589999999896</v>
      </c>
      <c r="E2784">
        <v>0.41244429999999999</v>
      </c>
      <c r="F2784" t="s">
        <v>85</v>
      </c>
      <c r="G2784">
        <v>-191.2876</v>
      </c>
      <c r="H2784" s="1">
        <v>-8.8800759999999992E-6</v>
      </c>
      <c r="I2784">
        <v>-53.273650000000004</v>
      </c>
      <c r="J2784">
        <v>-206.29589999999999</v>
      </c>
      <c r="K2784">
        <v>1.11042</v>
      </c>
      <c r="L2784">
        <v>-62.310119999999998</v>
      </c>
      <c r="M2784">
        <v>0.97718349999999898</v>
      </c>
      <c r="N2784">
        <v>0</v>
      </c>
      <c r="O2784">
        <v>0.21201159999999999</v>
      </c>
      <c r="P2784">
        <v>0.93608119999999995</v>
      </c>
      <c r="Q2784">
        <v>0.15985959999999999</v>
      </c>
      <c r="R2784">
        <v>0.31336379999999903</v>
      </c>
      <c r="S2784">
        <v>2.7042999999999999</v>
      </c>
      <c r="T2784">
        <v>-0.19652600000000001</v>
      </c>
      <c r="U2784">
        <v>1.6110530000000001</v>
      </c>
      <c r="V2784">
        <v>-0.110808199999999</v>
      </c>
      <c r="W2784">
        <v>0.17045189999999999</v>
      </c>
      <c r="X2784">
        <v>0.97911579999999998</v>
      </c>
      <c r="Y2784">
        <v>-0.31780459999999999</v>
      </c>
      <c r="Z2784">
        <v>-3.2811839999999999E-3</v>
      </c>
      <c r="AA2784">
        <v>0.94815049999999901</v>
      </c>
      <c r="AB2784">
        <v>30</v>
      </c>
      <c r="AC2784">
        <v>15.008299999999901</v>
      </c>
      <c r="AD2784">
        <v>-1.110428880076</v>
      </c>
      <c r="AE2784">
        <v>9.0364699999999907</v>
      </c>
      <c r="AF2784">
        <v>-5.6262131628545502</v>
      </c>
      <c r="AG2784">
        <v>-1.110428880076</v>
      </c>
      <c r="AH2784">
        <v>16.5166964795858</v>
      </c>
      <c r="AI2784">
        <v>93.641381384478194</v>
      </c>
      <c r="AJ2784">
        <v>108.81078968968301</v>
      </c>
      <c r="AK2784">
        <v>17.483952340656501</v>
      </c>
    </row>
    <row r="2785" spans="1:37" x14ac:dyDescent="0.2">
      <c r="A2785" t="str">
        <f>"20200111150646575"</f>
        <v>20200111150646575</v>
      </c>
      <c r="B2785" t="str">
        <f>"1578726406569645"</f>
        <v>1578726406569645</v>
      </c>
      <c r="C2785" t="s">
        <v>37</v>
      </c>
      <c r="D2785">
        <v>6.384468</v>
      </c>
      <c r="E2785">
        <v>0.41244429999999999</v>
      </c>
      <c r="F2785" t="s">
        <v>85</v>
      </c>
      <c r="G2785">
        <v>-191.09039999999999</v>
      </c>
      <c r="H2785" s="1">
        <v>-8.9257649999999994E-6</v>
      </c>
      <c r="I2785">
        <v>-53.093829999999997</v>
      </c>
      <c r="J2785">
        <v>-206.13829999999999</v>
      </c>
      <c r="K2785">
        <v>1.110511</v>
      </c>
      <c r="L2785">
        <v>-62.270899999999997</v>
      </c>
      <c r="M2785">
        <v>0.97605909999999996</v>
      </c>
      <c r="N2785">
        <v>0</v>
      </c>
      <c r="O2785">
        <v>0.21712880000000001</v>
      </c>
      <c r="P2785">
        <v>0.93448529999999996</v>
      </c>
      <c r="Q2785">
        <v>0.1600608</v>
      </c>
      <c r="R2785">
        <v>0.3179901</v>
      </c>
      <c r="S2785">
        <v>2.6921840000000001</v>
      </c>
      <c r="T2785">
        <v>-0.19660520000000001</v>
      </c>
      <c r="U2785">
        <v>1.631775</v>
      </c>
      <c r="V2785">
        <v>-0.11056149999999999</v>
      </c>
      <c r="W2785">
        <v>0.1706502</v>
      </c>
      <c r="X2785">
        <v>0.97910909999999995</v>
      </c>
      <c r="Y2785">
        <v>-0.32006990000000002</v>
      </c>
      <c r="Z2785">
        <v>-3.5382009999999999E-3</v>
      </c>
      <c r="AA2785">
        <v>0.94738729999999904</v>
      </c>
      <c r="AB2785">
        <v>30</v>
      </c>
      <c r="AC2785">
        <v>15.047899999999901</v>
      </c>
      <c r="AD2785">
        <v>-1.110519925765</v>
      </c>
      <c r="AE2785">
        <v>9.1770699999999898</v>
      </c>
      <c r="AF2785">
        <v>-5.66799515764093</v>
      </c>
      <c r="AG2785">
        <v>-1.110519925765</v>
      </c>
      <c r="AH2785">
        <v>16.615650456628799</v>
      </c>
      <c r="AI2785">
        <v>93.619513303466107</v>
      </c>
      <c r="AJ2785">
        <v>108.83573448446499</v>
      </c>
      <c r="AK2785">
        <v>17.590885813665899</v>
      </c>
    </row>
    <row r="2786" spans="1:37" x14ac:dyDescent="0.2">
      <c r="A2786" t="str">
        <f>"20200111150646586"</f>
        <v>20200111150646586</v>
      </c>
      <c r="B2786" t="str">
        <f>"1578726406579405"</f>
        <v>1578726406579405</v>
      </c>
      <c r="C2786" t="s">
        <v>37</v>
      </c>
      <c r="D2786">
        <v>4.9915940000000001</v>
      </c>
      <c r="E2786">
        <v>0.32349260000000002</v>
      </c>
      <c r="F2786" t="s">
        <v>85</v>
      </c>
      <c r="G2786">
        <v>-190.95259999999999</v>
      </c>
      <c r="H2786" s="1">
        <v>-8.9586909999999998E-6</v>
      </c>
      <c r="I2786">
        <v>-52.965400000000002</v>
      </c>
      <c r="J2786">
        <v>-205.99279999999999</v>
      </c>
      <c r="K2786">
        <v>1.110595</v>
      </c>
      <c r="L2786">
        <v>-62.233640000000001</v>
      </c>
      <c r="M2786">
        <v>0.97498379999999996</v>
      </c>
      <c r="N2786">
        <v>0</v>
      </c>
      <c r="O2786">
        <v>0.2219062</v>
      </c>
      <c r="P2786">
        <v>0.93298320000000001</v>
      </c>
      <c r="Q2786">
        <v>0.16034670000000001</v>
      </c>
      <c r="R2786">
        <v>0.32222889999999998</v>
      </c>
      <c r="S2786">
        <v>2.6842189999999899</v>
      </c>
      <c r="T2786">
        <v>-0.196295</v>
      </c>
      <c r="U2786">
        <v>1.644836</v>
      </c>
      <c r="V2786">
        <v>-0.1102539</v>
      </c>
      <c r="W2786">
        <v>0.17093729999999999</v>
      </c>
      <c r="X2786">
        <v>0.97909369999999996</v>
      </c>
      <c r="Y2786">
        <v>-0.32004369999999999</v>
      </c>
      <c r="Z2786">
        <v>-3.84212099999999E-3</v>
      </c>
      <c r="AA2786">
        <v>0.94739499999999999</v>
      </c>
      <c r="AB2786">
        <v>30</v>
      </c>
      <c r="AC2786">
        <v>15.0402</v>
      </c>
      <c r="AD2786">
        <v>-1.1106039586909999</v>
      </c>
      <c r="AE2786">
        <v>9.2682399999999898</v>
      </c>
      <c r="AF2786">
        <v>-5.6769032863178301</v>
      </c>
      <c r="AG2786">
        <v>-1.1106039586909999</v>
      </c>
      <c r="AH2786">
        <v>16.6561797060792</v>
      </c>
      <c r="AI2786">
        <v>93.611326616903298</v>
      </c>
      <c r="AJ2786">
        <v>108.820580998688</v>
      </c>
      <c r="AK2786">
        <v>17.632044534780199</v>
      </c>
    </row>
    <row r="2787" spans="1:37" x14ac:dyDescent="0.2">
      <c r="A2787" t="str">
        <f>"20200111150646596"</f>
        <v>20200111150646596</v>
      </c>
      <c r="B2787" t="str">
        <f>"1578726406589165"</f>
        <v>1578726406589165</v>
      </c>
      <c r="C2787" t="s">
        <v>37</v>
      </c>
      <c r="D2787">
        <v>4.5230920000000001</v>
      </c>
      <c r="E2787">
        <v>0.32349260000000002</v>
      </c>
      <c r="F2787" t="s">
        <v>91</v>
      </c>
      <c r="G2787">
        <v>-163.38890000000001</v>
      </c>
      <c r="H2787">
        <v>10.69439</v>
      </c>
      <c r="I2787">
        <v>-20.310009999999998</v>
      </c>
      <c r="J2787">
        <v>-205.86449999999999</v>
      </c>
      <c r="K2787">
        <v>1.1106639999999901</v>
      </c>
      <c r="L2787">
        <v>-62.20026</v>
      </c>
      <c r="M2787">
        <v>0.97400949999999997</v>
      </c>
      <c r="N2787">
        <v>0</v>
      </c>
      <c r="O2787">
        <v>0.22614419999999999</v>
      </c>
      <c r="P2787">
        <v>0.93165900000000001</v>
      </c>
      <c r="Q2787">
        <v>0.16044900000000001</v>
      </c>
      <c r="R2787">
        <v>0.32598749999999999</v>
      </c>
      <c r="S2787">
        <v>2.3325650000000002</v>
      </c>
      <c r="T2787">
        <v>0.52471239999999997</v>
      </c>
      <c r="U2787">
        <v>2.2953189999999899</v>
      </c>
      <c r="V2787">
        <v>-0.10997169999999901</v>
      </c>
      <c r="W2787">
        <v>0.17104159999999999</v>
      </c>
      <c r="X2787">
        <v>0.97910730000000001</v>
      </c>
      <c r="Y2787">
        <v>-0.51843050000000002</v>
      </c>
      <c r="Z2787">
        <v>-7.3432180000000003E-3</v>
      </c>
      <c r="AA2787">
        <v>0.85508819999999996</v>
      </c>
      <c r="AB2787">
        <v>30</v>
      </c>
      <c r="AC2787">
        <v>42.475599999999901</v>
      </c>
      <c r="AD2787">
        <v>9.5837260000000004</v>
      </c>
      <c r="AE2787">
        <v>41.890250000000002</v>
      </c>
      <c r="AF2787">
        <v>-30.413558545527</v>
      </c>
      <c r="AG2787">
        <v>9.5837260000000004</v>
      </c>
      <c r="AH2787">
        <v>49.569784317769297</v>
      </c>
      <c r="AI2787">
        <v>80.642175553400406</v>
      </c>
      <c r="AJ2787">
        <v>121.53121166727701</v>
      </c>
      <c r="AK2787">
        <v>58.940613033420703</v>
      </c>
    </row>
    <row r="2788" spans="1:37" x14ac:dyDescent="0.2">
      <c r="A2788" t="str">
        <f>"20200111150646619"</f>
        <v>20200111150646619</v>
      </c>
      <c r="B2788" t="str">
        <f>"1578726406609661"</f>
        <v>1578726406609661</v>
      </c>
      <c r="C2788" t="s">
        <v>37</v>
      </c>
      <c r="D2788">
        <v>4.4957779999999996</v>
      </c>
      <c r="E2788">
        <v>0.38160270000000002</v>
      </c>
      <c r="F2788" t="s">
        <v>91</v>
      </c>
      <c r="G2788">
        <v>-163.63650000000001</v>
      </c>
      <c r="H2788">
        <v>10.64401</v>
      </c>
      <c r="I2788">
        <v>-20.310009999999998</v>
      </c>
      <c r="J2788">
        <v>-205.5864</v>
      </c>
      <c r="K2788">
        <v>1.110811</v>
      </c>
      <c r="L2788">
        <v>-62.125549999999997</v>
      </c>
      <c r="M2788">
        <v>0.97180279999999997</v>
      </c>
      <c r="N2788">
        <v>0</v>
      </c>
      <c r="O2788">
        <v>0.23544479999999901</v>
      </c>
      <c r="P2788">
        <v>0.92853439999999998</v>
      </c>
      <c r="Q2788">
        <v>0.16075780000000001</v>
      </c>
      <c r="R2788">
        <v>0.33463559999999998</v>
      </c>
      <c r="S2788">
        <v>2.3233029999999899</v>
      </c>
      <c r="T2788">
        <v>0.52450559999999902</v>
      </c>
      <c r="U2788">
        <v>2.3047179999999998</v>
      </c>
      <c r="V2788">
        <v>-0.1097795</v>
      </c>
      <c r="W2788">
        <v>0.17135069999999999</v>
      </c>
      <c r="X2788">
        <v>0.97907479999999902</v>
      </c>
      <c r="Y2788">
        <v>-0.5138817</v>
      </c>
      <c r="Z2788">
        <v>-5.3160269999999897E-3</v>
      </c>
      <c r="AA2788">
        <v>0.85784459999999996</v>
      </c>
      <c r="AB2788">
        <v>29</v>
      </c>
      <c r="AC2788">
        <v>41.9498999999999</v>
      </c>
      <c r="AD2788">
        <v>9.5331989999999998</v>
      </c>
      <c r="AE2788">
        <v>41.815539999999999</v>
      </c>
      <c r="AF2788">
        <v>-29.985354190481601</v>
      </c>
      <c r="AG2788">
        <v>9.5331989999999998</v>
      </c>
      <c r="AH2788">
        <v>49.338369948980798</v>
      </c>
      <c r="AI2788">
        <v>80.624016980681006</v>
      </c>
      <c r="AJ2788">
        <v>121.28910812919101</v>
      </c>
      <c r="AK2788">
        <v>58.517331606326103</v>
      </c>
    </row>
    <row r="2789" spans="1:37" x14ac:dyDescent="0.2">
      <c r="A2789" t="str">
        <f>"20200111150646642"</f>
        <v>20200111150646642</v>
      </c>
      <c r="B2789" t="str">
        <f>"1578726406638941"</f>
        <v>1578726406638941</v>
      </c>
      <c r="C2789" t="s">
        <v>37</v>
      </c>
      <c r="D2789">
        <v>4.3050350000000002</v>
      </c>
      <c r="E2789">
        <v>0.37268259999999998</v>
      </c>
      <c r="F2789" t="s">
        <v>46</v>
      </c>
      <c r="G2789">
        <v>-150.28919999999999</v>
      </c>
      <c r="H2789">
        <v>-0.05</v>
      </c>
      <c r="I2789">
        <v>-20.530239999999999</v>
      </c>
      <c r="J2789">
        <v>-205.29830000000001</v>
      </c>
      <c r="K2789">
        <v>1.1109439999999999</v>
      </c>
      <c r="L2789">
        <v>-62.044980000000002</v>
      </c>
      <c r="M2789">
        <v>0.96938019999999903</v>
      </c>
      <c r="N2789">
        <v>0</v>
      </c>
      <c r="O2789">
        <v>0.2452271</v>
      </c>
      <c r="P2789">
        <v>0.92524839999999997</v>
      </c>
      <c r="Q2789">
        <v>0.16049749999999999</v>
      </c>
      <c r="R2789">
        <v>0.3437384</v>
      </c>
      <c r="S2789">
        <v>2.549118</v>
      </c>
      <c r="T2789">
        <v>-5.3511620000000003E-2</v>
      </c>
      <c r="U2789">
        <v>1.9174799999999901</v>
      </c>
      <c r="V2789">
        <v>-0.10955419999999901</v>
      </c>
      <c r="W2789">
        <v>0.1710961</v>
      </c>
      <c r="X2789">
        <v>0.97914449999999997</v>
      </c>
      <c r="Y2789">
        <v>-0.386764</v>
      </c>
      <c r="Z2789">
        <v>-8.4177570000000003E-4</v>
      </c>
      <c r="AA2789">
        <v>0.92217830000000001</v>
      </c>
      <c r="AB2789">
        <v>29</v>
      </c>
      <c r="AC2789">
        <v>55.009099999999997</v>
      </c>
      <c r="AD2789">
        <v>-1.160944</v>
      </c>
      <c r="AE2789">
        <v>41.514740000000003</v>
      </c>
      <c r="AF2789">
        <v>-26.748471095760799</v>
      </c>
      <c r="AG2789">
        <v>-1.160944</v>
      </c>
      <c r="AH2789">
        <v>63.492515930274799</v>
      </c>
      <c r="AI2789">
        <v>90.965368757741402</v>
      </c>
      <c r="AJ2789">
        <v>112.844982402836</v>
      </c>
      <c r="AK2789">
        <v>68.906662058817602</v>
      </c>
    </row>
    <row r="2790" spans="1:37" x14ac:dyDescent="0.2">
      <c r="A2790" t="str">
        <f>"20200111150646655"</f>
        <v>20200111150646655</v>
      </c>
      <c r="B2790" t="str">
        <f>"1578726406649677"</f>
        <v>1578726406649677</v>
      </c>
      <c r="C2790" t="s">
        <v>37</v>
      </c>
      <c r="D2790">
        <v>4.3527849999999999</v>
      </c>
      <c r="E2790">
        <v>0.37209009999999998</v>
      </c>
      <c r="F2790" t="s">
        <v>91</v>
      </c>
      <c r="G2790">
        <v>-156.87700000000001</v>
      </c>
      <c r="H2790">
        <v>1.351721</v>
      </c>
      <c r="I2790">
        <v>-23.107939999999999</v>
      </c>
      <c r="J2790">
        <v>-205.13810000000001</v>
      </c>
      <c r="K2790">
        <v>1.1110070000000001</v>
      </c>
      <c r="L2790">
        <v>-61.998959999999997</v>
      </c>
      <c r="M2790">
        <v>0.96797429999999995</v>
      </c>
      <c r="N2790">
        <v>0</v>
      </c>
      <c r="O2790">
        <v>0.250718</v>
      </c>
      <c r="P2790">
        <v>0.92344789999999999</v>
      </c>
      <c r="Q2790">
        <v>0.15984609999999999</v>
      </c>
      <c r="R2790">
        <v>0.34884549999999998</v>
      </c>
      <c r="S2790">
        <v>2.494904</v>
      </c>
      <c r="T2790">
        <v>1.2405869999999999E-2</v>
      </c>
      <c r="U2790">
        <v>2.0062259999999998</v>
      </c>
      <c r="V2790">
        <v>-0.1093953</v>
      </c>
      <c r="W2790">
        <v>0.1704505</v>
      </c>
      <c r="X2790">
        <v>0.97927489999999995</v>
      </c>
      <c r="Y2790">
        <v>-0.41123549999999998</v>
      </c>
      <c r="Z2790">
        <v>1.645998E-4</v>
      </c>
      <c r="AA2790">
        <v>0.91152909999999998</v>
      </c>
      <c r="AB2790">
        <v>29</v>
      </c>
      <c r="AC2790">
        <v>48.261099999999999</v>
      </c>
      <c r="AD2790">
        <v>0.24071399999999901</v>
      </c>
      <c r="AE2790">
        <v>38.891019999999997</v>
      </c>
      <c r="AF2790">
        <v>-25.547319663714301</v>
      </c>
      <c r="AG2790">
        <v>0.24071399999999901</v>
      </c>
      <c r="AH2790">
        <v>56.470025535788501</v>
      </c>
      <c r="AI2790">
        <v>89.777479656268099</v>
      </c>
      <c r="AJ2790">
        <v>114.342231799323</v>
      </c>
      <c r="AK2790">
        <v>61.980539439749997</v>
      </c>
    </row>
    <row r="2791" spans="1:37" x14ac:dyDescent="0.2">
      <c r="A2791" t="str">
        <f>"20200111150646667"</f>
        <v>20200111150646667</v>
      </c>
      <c r="B2791" t="str">
        <f>"1578726406659437"</f>
        <v>1578726406659437</v>
      </c>
      <c r="C2791" t="s">
        <v>37</v>
      </c>
      <c r="D2791">
        <v>4.3359829999999997</v>
      </c>
      <c r="E2791">
        <v>0.37173270000000003</v>
      </c>
      <c r="F2791" t="s">
        <v>91</v>
      </c>
      <c r="G2791">
        <v>-157.4709</v>
      </c>
      <c r="H2791">
        <v>1.4210719999999999</v>
      </c>
      <c r="I2791">
        <v>-23.107939999999999</v>
      </c>
      <c r="J2791">
        <v>-204.97470000000001</v>
      </c>
      <c r="K2791">
        <v>1.1110679999999999</v>
      </c>
      <c r="L2791">
        <v>-61.950740000000003</v>
      </c>
      <c r="M2791">
        <v>0.96649259999999904</v>
      </c>
      <c r="N2791">
        <v>0</v>
      </c>
      <c r="O2791">
        <v>0.25636969999999998</v>
      </c>
      <c r="P2791">
        <v>0.92133379999999998</v>
      </c>
      <c r="Q2791">
        <v>0.15937850000000001</v>
      </c>
      <c r="R2791">
        <v>0.35460190000000003</v>
      </c>
      <c r="S2791">
        <v>2.4811709999999998</v>
      </c>
      <c r="T2791">
        <v>1.613939E-2</v>
      </c>
      <c r="U2791">
        <v>2.0243530000000001</v>
      </c>
      <c r="V2791">
        <v>-0.1097765</v>
      </c>
      <c r="W2791">
        <v>0.1699793</v>
      </c>
      <c r="X2791">
        <v>0.97931409999999997</v>
      </c>
      <c r="Y2791">
        <v>-0.4123792</v>
      </c>
      <c r="Z2791">
        <v>2.409809E-4</v>
      </c>
      <c r="AA2791">
        <v>0.91101219999999905</v>
      </c>
      <c r="AB2791">
        <v>29</v>
      </c>
      <c r="AC2791">
        <v>47.503799999999998</v>
      </c>
      <c r="AD2791">
        <v>0.310003999999999</v>
      </c>
      <c r="AE2791">
        <v>38.842799999999997</v>
      </c>
      <c r="AF2791">
        <v>-25.364209820184701</v>
      </c>
      <c r="AG2791">
        <v>0.310003999999999</v>
      </c>
      <c r="AH2791">
        <v>55.873417551423699</v>
      </c>
      <c r="AI2791">
        <v>89.710536871064903</v>
      </c>
      <c r="AJ2791">
        <v>114.416074613199</v>
      </c>
      <c r="AK2791">
        <v>61.361861372990496</v>
      </c>
    </row>
    <row r="2792" spans="1:37" x14ac:dyDescent="0.2">
      <c r="A2792" t="str">
        <f>"20200111150646678"</f>
        <v>20200111150646678</v>
      </c>
      <c r="B2792" t="str">
        <f>"1578726406669197"</f>
        <v>1578726406669197</v>
      </c>
      <c r="C2792" t="s">
        <v>37</v>
      </c>
      <c r="D2792">
        <v>4.3134309999999996</v>
      </c>
      <c r="E2792">
        <v>0.37197009999999903</v>
      </c>
      <c r="F2792" t="s">
        <v>91</v>
      </c>
      <c r="G2792">
        <v>-157.93819999999999</v>
      </c>
      <c r="H2792">
        <v>1.446693</v>
      </c>
      <c r="I2792">
        <v>-23.015899999999998</v>
      </c>
      <c r="J2792">
        <v>-204.8321</v>
      </c>
      <c r="K2792">
        <v>1.1111180000000001</v>
      </c>
      <c r="L2792">
        <v>-61.90775</v>
      </c>
      <c r="M2792">
        <v>0.96516229999999903</v>
      </c>
      <c r="N2792">
        <v>0</v>
      </c>
      <c r="O2792">
        <v>0.26133319999999999</v>
      </c>
      <c r="P2792">
        <v>0.91948940000000001</v>
      </c>
      <c r="Q2792">
        <v>0.1589391</v>
      </c>
      <c r="R2792">
        <v>0.35955199999999998</v>
      </c>
      <c r="S2792">
        <v>2.467117</v>
      </c>
      <c r="T2792">
        <v>1.7603870000000001E-2</v>
      </c>
      <c r="U2792">
        <v>2.0421749999999999</v>
      </c>
      <c r="V2792">
        <v>-0.10999979999999999</v>
      </c>
      <c r="W2792">
        <v>0.169539</v>
      </c>
      <c r="X2792">
        <v>0.97936540000000005</v>
      </c>
      <c r="Y2792">
        <v>-0.41415159999999901</v>
      </c>
      <c r="Z2792">
        <v>2.8626660000000001E-4</v>
      </c>
      <c r="AA2792">
        <v>0.91020789999999996</v>
      </c>
      <c r="AB2792">
        <v>29</v>
      </c>
      <c r="AC2792">
        <v>46.893900000000002</v>
      </c>
      <c r="AD2792">
        <v>0.33557500000000001</v>
      </c>
      <c r="AE2792">
        <v>38.891849999999998</v>
      </c>
      <c r="AF2792">
        <v>-25.283354785198799</v>
      </c>
      <c r="AG2792">
        <v>0.33557500000000001</v>
      </c>
      <c r="AH2792">
        <v>55.426894316084798</v>
      </c>
      <c r="AI2792">
        <v>89.684398090863596</v>
      </c>
      <c r="AJ2792">
        <v>114.52042286277501</v>
      </c>
      <c r="AK2792">
        <v>60.922091668796902</v>
      </c>
    </row>
    <row r="2793" spans="1:37" x14ac:dyDescent="0.2">
      <c r="A2793" t="str">
        <f>"20200111150646690"</f>
        <v>20200111150646690</v>
      </c>
      <c r="B2793" t="str">
        <f>"1578726406678957"</f>
        <v>1578726406678957</v>
      </c>
      <c r="C2793" t="s">
        <v>37</v>
      </c>
      <c r="D2793">
        <v>4.3751819999999997</v>
      </c>
      <c r="E2793">
        <v>0.37241750000000001</v>
      </c>
      <c r="F2793" t="s">
        <v>91</v>
      </c>
      <c r="G2793">
        <v>-157.93819999999999</v>
      </c>
      <c r="H2793">
        <v>1.416283</v>
      </c>
      <c r="I2793">
        <v>-22.712160000000001</v>
      </c>
      <c r="J2793">
        <v>-204.6919</v>
      </c>
      <c r="K2793">
        <v>1.1111690000000001</v>
      </c>
      <c r="L2793">
        <v>-61.864959999999897</v>
      </c>
      <c r="M2793">
        <v>0.9638234</v>
      </c>
      <c r="N2793">
        <v>0</v>
      </c>
      <c r="O2793">
        <v>0.26622800000000002</v>
      </c>
      <c r="P2793">
        <v>0.91763490000000003</v>
      </c>
      <c r="Q2793">
        <v>0.158303799999999</v>
      </c>
      <c r="R2793">
        <v>0.36453570000000002</v>
      </c>
      <c r="S2793">
        <v>2.4568939999999899</v>
      </c>
      <c r="T2793">
        <v>1.5988229999999999E-2</v>
      </c>
      <c r="U2793">
        <v>2.0535580000000002</v>
      </c>
      <c r="V2793">
        <v>-0.110317899999999</v>
      </c>
      <c r="W2793">
        <v>0.1689012</v>
      </c>
      <c r="X2793">
        <v>0.97943979999999997</v>
      </c>
      <c r="Y2793">
        <v>-0.41387829999999898</v>
      </c>
      <c r="Z2793">
        <v>2.8668939999999999E-4</v>
      </c>
      <c r="AA2793">
        <v>0.91033220000000004</v>
      </c>
      <c r="AB2793">
        <v>29</v>
      </c>
      <c r="AC2793">
        <v>46.753700000000002</v>
      </c>
      <c r="AD2793">
        <v>0.305113999999999</v>
      </c>
      <c r="AE2793">
        <v>39.152799999999999</v>
      </c>
      <c r="AF2793">
        <v>-25.2907209174803</v>
      </c>
      <c r="AG2793">
        <v>0.305113999999999</v>
      </c>
      <c r="AH2793">
        <v>55.489129249694003</v>
      </c>
      <c r="AI2793">
        <v>89.713326418399703</v>
      </c>
      <c r="AJ2793">
        <v>114.502451908303</v>
      </c>
      <c r="AK2793">
        <v>60.981612999068197</v>
      </c>
    </row>
    <row r="2794" spans="1:37" x14ac:dyDescent="0.2">
      <c r="A2794" t="str">
        <f>"20200111150646715"</f>
        <v>20200111150646715</v>
      </c>
      <c r="B2794" t="str">
        <f>"1578726406709214"</f>
        <v>1578726406709214</v>
      </c>
      <c r="C2794" t="s">
        <v>37</v>
      </c>
      <c r="D2794">
        <v>4.3549720000000001</v>
      </c>
      <c r="E2794">
        <v>0.37259769999999998</v>
      </c>
      <c r="F2794" t="s">
        <v>91</v>
      </c>
      <c r="G2794">
        <v>-157.93819999999999</v>
      </c>
      <c r="H2794">
        <v>1.3347850000000001</v>
      </c>
      <c r="I2794">
        <v>-22.449750000000002</v>
      </c>
      <c r="J2794">
        <v>-204.398</v>
      </c>
      <c r="K2794">
        <v>1.1112629999999999</v>
      </c>
      <c r="L2794">
        <v>-61.772190000000002</v>
      </c>
      <c r="M2794">
        <v>0.96090069999999905</v>
      </c>
      <c r="N2794">
        <v>0</v>
      </c>
      <c r="O2794">
        <v>0.276589799999999</v>
      </c>
      <c r="P2794">
        <v>0.91368019999999905</v>
      </c>
      <c r="Q2794">
        <v>0.15801279999999901</v>
      </c>
      <c r="R2794">
        <v>0.37446049999999997</v>
      </c>
      <c r="S2794">
        <v>2.4475560000000001</v>
      </c>
      <c r="T2794">
        <v>1.170623E-2</v>
      </c>
      <c r="U2794">
        <v>2.0633849999999998</v>
      </c>
      <c r="V2794">
        <v>-0.110401399999999</v>
      </c>
      <c r="W2794">
        <v>0.1686145</v>
      </c>
      <c r="X2794">
        <v>0.97947980000000001</v>
      </c>
      <c r="Y2794">
        <v>-0.407916</v>
      </c>
      <c r="Z2794">
        <v>2.6219379999999998E-4</v>
      </c>
      <c r="AA2794">
        <v>0.91301939999999904</v>
      </c>
      <c r="AB2794">
        <v>29</v>
      </c>
      <c r="AC2794">
        <v>46.459800000000001</v>
      </c>
      <c r="AD2794">
        <v>0.223522</v>
      </c>
      <c r="AE2794">
        <v>39.32244</v>
      </c>
      <c r="AF2794">
        <v>-24.9364109098886</v>
      </c>
      <c r="AG2794">
        <v>0.223522</v>
      </c>
      <c r="AH2794">
        <v>55.523353576482798</v>
      </c>
      <c r="AI2794">
        <v>89.789590015663805</v>
      </c>
      <c r="AJ2794">
        <v>114.185597889241</v>
      </c>
      <c r="AK2794">
        <v>60.866389276269899</v>
      </c>
    </row>
    <row r="2795" spans="1:37" x14ac:dyDescent="0.2">
      <c r="A2795" t="str">
        <f>"20200111150646726"</f>
        <v>20200111150646726</v>
      </c>
      <c r="B2795" t="str">
        <f>"1578726406718973"</f>
        <v>1578726406718973</v>
      </c>
      <c r="C2795" t="s">
        <v>37</v>
      </c>
      <c r="D2795">
        <v>4.3845839999999896</v>
      </c>
      <c r="E2795">
        <v>0.37269600000000003</v>
      </c>
      <c r="F2795" t="s">
        <v>91</v>
      </c>
      <c r="G2795">
        <v>-157.93819999999999</v>
      </c>
      <c r="H2795">
        <v>1.2989660000000001</v>
      </c>
      <c r="I2795">
        <v>-21.77524</v>
      </c>
      <c r="J2795">
        <v>-204.23310000000001</v>
      </c>
      <c r="K2795">
        <v>1.111316</v>
      </c>
      <c r="L2795">
        <v>-61.71848</v>
      </c>
      <c r="M2795">
        <v>0.95919319999999897</v>
      </c>
      <c r="N2795">
        <v>0</v>
      </c>
      <c r="O2795">
        <v>0.28245340000000002</v>
      </c>
      <c r="P2795">
        <v>0.91136049999999902</v>
      </c>
      <c r="Q2795">
        <v>0.15795889999999899</v>
      </c>
      <c r="R2795">
        <v>0.38009369999999998</v>
      </c>
      <c r="S2795">
        <v>2.425827</v>
      </c>
      <c r="T2795">
        <v>9.800553E-3</v>
      </c>
      <c r="U2795">
        <v>2.0883790000000002</v>
      </c>
      <c r="V2795">
        <v>-0.11047989999999901</v>
      </c>
      <c r="W2795">
        <v>0.16856189999999999</v>
      </c>
      <c r="X2795">
        <v>0.97947999999999902</v>
      </c>
      <c r="Y2795">
        <v>-0.41178159999999903</v>
      </c>
      <c r="Z2795">
        <v>2.3209389999999901E-4</v>
      </c>
      <c r="AA2795">
        <v>0.9112825</v>
      </c>
      <c r="AB2795">
        <v>29</v>
      </c>
      <c r="AC2795">
        <v>46.294899999999998</v>
      </c>
      <c r="AD2795">
        <v>0.18765000000000001</v>
      </c>
      <c r="AE2795">
        <v>39.943240000000003</v>
      </c>
      <c r="AF2795">
        <v>-25.239020842898</v>
      </c>
      <c r="AG2795">
        <v>0.18765000000000001</v>
      </c>
      <c r="AH2795">
        <v>55.692024478818198</v>
      </c>
      <c r="AI2795">
        <v>89.824161176319294</v>
      </c>
      <c r="AJ2795">
        <v>114.379517620248</v>
      </c>
      <c r="AK2795">
        <v>61.1444598976884</v>
      </c>
    </row>
    <row r="2796" spans="1:37" x14ac:dyDescent="0.2">
      <c r="A2796" t="str">
        <f>"20200111150646741"</f>
        <v>20200111150646741</v>
      </c>
      <c r="B2796" t="str">
        <f>"1578726406739469"</f>
        <v>1578726406739469</v>
      </c>
      <c r="C2796" t="s">
        <v>37</v>
      </c>
      <c r="D2796">
        <v>4.7312099999999999</v>
      </c>
      <c r="E2796">
        <v>0.37336439999999999</v>
      </c>
      <c r="F2796" t="s">
        <v>91</v>
      </c>
      <c r="G2796">
        <v>-157.93819999999999</v>
      </c>
      <c r="H2796">
        <v>1.2935099999999999</v>
      </c>
      <c r="I2796">
        <v>-21.376829999999899</v>
      </c>
      <c r="J2796">
        <v>-204.06399999999999</v>
      </c>
      <c r="K2796">
        <v>1.111367</v>
      </c>
      <c r="L2796">
        <v>-61.662199999999999</v>
      </c>
      <c r="M2796">
        <v>0.95739129999999995</v>
      </c>
      <c r="N2796">
        <v>0</v>
      </c>
      <c r="O2796">
        <v>0.28850170000000003</v>
      </c>
      <c r="P2796">
        <v>0.90918809999999906</v>
      </c>
      <c r="Q2796">
        <v>0.1583097</v>
      </c>
      <c r="R2796">
        <v>0.38511709999999999</v>
      </c>
      <c r="S2796">
        <v>2.4131320000000001</v>
      </c>
      <c r="T2796">
        <v>9.4968080000000007E-3</v>
      </c>
      <c r="U2796">
        <v>2.102814</v>
      </c>
      <c r="V2796">
        <v>-0.1097438</v>
      </c>
      <c r="W2796">
        <v>0.16893079999999999</v>
      </c>
      <c r="X2796">
        <v>0.97949920000000001</v>
      </c>
      <c r="Y2796">
        <v>-0.4115028</v>
      </c>
      <c r="Z2796">
        <v>2.4446480000000001E-4</v>
      </c>
      <c r="AA2796">
        <v>0.91140849999999995</v>
      </c>
      <c r="AB2796">
        <v>29</v>
      </c>
      <c r="AC2796">
        <v>46.125799999999998</v>
      </c>
      <c r="AD2796">
        <v>0.182142999999999</v>
      </c>
      <c r="AE2796">
        <v>40.28537</v>
      </c>
      <c r="AF2796">
        <v>-25.263398236516899</v>
      </c>
      <c r="AG2796">
        <v>0.182142999999999</v>
      </c>
      <c r="AH2796">
        <v>55.787048855048297</v>
      </c>
      <c r="AI2796">
        <v>89.829590788379505</v>
      </c>
      <c r="AJ2796">
        <v>114.363593677548</v>
      </c>
      <c r="AK2796">
        <v>61.2410588289004</v>
      </c>
    </row>
    <row r="2797" spans="1:37" x14ac:dyDescent="0.2">
      <c r="A2797" t="str">
        <f>"20200111150646753"</f>
        <v>20200111150646753</v>
      </c>
      <c r="B2797" t="str">
        <f>"1578726406749229"</f>
        <v>1578726406749229</v>
      </c>
      <c r="C2797" t="s">
        <v>37</v>
      </c>
      <c r="D2797">
        <v>4.759881</v>
      </c>
      <c r="E2797">
        <v>0.37409219999999999</v>
      </c>
      <c r="F2797" t="s">
        <v>91</v>
      </c>
      <c r="G2797">
        <v>-157.93819999999999</v>
      </c>
      <c r="H2797">
        <v>1.238089</v>
      </c>
      <c r="I2797">
        <v>-21.136140000000001</v>
      </c>
      <c r="J2797">
        <v>-203.9299</v>
      </c>
      <c r="K2797">
        <v>1.11141</v>
      </c>
      <c r="L2797">
        <v>-61.617130000000003</v>
      </c>
      <c r="M2797">
        <v>0.95593069999999902</v>
      </c>
      <c r="N2797">
        <v>0</v>
      </c>
      <c r="O2797">
        <v>0.29330469999999997</v>
      </c>
      <c r="P2797">
        <v>0.90739509999999901</v>
      </c>
      <c r="Q2797">
        <v>0.15796740000000001</v>
      </c>
      <c r="R2797">
        <v>0.38946190000000003</v>
      </c>
      <c r="S2797">
        <v>2.4039000000000001</v>
      </c>
      <c r="T2797">
        <v>6.6041950000000002E-3</v>
      </c>
      <c r="U2797">
        <v>2.1120610000000002</v>
      </c>
      <c r="V2797">
        <v>-0.10950119999999899</v>
      </c>
      <c r="W2797">
        <v>0.16859669999999999</v>
      </c>
      <c r="X2797">
        <v>0.97958389999999995</v>
      </c>
      <c r="Y2797">
        <v>-0.41064020000000001</v>
      </c>
      <c r="Z2797">
        <v>1.81588499999999E-4</v>
      </c>
      <c r="AA2797">
        <v>0.91179750000000004</v>
      </c>
      <c r="AB2797">
        <v>29</v>
      </c>
      <c r="AC2797">
        <v>45.991700000000002</v>
      </c>
      <c r="AD2797">
        <v>0.12667899999999899</v>
      </c>
      <c r="AE2797">
        <v>40.480989999999998</v>
      </c>
      <c r="AF2797">
        <v>-25.2094599742077</v>
      </c>
      <c r="AG2797">
        <v>0.12667899999999899</v>
      </c>
      <c r="AH2797">
        <v>55.842618609325903</v>
      </c>
      <c r="AI2797">
        <v>89.881536536211897</v>
      </c>
      <c r="AJ2797">
        <v>114.296208014323</v>
      </c>
      <c r="AK2797">
        <v>61.2693314220651</v>
      </c>
    </row>
    <row r="2798" spans="1:37" x14ac:dyDescent="0.2">
      <c r="A2798" t="str">
        <f>"20200111150646763"</f>
        <v>20200111150646763</v>
      </c>
      <c r="B2798" t="str">
        <f>"1578726406758988"</f>
        <v>1578726406758988</v>
      </c>
      <c r="C2798" t="s">
        <v>37</v>
      </c>
      <c r="D2798">
        <v>4.7085080000000001</v>
      </c>
      <c r="E2798">
        <v>0.37458439999999998</v>
      </c>
      <c r="F2798" t="s">
        <v>91</v>
      </c>
      <c r="G2798">
        <v>-157.93819999999999</v>
      </c>
      <c r="H2798">
        <v>1.1298059999999901</v>
      </c>
      <c r="I2798">
        <v>-20.953099999999999</v>
      </c>
      <c r="J2798">
        <v>-203.78960000000001</v>
      </c>
      <c r="K2798">
        <v>1.1114539999999999</v>
      </c>
      <c r="L2798">
        <v>-61.568419999999897</v>
      </c>
      <c r="M2798">
        <v>0.95435829999999999</v>
      </c>
      <c r="N2798">
        <v>0</v>
      </c>
      <c r="O2798">
        <v>0.29838049999999999</v>
      </c>
      <c r="P2798">
        <v>0.9055957</v>
      </c>
      <c r="Q2798">
        <v>0.15762670000000001</v>
      </c>
      <c r="R2798">
        <v>0.39376440000000001</v>
      </c>
      <c r="S2798">
        <v>2.3965450000000001</v>
      </c>
      <c r="T2798">
        <v>9.5844270000000002E-4</v>
      </c>
      <c r="U2798">
        <v>2.1189269999999998</v>
      </c>
      <c r="V2798">
        <v>-0.1089338</v>
      </c>
      <c r="W2798">
        <v>0.168270899999999</v>
      </c>
      <c r="X2798">
        <v>0.979703199999999</v>
      </c>
      <c r="Y2798">
        <v>-0.4086477</v>
      </c>
      <c r="Z2798" s="1">
        <v>2.8310090000000001E-5</v>
      </c>
      <c r="AA2798">
        <v>0.91269219999999895</v>
      </c>
      <c r="AB2798">
        <v>29</v>
      </c>
      <c r="AC2798">
        <v>45.851399999999998</v>
      </c>
      <c r="AD2798">
        <v>1.8351999999999698E-2</v>
      </c>
      <c r="AE2798">
        <v>40.615319999999997</v>
      </c>
      <c r="AF2798">
        <v>-25.082525321782001</v>
      </c>
      <c r="AG2798">
        <v>1.8351999999999698E-2</v>
      </c>
      <c r="AH2798">
        <v>55.882209606929898</v>
      </c>
      <c r="AI2798">
        <v>89.982833678472005</v>
      </c>
      <c r="AJ2798">
        <v>114.172752962488</v>
      </c>
      <c r="AK2798">
        <v>61.253202070312902</v>
      </c>
    </row>
    <row r="2799" spans="1:37" x14ac:dyDescent="0.2">
      <c r="A2799" t="str">
        <f>"20200111150646776"</f>
        <v>20200111150646776</v>
      </c>
      <c r="B2799" t="str">
        <f>"1578726406769724"</f>
        <v>1578726406769724</v>
      </c>
      <c r="C2799" t="s">
        <v>37</v>
      </c>
      <c r="D2799">
        <v>4.7866559999999998</v>
      </c>
      <c r="E2799">
        <v>0.37458439999999998</v>
      </c>
      <c r="F2799" t="s">
        <v>91</v>
      </c>
      <c r="G2799">
        <v>-157.93819999999999</v>
      </c>
      <c r="H2799">
        <v>1.0503709999999999</v>
      </c>
      <c r="I2799">
        <v>-20.729189999999999</v>
      </c>
      <c r="J2799">
        <v>-203.63589999999999</v>
      </c>
      <c r="K2799">
        <v>1.111499</v>
      </c>
      <c r="L2799">
        <v>-61.514619999999901</v>
      </c>
      <c r="M2799">
        <v>0.95260029999999996</v>
      </c>
      <c r="N2799">
        <v>0</v>
      </c>
      <c r="O2799">
        <v>0.30394579999999999</v>
      </c>
      <c r="P2799">
        <v>0.90362219999999904</v>
      </c>
      <c r="Q2799">
        <v>0.15726080000000001</v>
      </c>
      <c r="R2799">
        <v>0.39841700000000002</v>
      </c>
      <c r="S2799">
        <v>2.3883359999999998</v>
      </c>
      <c r="T2799">
        <v>-3.1818150000000002E-3</v>
      </c>
      <c r="U2799">
        <v>2.1272579999999999</v>
      </c>
      <c r="V2799">
        <v>-0.1082428</v>
      </c>
      <c r="W2799">
        <v>0.16792260000000001</v>
      </c>
      <c r="X2799">
        <v>0.97983949999999997</v>
      </c>
      <c r="Y2799">
        <v>-0.40665229999999902</v>
      </c>
      <c r="Z2799">
        <v>-1.009943E-4</v>
      </c>
      <c r="AA2799">
        <v>0.91358300000000003</v>
      </c>
      <c r="AB2799">
        <v>29</v>
      </c>
      <c r="AC2799">
        <v>45.697699999999998</v>
      </c>
      <c r="AD2799">
        <v>-6.1128000000000002E-2</v>
      </c>
      <c r="AE2799">
        <v>40.785429999999899</v>
      </c>
      <c r="AF2799">
        <v>-24.964681340073401</v>
      </c>
      <c r="AG2799">
        <v>-6.1128000000000002E-2</v>
      </c>
      <c r="AH2799">
        <v>55.932891020488803</v>
      </c>
      <c r="AI2799">
        <v>90.057180408886495</v>
      </c>
      <c r="AJ2799">
        <v>114.052771709585</v>
      </c>
      <c r="AK2799">
        <v>61.2513456909615</v>
      </c>
    </row>
    <row r="2800" spans="1:37" x14ac:dyDescent="0.2">
      <c r="A2800" t="str">
        <f>"20200111150646786"</f>
        <v>20200111150646786</v>
      </c>
      <c r="B2800" t="str">
        <f>"1578726406779485"</f>
        <v>1578726406779485</v>
      </c>
      <c r="C2800" t="s">
        <v>37</v>
      </c>
      <c r="D2800">
        <v>4.7819250000000002</v>
      </c>
      <c r="E2800">
        <v>0.38746399999999998</v>
      </c>
      <c r="F2800" t="s">
        <v>91</v>
      </c>
      <c r="G2800">
        <v>-157.93819999999999</v>
      </c>
      <c r="H2800">
        <v>1.036249</v>
      </c>
      <c r="I2800">
        <v>-20.384399999999999</v>
      </c>
      <c r="J2800">
        <v>-203.50579999999999</v>
      </c>
      <c r="K2800">
        <v>1.1115349999999999</v>
      </c>
      <c r="L2800">
        <v>-61.468109999999903</v>
      </c>
      <c r="M2800">
        <v>0.95107410000000003</v>
      </c>
      <c r="N2800">
        <v>0</v>
      </c>
      <c r="O2800">
        <v>0.30868800000000002</v>
      </c>
      <c r="P2800">
        <v>0.90188169999999901</v>
      </c>
      <c r="Q2800">
        <v>0.15672030000000001</v>
      </c>
      <c r="R2800">
        <v>0.40255219999999903</v>
      </c>
      <c r="S2800">
        <v>2.3772579999999999</v>
      </c>
      <c r="T2800">
        <v>-3.9147139999999997E-3</v>
      </c>
      <c r="U2800">
        <v>2.13964799999999</v>
      </c>
      <c r="V2800">
        <v>-0.1078223</v>
      </c>
      <c r="W2800">
        <v>0.16739379999999901</v>
      </c>
      <c r="X2800">
        <v>0.97997639999999997</v>
      </c>
      <c r="Y2800">
        <v>-0.4068483</v>
      </c>
      <c r="Z2800">
        <v>-1.3032819999999999E-4</v>
      </c>
      <c r="AA2800">
        <v>0.91349570000000002</v>
      </c>
      <c r="AB2800">
        <v>29</v>
      </c>
      <c r="AC2800">
        <v>45.567599999999999</v>
      </c>
      <c r="AD2800">
        <v>-7.5285999999999895E-2</v>
      </c>
      <c r="AE2800">
        <v>41.083709999999897</v>
      </c>
      <c r="AF2800">
        <v>-25.009566638945401</v>
      </c>
      <c r="AG2800">
        <v>-7.5285999999999895E-2</v>
      </c>
      <c r="AH2800">
        <v>56.024884093751197</v>
      </c>
      <c r="AI2800">
        <v>90.0703066624271</v>
      </c>
      <c r="AJ2800">
        <v>114.056034235599</v>
      </c>
      <c r="AK2800">
        <v>61.353661090173802</v>
      </c>
    </row>
    <row r="2801" spans="1:37" x14ac:dyDescent="0.2">
      <c r="A2801" t="str">
        <f>"20200111150646798"</f>
        <v>20200111150646798</v>
      </c>
      <c r="B2801" t="str">
        <f>"1578726406789245"</f>
        <v>1578726406789245</v>
      </c>
      <c r="C2801" t="s">
        <v>37</v>
      </c>
      <c r="D2801">
        <v>4.7399820000000004</v>
      </c>
      <c r="E2801">
        <v>0.38746399999999998</v>
      </c>
      <c r="F2801" t="s">
        <v>39</v>
      </c>
      <c r="G2801">
        <v>-178.36920000000001</v>
      </c>
      <c r="H2801">
        <v>7.9985509999999996E-2</v>
      </c>
      <c r="I2801">
        <v>-40.073009999999996</v>
      </c>
      <c r="J2801">
        <v>-203.3715</v>
      </c>
      <c r="K2801">
        <v>1.1115729999999999</v>
      </c>
      <c r="L2801">
        <v>-61.419309999999903</v>
      </c>
      <c r="M2801">
        <v>0.9494648</v>
      </c>
      <c r="N2801">
        <v>0</v>
      </c>
      <c r="O2801">
        <v>0.313602299999999</v>
      </c>
      <c r="P2801">
        <v>0.90021489999999904</v>
      </c>
      <c r="Q2801">
        <v>0.15652639999999901</v>
      </c>
      <c r="R2801">
        <v>0.4063406</v>
      </c>
      <c r="S2801">
        <v>2.423111</v>
      </c>
      <c r="T2801">
        <v>-9.9439020000000003E-2</v>
      </c>
      <c r="U2801">
        <v>2.0624389999999999</v>
      </c>
      <c r="V2801">
        <v>-0.1068726</v>
      </c>
      <c r="W2801">
        <v>0.16722219999999999</v>
      </c>
      <c r="X2801">
        <v>0.98010969999999997</v>
      </c>
      <c r="Y2801">
        <v>-0.3765925</v>
      </c>
      <c r="Z2801">
        <v>-3.9990340000000003E-3</v>
      </c>
      <c r="AA2801">
        <v>0.92637039999999904</v>
      </c>
      <c r="AB2801">
        <v>29</v>
      </c>
      <c r="AC2801">
        <v>25.002299999999899</v>
      </c>
      <c r="AD2801">
        <v>-1.0315874899999999</v>
      </c>
      <c r="AE2801">
        <v>21.346299999999999</v>
      </c>
      <c r="AF2801">
        <v>-12.41561443152</v>
      </c>
      <c r="AG2801">
        <v>-1.0315874899999999</v>
      </c>
      <c r="AH2801">
        <v>30.4057040883844</v>
      </c>
      <c r="AI2801">
        <v>91.799056467333202</v>
      </c>
      <c r="AJ2801">
        <v>112.21175304735</v>
      </c>
      <c r="AK2801">
        <v>32.859070217705302</v>
      </c>
    </row>
    <row r="2802" spans="1:37" x14ac:dyDescent="0.2">
      <c r="A2802" t="str">
        <f>"20200111150646808"</f>
        <v>20200111150646808</v>
      </c>
      <c r="B2802" t="str">
        <f>"1578726406799005"</f>
        <v>1578726406799005</v>
      </c>
      <c r="C2802" t="s">
        <v>37</v>
      </c>
      <c r="D2802">
        <v>4.8090589999999898</v>
      </c>
      <c r="E2802">
        <v>0.38522859999999998</v>
      </c>
      <c r="F2802" t="s">
        <v>39</v>
      </c>
      <c r="G2802">
        <v>-178.4684</v>
      </c>
      <c r="H2802">
        <v>7.9985509999999996E-2</v>
      </c>
      <c r="I2802">
        <v>-40.043640000000003</v>
      </c>
      <c r="J2802">
        <v>-203.23390000000001</v>
      </c>
      <c r="K2802">
        <v>1.111613</v>
      </c>
      <c r="L2802">
        <v>-61.3686199999999</v>
      </c>
      <c r="M2802">
        <v>0.94778109999999904</v>
      </c>
      <c r="N2802">
        <v>0</v>
      </c>
      <c r="O2802">
        <v>0.3186541</v>
      </c>
      <c r="P2802">
        <v>0.89840189999999998</v>
      </c>
      <c r="Q2802">
        <v>0.15619089999999999</v>
      </c>
      <c r="R2802">
        <v>0.41046129999999997</v>
      </c>
      <c r="S2802">
        <v>2.414444</v>
      </c>
      <c r="T2802">
        <v>-0.1000161</v>
      </c>
      <c r="U2802">
        <v>2.0724490000000002</v>
      </c>
      <c r="V2802">
        <v>-0.1061325</v>
      </c>
      <c r="W2802">
        <v>0.16690489999999999</v>
      </c>
      <c r="X2802">
        <v>0.98024419999999901</v>
      </c>
      <c r="Y2802">
        <v>-0.37551599999999902</v>
      </c>
      <c r="Z2802">
        <v>-4.2094020000000001E-3</v>
      </c>
      <c r="AA2802">
        <v>0.92680640000000003</v>
      </c>
      <c r="AB2802">
        <v>29</v>
      </c>
      <c r="AC2802">
        <v>24.765499999999999</v>
      </c>
      <c r="AD2802">
        <v>-1.03162749</v>
      </c>
      <c r="AE2802">
        <v>21.324979999999901</v>
      </c>
      <c r="AF2802">
        <v>-12.308571158449199</v>
      </c>
      <c r="AG2802">
        <v>-1.03162749</v>
      </c>
      <c r="AH2802">
        <v>30.240014960790301</v>
      </c>
      <c r="AI2802">
        <v>91.809800609559304</v>
      </c>
      <c r="AJ2802">
        <v>112.14776177196499</v>
      </c>
      <c r="AK2802">
        <v>32.665328470253499</v>
      </c>
    </row>
    <row r="2803" spans="1:37" x14ac:dyDescent="0.2">
      <c r="A2803" t="str">
        <f>"20200111150646820"</f>
        <v>20200111150646820</v>
      </c>
      <c r="B2803" t="str">
        <f>"1578726406809741"</f>
        <v>1578726406809741</v>
      </c>
      <c r="C2803" t="s">
        <v>37</v>
      </c>
      <c r="D2803">
        <v>4.7782910000000003</v>
      </c>
      <c r="E2803">
        <v>0.38382519999999998</v>
      </c>
      <c r="F2803" t="s">
        <v>46</v>
      </c>
      <c r="G2803">
        <v>-170.93819999999999</v>
      </c>
      <c r="H2803">
        <v>-0.05</v>
      </c>
      <c r="I2803">
        <v>-33.069629999999997</v>
      </c>
      <c r="J2803">
        <v>-203.1026</v>
      </c>
      <c r="K2803">
        <v>1.1116469999999901</v>
      </c>
      <c r="L2803">
        <v>-61.319180000000003</v>
      </c>
      <c r="M2803">
        <v>0.9461347</v>
      </c>
      <c r="N2803">
        <v>0</v>
      </c>
      <c r="O2803">
        <v>0.32350950000000001</v>
      </c>
      <c r="P2803">
        <v>0.89675349999999998</v>
      </c>
      <c r="Q2803">
        <v>0.155949</v>
      </c>
      <c r="R2803">
        <v>0.41414139999999999</v>
      </c>
      <c r="S2803">
        <v>2.3953090000000001</v>
      </c>
      <c r="T2803">
        <v>-8.6154460000000002E-2</v>
      </c>
      <c r="U2803">
        <v>2.0988769999999999</v>
      </c>
      <c r="V2803">
        <v>-0.1051193</v>
      </c>
      <c r="W2803">
        <v>0.16668669999999999</v>
      </c>
      <c r="X2803">
        <v>0.98039050000000005</v>
      </c>
      <c r="Y2803">
        <v>-0.3802297</v>
      </c>
      <c r="Z2803">
        <v>-3.6953519999999998E-3</v>
      </c>
      <c r="AA2803">
        <v>0.9248847</v>
      </c>
      <c r="AB2803">
        <v>29</v>
      </c>
      <c r="AC2803">
        <v>32.164400000000001</v>
      </c>
      <c r="AD2803">
        <v>-1.1616469999999901</v>
      </c>
      <c r="AE2803">
        <v>28.249549999999999</v>
      </c>
      <c r="AF2803">
        <v>-16.3117729477724</v>
      </c>
      <c r="AG2803">
        <v>-1.1616469999999901</v>
      </c>
      <c r="AH2803">
        <v>39.5451121679599</v>
      </c>
      <c r="AI2803">
        <v>91.555527219417598</v>
      </c>
      <c r="AJ2803">
        <v>112.415422119437</v>
      </c>
      <c r="AK2803">
        <v>42.792981396822803</v>
      </c>
    </row>
    <row r="2804" spans="1:37" x14ac:dyDescent="0.2">
      <c r="A2804" t="str">
        <f>"20200111150646832"</f>
        <v>20200111150646832</v>
      </c>
      <c r="B2804" t="str">
        <f>"1578726406829261"</f>
        <v>1578726406829261</v>
      </c>
      <c r="C2804" t="s">
        <v>37</v>
      </c>
      <c r="D2804">
        <v>4.6970070000000002</v>
      </c>
      <c r="E2804">
        <v>0.38428970000000001</v>
      </c>
      <c r="F2804" t="s">
        <v>46</v>
      </c>
      <c r="G2804">
        <v>-167.6002</v>
      </c>
      <c r="H2804">
        <v>-0.05</v>
      </c>
      <c r="I2804">
        <v>-29.729259999999901</v>
      </c>
      <c r="J2804">
        <v>-202.95849999999999</v>
      </c>
      <c r="K2804">
        <v>1.1116889999999999</v>
      </c>
      <c r="L2804">
        <v>-61.264530000000001</v>
      </c>
      <c r="M2804">
        <v>0.94429259999999904</v>
      </c>
      <c r="N2804">
        <v>0</v>
      </c>
      <c r="O2804">
        <v>0.32884750000000001</v>
      </c>
      <c r="P2804">
        <v>0.89470019999999995</v>
      </c>
      <c r="Q2804">
        <v>0.1557019</v>
      </c>
      <c r="R2804">
        <v>0.41865079999999999</v>
      </c>
      <c r="S2804">
        <v>2.3806759999999998</v>
      </c>
      <c r="T2804">
        <v>-7.7896240000000005E-2</v>
      </c>
      <c r="U2804">
        <v>2.1183169999999998</v>
      </c>
      <c r="V2804">
        <v>-0.104513799999999</v>
      </c>
      <c r="W2804">
        <v>0.16645389999999999</v>
      </c>
      <c r="X2804">
        <v>0.98049470000000005</v>
      </c>
      <c r="Y2804">
        <v>-0.38205329999999998</v>
      </c>
      <c r="Z2804">
        <v>-3.454974E-3</v>
      </c>
      <c r="AA2804">
        <v>0.92413380000000001</v>
      </c>
      <c r="AB2804">
        <v>29</v>
      </c>
      <c r="AC2804">
        <v>35.3582999999999</v>
      </c>
      <c r="AD2804">
        <v>-1.161689</v>
      </c>
      <c r="AE2804">
        <v>31.535270000000001</v>
      </c>
      <c r="AF2804">
        <v>-18.141676981383501</v>
      </c>
      <c r="AG2804">
        <v>-1.161689</v>
      </c>
      <c r="AH2804">
        <v>43.7363187589022</v>
      </c>
      <c r="AI2804">
        <v>91.405429105989995</v>
      </c>
      <c r="AJ2804">
        <v>112.528508322188</v>
      </c>
      <c r="AK2804">
        <v>47.3638632673674</v>
      </c>
    </row>
    <row r="2805" spans="1:37" x14ac:dyDescent="0.2">
      <c r="A2805" t="str">
        <f>"20200111150646842"</f>
        <v>20200111150646842</v>
      </c>
      <c r="B2805" t="str">
        <f>"1578726406839021"</f>
        <v>1578726406839021</v>
      </c>
      <c r="C2805" t="s">
        <v>37</v>
      </c>
      <c r="D2805">
        <v>4.7708329999999997</v>
      </c>
      <c r="E2805">
        <v>0.38461339999999999</v>
      </c>
      <c r="F2805" t="s">
        <v>46</v>
      </c>
      <c r="G2805">
        <v>-168.9503</v>
      </c>
      <c r="H2805">
        <v>-0.05</v>
      </c>
      <c r="I2805">
        <v>-30.769169999999999</v>
      </c>
      <c r="J2805">
        <v>-202.82570000000001</v>
      </c>
      <c r="K2805">
        <v>1.1117319999999999</v>
      </c>
      <c r="L2805">
        <v>-61.212619999999902</v>
      </c>
      <c r="M2805">
        <v>0.94254579999999999</v>
      </c>
      <c r="N2805">
        <v>0</v>
      </c>
      <c r="O2805">
        <v>0.33382070000000003</v>
      </c>
      <c r="P2805">
        <v>0.89290519999999995</v>
      </c>
      <c r="Q2805">
        <v>0.1555743</v>
      </c>
      <c r="R2805">
        <v>0.42251279999999902</v>
      </c>
      <c r="S2805">
        <v>2.3719329999999998</v>
      </c>
      <c r="T2805">
        <v>-8.1022979999999994E-2</v>
      </c>
      <c r="U2805">
        <v>2.1269230000000001</v>
      </c>
      <c r="V2805">
        <v>-0.1035862</v>
      </c>
      <c r="W2805">
        <v>0.16634769999999999</v>
      </c>
      <c r="X2805">
        <v>0.98061119999999902</v>
      </c>
      <c r="Y2805">
        <v>-0.38073259999999998</v>
      </c>
      <c r="Z2805">
        <v>-3.7475779999999901E-3</v>
      </c>
      <c r="AA2805">
        <v>0.92467759999999999</v>
      </c>
      <c r="AB2805">
        <v>29</v>
      </c>
      <c r="AC2805">
        <v>33.875399999999999</v>
      </c>
      <c r="AD2805">
        <v>-1.161732</v>
      </c>
      <c r="AE2805">
        <v>30.443449999999899</v>
      </c>
      <c r="AF2805">
        <v>-17.3762188408067</v>
      </c>
      <c r="AG2805">
        <v>-1.161732</v>
      </c>
      <c r="AH2805">
        <v>42.068001870627199</v>
      </c>
      <c r="AI2805">
        <v>91.462096824085407</v>
      </c>
      <c r="AJ2805">
        <v>112.44310825571</v>
      </c>
      <c r="AK2805">
        <v>45.530202984727801</v>
      </c>
    </row>
    <row r="2806" spans="1:37" x14ac:dyDescent="0.2">
      <c r="A2806" t="str">
        <f>"20200111150646853"</f>
        <v>20200111150646853</v>
      </c>
      <c r="B2806" t="str">
        <f>"1578726406849757"</f>
        <v>1578726406849757</v>
      </c>
      <c r="C2806" t="s">
        <v>37</v>
      </c>
      <c r="D2806">
        <v>4.9677129999999998</v>
      </c>
      <c r="E2806">
        <v>0.38683459999999997</v>
      </c>
      <c r="F2806" t="s">
        <v>46</v>
      </c>
      <c r="G2806">
        <v>-169.7749</v>
      </c>
      <c r="H2806">
        <v>-0.05</v>
      </c>
      <c r="I2806">
        <v>-31.359509999999901</v>
      </c>
      <c r="J2806">
        <v>-202.7002</v>
      </c>
      <c r="K2806">
        <v>1.1117779999999999</v>
      </c>
      <c r="L2806">
        <v>-61.163449999999997</v>
      </c>
      <c r="M2806">
        <v>0.94086859999999894</v>
      </c>
      <c r="N2806">
        <v>0</v>
      </c>
      <c r="O2806">
        <v>0.33851829999999999</v>
      </c>
      <c r="P2806">
        <v>0.8910749</v>
      </c>
      <c r="Q2806">
        <v>0.155683399999999</v>
      </c>
      <c r="R2806">
        <v>0.42631930000000001</v>
      </c>
      <c r="S2806">
        <v>2.363937</v>
      </c>
      <c r="T2806">
        <v>-8.3092089999999993E-2</v>
      </c>
      <c r="U2806">
        <v>2.1352229999999999</v>
      </c>
      <c r="V2806">
        <v>-0.102901299999999</v>
      </c>
      <c r="W2806">
        <v>0.16647229999999999</v>
      </c>
      <c r="X2806">
        <v>0.98066219999999904</v>
      </c>
      <c r="Y2806">
        <v>-0.37946370000000001</v>
      </c>
      <c r="Z2806">
        <v>-3.9923789999999999E-3</v>
      </c>
      <c r="AA2806">
        <v>0.92519799999999996</v>
      </c>
      <c r="AB2806">
        <v>29</v>
      </c>
      <c r="AC2806">
        <v>32.925299999999901</v>
      </c>
      <c r="AD2806">
        <v>-1.161778</v>
      </c>
      <c r="AE2806">
        <v>29.803940000000001</v>
      </c>
      <c r="AF2806">
        <v>-16.885669603241901</v>
      </c>
      <c r="AG2806">
        <v>-1.161778</v>
      </c>
      <c r="AH2806">
        <v>41.042998109935901</v>
      </c>
      <c r="AI2806">
        <v>91.499518018535795</v>
      </c>
      <c r="AJ2806">
        <v>112.36295865525901</v>
      </c>
      <c r="AK2806">
        <v>44.3959824750319</v>
      </c>
    </row>
    <row r="2807" spans="1:37" x14ac:dyDescent="0.2">
      <c r="A2807" t="str">
        <f>"20200111150646865"</f>
        <v>20200111150646865</v>
      </c>
      <c r="B2807" t="str">
        <f>"1578726406859517"</f>
        <v>1578726406859517</v>
      </c>
      <c r="C2807" t="s">
        <v>37</v>
      </c>
      <c r="D2807">
        <v>5.0407219999999997</v>
      </c>
      <c r="E2807">
        <v>0.38853019999999999</v>
      </c>
      <c r="F2807" t="s">
        <v>39</v>
      </c>
      <c r="G2807">
        <v>-177.99639999999999</v>
      </c>
      <c r="H2807">
        <v>7.9985870000000001E-2</v>
      </c>
      <c r="I2807">
        <v>-38.908070000000002</v>
      </c>
      <c r="J2807">
        <v>-202.55420000000001</v>
      </c>
      <c r="K2807">
        <v>1.111828</v>
      </c>
      <c r="L2807">
        <v>-61.104680000000002</v>
      </c>
      <c r="M2807">
        <v>0.93886209999999903</v>
      </c>
      <c r="N2807">
        <v>0</v>
      </c>
      <c r="O2807">
        <v>0.34404390000000001</v>
      </c>
      <c r="P2807">
        <v>0.88876449999999996</v>
      </c>
      <c r="Q2807">
        <v>0.15583739999999999</v>
      </c>
      <c r="R2807">
        <v>0.43105979999999999</v>
      </c>
      <c r="S2807">
        <v>2.3647459999999998</v>
      </c>
      <c r="T2807">
        <v>-9.8767160000000007E-2</v>
      </c>
      <c r="U2807">
        <v>2.1303709999999998</v>
      </c>
      <c r="V2807">
        <v>-0.1023901</v>
      </c>
      <c r="W2807">
        <v>0.16663819999999999</v>
      </c>
      <c r="X2807">
        <v>0.98068750000000005</v>
      </c>
      <c r="Y2807">
        <v>-0.3728088</v>
      </c>
      <c r="Z2807">
        <v>-5.0414090000000002E-3</v>
      </c>
      <c r="AA2807">
        <v>0.92789449999999996</v>
      </c>
      <c r="AB2807">
        <v>29</v>
      </c>
      <c r="AC2807">
        <v>24.5578</v>
      </c>
      <c r="AD2807">
        <v>-1.03184213</v>
      </c>
      <c r="AE2807">
        <v>22.19661</v>
      </c>
      <c r="AF2807">
        <v>-12.3796302458905</v>
      </c>
      <c r="AG2807">
        <v>-1.03184213</v>
      </c>
      <c r="AH2807">
        <v>30.665835948770798</v>
      </c>
      <c r="AI2807">
        <v>91.787129759819393</v>
      </c>
      <c r="AJ2807">
        <v>111.98366031291199</v>
      </c>
      <c r="AK2807">
        <v>33.086453990162397</v>
      </c>
    </row>
    <row r="2808" spans="1:37" x14ac:dyDescent="0.2">
      <c r="A2808" t="str">
        <f>"20200111150646877"</f>
        <v>20200111150646877</v>
      </c>
      <c r="B2808" t="str">
        <f>"1578726406869276"</f>
        <v>1578726406869276</v>
      </c>
      <c r="C2808" t="s">
        <v>37</v>
      </c>
      <c r="D2808">
        <v>5.1154789999999997</v>
      </c>
      <c r="E2808">
        <v>0.39018330000000001</v>
      </c>
      <c r="F2808" t="s">
        <v>85</v>
      </c>
      <c r="G2808">
        <v>-179.94390000000001</v>
      </c>
      <c r="H2808">
        <v>6.3850019999999993E-2</v>
      </c>
      <c r="I2808">
        <v>-40.68591</v>
      </c>
      <c r="J2808">
        <v>-202.4205</v>
      </c>
      <c r="K2808">
        <v>1.1118709999999901</v>
      </c>
      <c r="L2808">
        <v>-61.050289999999997</v>
      </c>
      <c r="M2808">
        <v>0.93698709999999996</v>
      </c>
      <c r="N2808">
        <v>0</v>
      </c>
      <c r="O2808">
        <v>0.34911759999999997</v>
      </c>
      <c r="P2808">
        <v>0.88669370000000003</v>
      </c>
      <c r="Q2808">
        <v>0.15604560000000001</v>
      </c>
      <c r="R2808">
        <v>0.43522919999999998</v>
      </c>
      <c r="S2808">
        <v>2.3606720000000001</v>
      </c>
      <c r="T2808">
        <v>-0.1094165</v>
      </c>
      <c r="U2808">
        <v>2.131866</v>
      </c>
      <c r="V2808">
        <v>-0.10172439999999899</v>
      </c>
      <c r="W2808">
        <v>0.1668606</v>
      </c>
      <c r="X2808">
        <v>0.98071900000000001</v>
      </c>
      <c r="Y2808">
        <v>-0.36890600000000001</v>
      </c>
      <c r="Z2808">
        <v>-5.8453690000000004E-3</v>
      </c>
      <c r="AA2808">
        <v>0.92944830000000001</v>
      </c>
      <c r="AB2808">
        <v>29</v>
      </c>
      <c r="AC2808">
        <v>22.476599999999902</v>
      </c>
      <c r="AD2808">
        <v>-1.04802097999999</v>
      </c>
      <c r="AE2808">
        <v>20.364380000000001</v>
      </c>
      <c r="AF2808">
        <v>-11.221752863282999</v>
      </c>
      <c r="AG2808">
        <v>-1.04802097999999</v>
      </c>
      <c r="AH2808">
        <v>28.138674720578798</v>
      </c>
      <c r="AI2808">
        <v>91.981372159863596</v>
      </c>
      <c r="AJ2808">
        <v>111.742200233742</v>
      </c>
      <c r="AK2808">
        <v>30.3118970097496</v>
      </c>
    </row>
    <row r="2809" spans="1:37" x14ac:dyDescent="0.2">
      <c r="A2809" t="str">
        <f>"20200111150646887"</f>
        <v>20200111150646887</v>
      </c>
      <c r="B2809" t="str">
        <f>"1578726406879037"</f>
        <v>1578726406879037</v>
      </c>
      <c r="C2809" t="s">
        <v>37</v>
      </c>
      <c r="D2809">
        <v>5.0098570000000002</v>
      </c>
      <c r="E2809">
        <v>0.39139930000000001</v>
      </c>
      <c r="F2809" t="s">
        <v>85</v>
      </c>
      <c r="G2809">
        <v>-180.5558</v>
      </c>
      <c r="H2809" s="1">
        <v>-6.287134E-6</v>
      </c>
      <c r="I2809">
        <v>-41.281509999999997</v>
      </c>
      <c r="J2809">
        <v>-202.2842</v>
      </c>
      <c r="K2809">
        <v>1.1119209999999999</v>
      </c>
      <c r="L2809">
        <v>-60.993899999999996</v>
      </c>
      <c r="M2809">
        <v>0.93503150000000002</v>
      </c>
      <c r="N2809">
        <v>0</v>
      </c>
      <c r="O2809">
        <v>0.35432140000000001</v>
      </c>
      <c r="P2809">
        <v>0.88445090000000004</v>
      </c>
      <c r="Q2809">
        <v>0.15584100000000001</v>
      </c>
      <c r="R2809">
        <v>0.43984119999999999</v>
      </c>
      <c r="S2809">
        <v>2.3579859999999999</v>
      </c>
      <c r="T2809">
        <v>-0.119909999999999</v>
      </c>
      <c r="U2809">
        <v>2.131958</v>
      </c>
      <c r="V2809">
        <v>-0.1013799</v>
      </c>
      <c r="W2809">
        <v>0.16666549999999999</v>
      </c>
      <c r="X2809">
        <v>0.98078779999999999</v>
      </c>
      <c r="Y2809">
        <v>-0.36428270000000001</v>
      </c>
      <c r="Z2809">
        <v>-6.7105209999999997E-3</v>
      </c>
      <c r="AA2809">
        <v>0.93126419999999999</v>
      </c>
      <c r="AB2809">
        <v>29</v>
      </c>
      <c r="AC2809">
        <v>21.728399999999901</v>
      </c>
      <c r="AD2809">
        <v>-1.111927287134</v>
      </c>
      <c r="AE2809">
        <v>19.712389999999999</v>
      </c>
      <c r="AF2809">
        <v>-10.718397205193099</v>
      </c>
      <c r="AG2809">
        <v>-1.111927287134</v>
      </c>
      <c r="AH2809">
        <v>27.264449394316799</v>
      </c>
      <c r="AI2809">
        <v>92.173640324276207</v>
      </c>
      <c r="AJ2809">
        <v>111.461140456454</v>
      </c>
      <c r="AK2809">
        <v>29.316729382989301</v>
      </c>
    </row>
    <row r="2810" spans="1:37" x14ac:dyDescent="0.2">
      <c r="A2810" t="str">
        <f>"20200111150646898"</f>
        <v>20200111150646898</v>
      </c>
      <c r="B2810" t="str">
        <f>"1578726406888797"</f>
        <v>1578726406888797</v>
      </c>
      <c r="C2810" t="s">
        <v>37</v>
      </c>
      <c r="D2810">
        <v>5.0411869999999999</v>
      </c>
      <c r="E2810">
        <v>0.392397</v>
      </c>
      <c r="F2810" t="s">
        <v>85</v>
      </c>
      <c r="G2810">
        <v>-182.03280000000001</v>
      </c>
      <c r="H2810" s="1">
        <v>-5.9349830000000001E-6</v>
      </c>
      <c r="I2810">
        <v>-42.601909999999997</v>
      </c>
      <c r="J2810">
        <v>-202.16059999999999</v>
      </c>
      <c r="K2810">
        <v>1.111961</v>
      </c>
      <c r="L2810">
        <v>-60.941800000000001</v>
      </c>
      <c r="M2810">
        <v>0.93321719999999897</v>
      </c>
      <c r="N2810">
        <v>0</v>
      </c>
      <c r="O2810">
        <v>0.35907240000000001</v>
      </c>
      <c r="P2810">
        <v>0.88246440000000004</v>
      </c>
      <c r="Q2810">
        <v>0.15569949999999999</v>
      </c>
      <c r="R2810">
        <v>0.44386300000000001</v>
      </c>
      <c r="S2810">
        <v>2.3523099999999899</v>
      </c>
      <c r="T2810">
        <v>-0.12915589999999999</v>
      </c>
      <c r="U2810">
        <v>2.1363219999999998</v>
      </c>
      <c r="V2810">
        <v>-0.1008602</v>
      </c>
      <c r="W2810">
        <v>0.1665362</v>
      </c>
      <c r="X2810">
        <v>0.98086329999999999</v>
      </c>
      <c r="Y2810">
        <v>-0.36161179999999998</v>
      </c>
      <c r="Z2810">
        <v>-7.4935849999999997E-3</v>
      </c>
      <c r="AA2810">
        <v>0.93229869999999904</v>
      </c>
      <c r="AB2810">
        <v>29</v>
      </c>
      <c r="AC2810">
        <v>20.127799999999901</v>
      </c>
      <c r="AD2810">
        <v>-1.1119669349829999</v>
      </c>
      <c r="AE2810">
        <v>18.33989</v>
      </c>
      <c r="AF2810">
        <v>-9.8721545880707904</v>
      </c>
      <c r="AG2810">
        <v>-1.1119669349829999</v>
      </c>
      <c r="AH2810">
        <v>25.328910219249199</v>
      </c>
      <c r="AI2810">
        <v>92.342320896126296</v>
      </c>
      <c r="AJ2810">
        <v>111.293765648402</v>
      </c>
      <c r="AK2810">
        <v>27.207528362018699</v>
      </c>
    </row>
    <row r="2811" spans="1:37" x14ac:dyDescent="0.2">
      <c r="A2811" t="str">
        <f>"20200111150646910"</f>
        <v>20200111150646910</v>
      </c>
      <c r="B2811" t="str">
        <f>"1578726406899533"</f>
        <v>1578726406899533</v>
      </c>
      <c r="C2811" t="s">
        <v>37</v>
      </c>
      <c r="D2811">
        <v>5.0562420000000001</v>
      </c>
      <c r="E2811">
        <v>0.39312950000000002</v>
      </c>
      <c r="F2811" t="s">
        <v>85</v>
      </c>
      <c r="G2811">
        <v>-183.12</v>
      </c>
      <c r="H2811" s="1">
        <v>-5.6736810000000001E-6</v>
      </c>
      <c r="I2811">
        <v>-43.57837</v>
      </c>
      <c r="J2811">
        <v>-202.0224</v>
      </c>
      <c r="K2811">
        <v>1.112007</v>
      </c>
      <c r="L2811">
        <v>-60.882930000000002</v>
      </c>
      <c r="M2811">
        <v>0.93114940000000002</v>
      </c>
      <c r="N2811">
        <v>0</v>
      </c>
      <c r="O2811">
        <v>0.36440059999999902</v>
      </c>
      <c r="P2811">
        <v>0.87997539999999996</v>
      </c>
      <c r="Q2811">
        <v>0.15536839999999999</v>
      </c>
      <c r="R2811">
        <v>0.44889209999999902</v>
      </c>
      <c r="S2811">
        <v>2.347153</v>
      </c>
      <c r="T2811">
        <v>-0.13707349999999999</v>
      </c>
      <c r="U2811">
        <v>2.1404109999999998</v>
      </c>
      <c r="V2811">
        <v>-0.100842</v>
      </c>
      <c r="W2811">
        <v>0.1662071</v>
      </c>
      <c r="X2811">
        <v>0.98092099999999904</v>
      </c>
      <c r="Y2811">
        <v>-0.35819200000000001</v>
      </c>
      <c r="Z2811">
        <v>-8.2778060000000004E-3</v>
      </c>
      <c r="AA2811">
        <v>0.93361119999999898</v>
      </c>
      <c r="AB2811">
        <v>29</v>
      </c>
      <c r="AC2811">
        <v>18.9024</v>
      </c>
      <c r="AD2811">
        <v>-1.1120126736810001</v>
      </c>
      <c r="AE2811">
        <v>17.304559999999999</v>
      </c>
      <c r="AF2811">
        <v>-9.2085443289275499</v>
      </c>
      <c r="AG2811">
        <v>-1.1120126736810001</v>
      </c>
      <c r="AH2811">
        <v>23.863886040271701</v>
      </c>
      <c r="AI2811">
        <v>92.489295141209396</v>
      </c>
      <c r="AJ2811">
        <v>111.10049543057499</v>
      </c>
      <c r="AK2811">
        <v>25.603103674893099</v>
      </c>
    </row>
    <row r="2812" spans="1:37" x14ac:dyDescent="0.2">
      <c r="A2812" t="str">
        <f>"20200111150646921"</f>
        <v>20200111150646921</v>
      </c>
      <c r="B2812" t="str">
        <f>"1578726406909293"</f>
        <v>1578726406909293</v>
      </c>
      <c r="C2812" t="s">
        <v>37</v>
      </c>
      <c r="D2812">
        <v>4.9629789999999998</v>
      </c>
      <c r="E2812">
        <v>0.39433570000000001</v>
      </c>
      <c r="F2812" t="s">
        <v>85</v>
      </c>
      <c r="G2812">
        <v>-183.82169999999999</v>
      </c>
      <c r="H2812" s="1">
        <v>-5.5292409999999898E-6</v>
      </c>
      <c r="I2812">
        <v>-44.156599999999997</v>
      </c>
      <c r="J2812">
        <v>-201.89580000000001</v>
      </c>
      <c r="K2812">
        <v>1.1120429999999999</v>
      </c>
      <c r="L2812">
        <v>-60.827819999999903</v>
      </c>
      <c r="M2812">
        <v>0.92920709999999995</v>
      </c>
      <c r="N2812">
        <v>0</v>
      </c>
      <c r="O2812">
        <v>0.36932470000000001</v>
      </c>
      <c r="P2812">
        <v>0.87777739999999904</v>
      </c>
      <c r="Q2812">
        <v>0.15470980000000001</v>
      </c>
      <c r="R2812">
        <v>0.45340029999999998</v>
      </c>
      <c r="S2812">
        <v>2.3382419999999899</v>
      </c>
      <c r="T2812">
        <v>-0.1428604</v>
      </c>
      <c r="U2812">
        <v>2.1488339999999999</v>
      </c>
      <c r="V2812">
        <v>-0.10064090000000001</v>
      </c>
      <c r="W2812">
        <v>0.16555439999999999</v>
      </c>
      <c r="X2812">
        <v>0.98105200000000004</v>
      </c>
      <c r="Y2812">
        <v>-0.35684899999999897</v>
      </c>
      <c r="Z2812">
        <v>-8.8979300000000001E-3</v>
      </c>
      <c r="AA2812">
        <v>0.9341197</v>
      </c>
      <c r="AB2812">
        <v>29</v>
      </c>
      <c r="AC2812">
        <v>18.074100000000001</v>
      </c>
      <c r="AD2812">
        <v>-1.1120485292410001</v>
      </c>
      <c r="AE2812">
        <v>16.671219999999899</v>
      </c>
      <c r="AF2812">
        <v>-8.7985724313143301</v>
      </c>
      <c r="AG2812">
        <v>-1.1120485292410001</v>
      </c>
      <c r="AH2812">
        <v>22.906812394865099</v>
      </c>
      <c r="AI2812">
        <v>92.594786862799097</v>
      </c>
      <c r="AJ2812">
        <v>111.01192595340299</v>
      </c>
      <c r="AK2812">
        <v>24.563663872761701</v>
      </c>
    </row>
    <row r="2813" spans="1:37" x14ac:dyDescent="0.2">
      <c r="A2813" t="str">
        <f>"20200111150646931"</f>
        <v>20200111150646931</v>
      </c>
      <c r="B2813" t="str">
        <f>"1578726406928813"</f>
        <v>1578726406928813</v>
      </c>
      <c r="C2813" t="s">
        <v>37</v>
      </c>
      <c r="D2813">
        <v>5.0212570000000003</v>
      </c>
      <c r="E2813">
        <v>0.39653459999999902</v>
      </c>
      <c r="F2813" t="s">
        <v>85</v>
      </c>
      <c r="G2813">
        <v>-185.03540000000001</v>
      </c>
      <c r="H2813" s="1">
        <v>-5.2263969999999998E-6</v>
      </c>
      <c r="I2813">
        <v>-45.270569999999999</v>
      </c>
      <c r="J2813">
        <v>-201.76169999999999</v>
      </c>
      <c r="K2813">
        <v>1.1120889999999899</v>
      </c>
      <c r="L2813">
        <v>-60.7690699999999</v>
      </c>
      <c r="M2813">
        <v>0.92711509999999997</v>
      </c>
      <c r="N2813">
        <v>0</v>
      </c>
      <c r="O2813">
        <v>0.37454490000000001</v>
      </c>
      <c r="P2813">
        <v>0.87542999999999904</v>
      </c>
      <c r="Q2813">
        <v>0.15422529999999901</v>
      </c>
      <c r="R2813">
        <v>0.45807949999999997</v>
      </c>
      <c r="S2813">
        <v>2.33296199999999</v>
      </c>
      <c r="T2813">
        <v>-0.1538736</v>
      </c>
      <c r="U2813">
        <v>2.1526489999999998</v>
      </c>
      <c r="V2813">
        <v>-0.1003351</v>
      </c>
      <c r="W2813">
        <v>0.16507849999999999</v>
      </c>
      <c r="X2813">
        <v>0.98116360000000002</v>
      </c>
      <c r="Y2813">
        <v>-0.35347889999999998</v>
      </c>
      <c r="Z2813">
        <v>-9.9421909999999995E-3</v>
      </c>
      <c r="AA2813">
        <v>0.93538969999999899</v>
      </c>
      <c r="AB2813">
        <v>29</v>
      </c>
      <c r="AC2813">
        <v>16.726299999999899</v>
      </c>
      <c r="AD2813">
        <v>-1.112094226397</v>
      </c>
      <c r="AE2813">
        <v>15.4984999999999</v>
      </c>
      <c r="AF2813">
        <v>-8.08561537439404</v>
      </c>
      <c r="AG2813">
        <v>-1.112094226397</v>
      </c>
      <c r="AH2813">
        <v>21.263365861568499</v>
      </c>
      <c r="AI2813">
        <v>92.798724309275599</v>
      </c>
      <c r="AJ2813">
        <v>110.81982563708399</v>
      </c>
      <c r="AK2813">
        <v>22.7759666603624</v>
      </c>
    </row>
    <row r="2814" spans="1:37" x14ac:dyDescent="0.2">
      <c r="A2814" t="str">
        <f>"20200111150646943"</f>
        <v>20200111150646943</v>
      </c>
      <c r="B2814" t="str">
        <f>"1578726406939549"</f>
        <v>1578726406939549</v>
      </c>
      <c r="C2814" t="s">
        <v>37</v>
      </c>
      <c r="D2814">
        <v>4.9878330000000002</v>
      </c>
      <c r="E2814">
        <v>0.39734969999999997</v>
      </c>
      <c r="F2814" t="s">
        <v>85</v>
      </c>
      <c r="G2814">
        <v>-186.6831</v>
      </c>
      <c r="H2814" s="1">
        <v>-4.7231690000000001E-6</v>
      </c>
      <c r="I2814">
        <v>-46.861849999999997</v>
      </c>
      <c r="J2814">
        <v>-201.63409999999999</v>
      </c>
      <c r="K2814">
        <v>1.112131</v>
      </c>
      <c r="L2814">
        <v>-60.711640000000003</v>
      </c>
      <c r="M2814">
        <v>0.92506849999999996</v>
      </c>
      <c r="N2814">
        <v>0</v>
      </c>
      <c r="O2814">
        <v>0.37957150000000001</v>
      </c>
      <c r="P2814">
        <v>0.87315119999999902</v>
      </c>
      <c r="Q2814">
        <v>0.1544411</v>
      </c>
      <c r="R2814">
        <v>0.46233639999999998</v>
      </c>
      <c r="S2814">
        <v>2.3318180000000002</v>
      </c>
      <c r="T2814">
        <v>-0.1719783</v>
      </c>
      <c r="U2814">
        <v>2.150665</v>
      </c>
      <c r="V2814">
        <v>-9.9821240000000006E-2</v>
      </c>
      <c r="W2814">
        <v>0.1653066</v>
      </c>
      <c r="X2814">
        <v>0.98117759999999998</v>
      </c>
      <c r="Y2814">
        <v>-0.34820950000000001</v>
      </c>
      <c r="Z2814">
        <v>-1.1555950000000001E-2</v>
      </c>
      <c r="AA2814">
        <v>0.93734549999999905</v>
      </c>
      <c r="AB2814">
        <v>29</v>
      </c>
      <c r="AC2814">
        <v>14.950999999999899</v>
      </c>
      <c r="AD2814">
        <v>-1.1121357231689999</v>
      </c>
      <c r="AE2814">
        <v>13.84979</v>
      </c>
      <c r="AF2814">
        <v>-7.1164593382950398</v>
      </c>
      <c r="AG2814">
        <v>-1.1121357231689999</v>
      </c>
      <c r="AH2814">
        <v>19.032666773216501</v>
      </c>
      <c r="AI2814">
        <v>93.132795445385199</v>
      </c>
      <c r="AJ2814">
        <v>110.50115371761299</v>
      </c>
      <c r="AK2814">
        <v>20.350018277157801</v>
      </c>
    </row>
    <row r="2815" spans="1:37" x14ac:dyDescent="0.2">
      <c r="A2815" t="str">
        <f>"20200111150646955"</f>
        <v>20200111150646955</v>
      </c>
      <c r="B2815" t="str">
        <f>"1578726406949309"</f>
        <v>1578726406949309</v>
      </c>
      <c r="C2815" t="s">
        <v>37</v>
      </c>
      <c r="D2815">
        <v>4.9882980000000003</v>
      </c>
      <c r="E2815">
        <v>0.39734969999999997</v>
      </c>
      <c r="F2815" t="s">
        <v>85</v>
      </c>
      <c r="G2815">
        <v>-187.05670000000001</v>
      </c>
      <c r="H2815" s="1">
        <v>-4.6241719999999998E-6</v>
      </c>
      <c r="I2815">
        <v>-47.190739999999998</v>
      </c>
      <c r="J2815">
        <v>-201.49780000000001</v>
      </c>
      <c r="K2815">
        <v>1.1121809999999901</v>
      </c>
      <c r="L2815">
        <v>-60.64996</v>
      </c>
      <c r="M2815">
        <v>0.92284769999999905</v>
      </c>
      <c r="N2815">
        <v>0</v>
      </c>
      <c r="O2815">
        <v>0.38493889999999997</v>
      </c>
      <c r="P2815">
        <v>0.87068189999999901</v>
      </c>
      <c r="Q2815">
        <v>0.154585</v>
      </c>
      <c r="R2815">
        <v>0.46692240000000002</v>
      </c>
      <c r="S2815">
        <v>2.3252259999999998</v>
      </c>
      <c r="T2815">
        <v>-0.17739579999999999</v>
      </c>
      <c r="U2815">
        <v>2.1567080000000001</v>
      </c>
      <c r="V2815">
        <v>-9.9311430000000006E-2</v>
      </c>
      <c r="W2815">
        <v>0.16546269999999999</v>
      </c>
      <c r="X2815">
        <v>0.98120300000000005</v>
      </c>
      <c r="Y2815">
        <v>-0.3454083</v>
      </c>
      <c r="Z2815">
        <v>-1.2323829999999999E-2</v>
      </c>
      <c r="AA2815">
        <v>0.93837159999999997</v>
      </c>
      <c r="AB2815">
        <v>29</v>
      </c>
      <c r="AC2815">
        <v>14.4411</v>
      </c>
      <c r="AD2815">
        <v>-1.1121856241719901</v>
      </c>
      <c r="AE2815">
        <v>13.459219999999901</v>
      </c>
      <c r="AF2815">
        <v>-6.8407530658792099</v>
      </c>
      <c r="AG2815">
        <v>-1.1121856241719901</v>
      </c>
      <c r="AH2815">
        <v>18.450958924220998</v>
      </c>
      <c r="AI2815">
        <v>93.234830267677197</v>
      </c>
      <c r="AJ2815">
        <v>110.34242577950199</v>
      </c>
      <c r="AK2815">
        <v>19.7096611993774</v>
      </c>
    </row>
    <row r="2816" spans="1:37" x14ac:dyDescent="0.2">
      <c r="A2816" t="str">
        <f>"20200111150646965"</f>
        <v>20200111150646965</v>
      </c>
      <c r="B2816" t="str">
        <f>"1578726406959069"</f>
        <v>1578726406959069</v>
      </c>
      <c r="C2816" t="s">
        <v>37</v>
      </c>
      <c r="D2816">
        <v>4.946072</v>
      </c>
      <c r="E2816">
        <v>0.41101199999999999</v>
      </c>
      <c r="F2816" t="s">
        <v>85</v>
      </c>
      <c r="G2816">
        <v>-186.9434</v>
      </c>
      <c r="H2816" s="1">
        <v>-4.6973580000000002E-6</v>
      </c>
      <c r="I2816">
        <v>-47.005220000000001</v>
      </c>
      <c r="J2816">
        <v>-201.3588</v>
      </c>
      <c r="K2816">
        <v>1.1122270000000001</v>
      </c>
      <c r="L2816">
        <v>-60.585540000000002</v>
      </c>
      <c r="M2816">
        <v>0.92052259999999997</v>
      </c>
      <c r="N2816">
        <v>0</v>
      </c>
      <c r="O2816">
        <v>0.39046629999999999</v>
      </c>
      <c r="P2816">
        <v>0.86802199999999996</v>
      </c>
      <c r="Q2816">
        <v>0.1550581</v>
      </c>
      <c r="R2816">
        <v>0.47169349999999999</v>
      </c>
      <c r="S2816">
        <v>2.3137509999999999</v>
      </c>
      <c r="T2816">
        <v>-0.1768062</v>
      </c>
      <c r="U2816">
        <v>2.16912799999999</v>
      </c>
      <c r="V2816">
        <v>-9.8870959999999994E-2</v>
      </c>
      <c r="W2816">
        <v>0.16594610000000001</v>
      </c>
      <c r="X2816">
        <v>0.98116579999999998</v>
      </c>
      <c r="Y2816">
        <v>-0.34479130000000002</v>
      </c>
      <c r="Z2816">
        <v>-1.263095E-2</v>
      </c>
      <c r="AA2816">
        <v>0.93859439999999905</v>
      </c>
      <c r="AB2816">
        <v>29</v>
      </c>
      <c r="AC2816">
        <v>14.4154</v>
      </c>
      <c r="AD2816">
        <v>-1.112231697358</v>
      </c>
      <c r="AE2816">
        <v>13.58032</v>
      </c>
      <c r="AF2816">
        <v>-6.8512539427159398</v>
      </c>
      <c r="AG2816">
        <v>-1.112231697358</v>
      </c>
      <c r="AH2816">
        <v>18.5155800588917</v>
      </c>
      <c r="AI2816">
        <v>93.224459143826195</v>
      </c>
      <c r="AJ2816">
        <v>110.305805553159</v>
      </c>
      <c r="AK2816">
        <v>19.7738070399561</v>
      </c>
    </row>
    <row r="2817" spans="1:37" x14ac:dyDescent="0.2">
      <c r="A2817" t="str">
        <f>"20200111150646977"</f>
        <v>20200111150646977</v>
      </c>
      <c r="B2817" t="str">
        <f>"1578726406969805"</f>
        <v>1578726406969805</v>
      </c>
      <c r="C2817" t="s">
        <v>37</v>
      </c>
      <c r="D2817">
        <v>4.9944189999999997</v>
      </c>
      <c r="E2817">
        <v>0.41118719999999997</v>
      </c>
      <c r="F2817" t="s">
        <v>85</v>
      </c>
      <c r="G2817">
        <v>-191.92949999999999</v>
      </c>
      <c r="H2817" s="1">
        <v>-9.3168659999999992E-6</v>
      </c>
      <c r="I2817">
        <v>-52.248709999999903</v>
      </c>
      <c r="J2817">
        <v>-201.2278</v>
      </c>
      <c r="K2817">
        <v>1.112269</v>
      </c>
      <c r="L2817">
        <v>-60.524169999999998</v>
      </c>
      <c r="M2817">
        <v>0.91829039999999995</v>
      </c>
      <c r="N2817">
        <v>0</v>
      </c>
      <c r="O2817">
        <v>0.3956866</v>
      </c>
      <c r="P2817">
        <v>0.86535249999999997</v>
      </c>
      <c r="Q2817">
        <v>0.15567320000000001</v>
      </c>
      <c r="R2817">
        <v>0.47637269999999998</v>
      </c>
      <c r="S2817">
        <v>2.3682099999999999</v>
      </c>
      <c r="T2817">
        <v>-0.2793446</v>
      </c>
      <c r="U2817">
        <v>2.093842</v>
      </c>
      <c r="V2817">
        <v>-9.8668679999999995E-2</v>
      </c>
      <c r="W2817">
        <v>0.166566299999999</v>
      </c>
      <c r="X2817">
        <v>0.98108109999999904</v>
      </c>
      <c r="Y2817">
        <v>-0.31208029999999998</v>
      </c>
      <c r="Z2817">
        <v>-2.1932460000000001E-2</v>
      </c>
      <c r="AA2817">
        <v>0.94980249999999999</v>
      </c>
      <c r="AB2817">
        <v>29</v>
      </c>
      <c r="AC2817">
        <v>9.29830000000001</v>
      </c>
      <c r="AD2817">
        <v>-1.112278316866</v>
      </c>
      <c r="AE2817">
        <v>8.2754600000000007</v>
      </c>
      <c r="AF2817">
        <v>-3.8893502166559899</v>
      </c>
      <c r="AG2817">
        <v>-1.112278316866</v>
      </c>
      <c r="AH2817">
        <v>11.7204766389785</v>
      </c>
      <c r="AI2817">
        <v>95.146780760729698</v>
      </c>
      <c r="AJ2817">
        <v>108.35802882049801</v>
      </c>
      <c r="AK2817">
        <v>12.3989427293948</v>
      </c>
    </row>
    <row r="2818" spans="1:37" x14ac:dyDescent="0.2">
      <c r="A2818" t="str">
        <f>"20200111150646988"</f>
        <v>20200111150646988</v>
      </c>
      <c r="B2818" t="str">
        <f>"1578726406979565"</f>
        <v>1578726406979565</v>
      </c>
      <c r="C2818" t="s">
        <v>37</v>
      </c>
      <c r="D2818">
        <v>5.069401</v>
      </c>
      <c r="E2818">
        <v>0.40979120000000002</v>
      </c>
      <c r="F2818" t="s">
        <v>85</v>
      </c>
      <c r="G2818">
        <v>-191.8314</v>
      </c>
      <c r="H2818" s="1">
        <v>-9.349468E-6</v>
      </c>
      <c r="I2818">
        <v>-52.132089999999998</v>
      </c>
      <c r="J2818">
        <v>-201.0967</v>
      </c>
      <c r="K2818">
        <v>1.112304</v>
      </c>
      <c r="L2818">
        <v>-60.461819999999904</v>
      </c>
      <c r="M2818">
        <v>0.916010199999999</v>
      </c>
      <c r="N2818">
        <v>0</v>
      </c>
      <c r="O2818">
        <v>0.40093679999999998</v>
      </c>
      <c r="P2818">
        <v>0.86254540000000002</v>
      </c>
      <c r="Q2818">
        <v>0.15587029999999999</v>
      </c>
      <c r="R2818">
        <v>0.4813731</v>
      </c>
      <c r="S2818">
        <v>2.3577880000000002</v>
      </c>
      <c r="T2818">
        <v>-0.27909729999999999</v>
      </c>
      <c r="U2818">
        <v>2.1057739999999998</v>
      </c>
      <c r="V2818">
        <v>-9.876501E-2</v>
      </c>
      <c r="W2818">
        <v>0.16676189999999999</v>
      </c>
      <c r="X2818">
        <v>0.98103819999999997</v>
      </c>
      <c r="Y2818">
        <v>-0.31142029999999998</v>
      </c>
      <c r="Z2818">
        <v>-2.2435380000000001E-2</v>
      </c>
      <c r="AA2818">
        <v>0.95000739999999995</v>
      </c>
      <c r="AB2818">
        <v>29</v>
      </c>
      <c r="AC2818">
        <v>9.2652999999999892</v>
      </c>
      <c r="AD2818">
        <v>-1.112313349468</v>
      </c>
      <c r="AE2818">
        <v>8.3297299999999908</v>
      </c>
      <c r="AF2818">
        <v>-3.8846980821895598</v>
      </c>
      <c r="AG2818">
        <v>-1.112313349468</v>
      </c>
      <c r="AH2818">
        <v>11.7343128171324</v>
      </c>
      <c r="AI2818">
        <v>95.142108723098502</v>
      </c>
      <c r="AJ2818">
        <v>108.317362304863</v>
      </c>
      <c r="AK2818">
        <v>12.410568780982199</v>
      </c>
    </row>
    <row r="2819" spans="1:37" x14ac:dyDescent="0.2">
      <c r="A2819" t="str">
        <f>"20200111150647000"</f>
        <v>20200111150647000</v>
      </c>
      <c r="B2819" t="str">
        <f>"1578726406989325"</f>
        <v>1578726406989325</v>
      </c>
      <c r="C2819" t="s">
        <v>37</v>
      </c>
      <c r="D2819">
        <v>5.0345120000000003</v>
      </c>
      <c r="E2819">
        <v>0.40890019999999999</v>
      </c>
      <c r="F2819" t="s">
        <v>85</v>
      </c>
      <c r="G2819">
        <v>-191.3793</v>
      </c>
      <c r="H2819" s="1">
        <v>-9.4904449999999996E-6</v>
      </c>
      <c r="I2819">
        <v>-51.620129999999897</v>
      </c>
      <c r="J2819">
        <v>-200.9623</v>
      </c>
      <c r="K2819">
        <v>1.1123379999999901</v>
      </c>
      <c r="L2819">
        <v>-60.396669999999901</v>
      </c>
      <c r="M2819">
        <v>0.91362239999999995</v>
      </c>
      <c r="N2819">
        <v>0</v>
      </c>
      <c r="O2819">
        <v>0.40634809999999999</v>
      </c>
      <c r="P2819">
        <v>0.85966409999999904</v>
      </c>
      <c r="Q2819">
        <v>0.1559295</v>
      </c>
      <c r="R2819">
        <v>0.486481</v>
      </c>
      <c r="S2819">
        <v>2.3388209999999998</v>
      </c>
      <c r="T2819">
        <v>-0.26771590000000001</v>
      </c>
      <c r="U2819">
        <v>2.1280519999999998</v>
      </c>
      <c r="V2819">
        <v>-9.8800929999999995E-2</v>
      </c>
      <c r="W2819">
        <v>0.16682259999999999</v>
      </c>
      <c r="X2819">
        <v>0.98102429999999996</v>
      </c>
      <c r="Y2819">
        <v>-0.31457179999999901</v>
      </c>
      <c r="Z2819">
        <v>-2.1876619999999999E-2</v>
      </c>
      <c r="AA2819">
        <v>0.94898150000000003</v>
      </c>
      <c r="AB2819">
        <v>29</v>
      </c>
      <c r="AC2819">
        <v>9.5829999999999895</v>
      </c>
      <c r="AD2819">
        <v>-1.1123474904449999</v>
      </c>
      <c r="AE2819">
        <v>8.77653999999999</v>
      </c>
      <c r="AF2819">
        <v>-4.0947672950370197</v>
      </c>
      <c r="AG2819">
        <v>-1.1123474904449999</v>
      </c>
      <c r="AH2819">
        <v>12.2330178591292</v>
      </c>
      <c r="AI2819">
        <v>94.928281240677705</v>
      </c>
      <c r="AJ2819">
        <v>108.506978278226</v>
      </c>
      <c r="AK2819">
        <v>12.948017689275</v>
      </c>
    </row>
    <row r="2820" spans="1:37" x14ac:dyDescent="0.2">
      <c r="A2820" t="str">
        <f>"20200111150647011"</f>
        <v>20200111150647011</v>
      </c>
      <c r="B2820" t="str">
        <f>"1578726407008845"</f>
        <v>1578726407008845</v>
      </c>
      <c r="C2820" t="s">
        <v>37</v>
      </c>
      <c r="D2820">
        <v>5.059113</v>
      </c>
      <c r="E2820">
        <v>0.40796279999999902</v>
      </c>
      <c r="F2820" t="s">
        <v>85</v>
      </c>
      <c r="G2820">
        <v>-191.053</v>
      </c>
      <c r="H2820" s="1">
        <v>-9.5997370000000001E-6</v>
      </c>
      <c r="I2820">
        <v>-51.229889999999997</v>
      </c>
      <c r="J2820">
        <v>-200.8313</v>
      </c>
      <c r="K2820">
        <v>1.1123700000000001</v>
      </c>
      <c r="L2820">
        <v>-60.332669999999901</v>
      </c>
      <c r="M2820">
        <v>0.91125619999999996</v>
      </c>
      <c r="N2820">
        <v>0</v>
      </c>
      <c r="O2820">
        <v>0.41162669999999901</v>
      </c>
      <c r="P2820">
        <v>0.85679740000000004</v>
      </c>
      <c r="Q2820">
        <v>0.15534589999999901</v>
      </c>
      <c r="R2820">
        <v>0.49169689999999999</v>
      </c>
      <c r="S2820">
        <v>2.3216399999999999</v>
      </c>
      <c r="T2820">
        <v>-0.26061089999999998</v>
      </c>
      <c r="U2820">
        <v>2.147675</v>
      </c>
      <c r="V2820">
        <v>-9.9045250000000001E-2</v>
      </c>
      <c r="W2820">
        <v>0.16623579999999999</v>
      </c>
      <c r="X2820">
        <v>0.98109919999999995</v>
      </c>
      <c r="Y2820">
        <v>-0.31689970000000001</v>
      </c>
      <c r="Z2820">
        <v>-2.166531E-2</v>
      </c>
      <c r="AA2820">
        <v>0.94821160000000004</v>
      </c>
      <c r="AB2820">
        <v>29</v>
      </c>
      <c r="AC2820">
        <v>9.7782999999999998</v>
      </c>
      <c r="AD2820">
        <v>-1.1123795997370001</v>
      </c>
      <c r="AE2820">
        <v>9.1027799999999797</v>
      </c>
      <c r="AF2820">
        <v>-4.24092756816788</v>
      </c>
      <c r="AG2820">
        <v>-1.1123795997370001</v>
      </c>
      <c r="AH2820">
        <v>12.571436359305</v>
      </c>
      <c r="AI2820">
        <v>94.792610126741195</v>
      </c>
      <c r="AJ2820">
        <v>108.64163265799201</v>
      </c>
      <c r="AK2820">
        <v>13.314047737198999</v>
      </c>
    </row>
    <row r="2821" spans="1:37" x14ac:dyDescent="0.2">
      <c r="A2821" t="str">
        <f>"20200111150647021"</f>
        <v>20200111150647021</v>
      </c>
      <c r="B2821" t="str">
        <f>"1578726407019581"</f>
        <v>1578726407019581</v>
      </c>
      <c r="C2821" t="s">
        <v>37</v>
      </c>
      <c r="D2821">
        <v>5.0673300000000001</v>
      </c>
      <c r="E2821">
        <v>0.40768009999999999</v>
      </c>
      <c r="F2821" t="s">
        <v>85</v>
      </c>
      <c r="G2821">
        <v>-190.78649999999999</v>
      </c>
      <c r="H2821" s="1">
        <v>-9.6997509999999907E-6</v>
      </c>
      <c r="I2821">
        <v>-50.881599999999999</v>
      </c>
      <c r="J2821">
        <v>-200.71599999999901</v>
      </c>
      <c r="K2821">
        <v>1.112395</v>
      </c>
      <c r="L2821">
        <v>-60.27496</v>
      </c>
      <c r="M2821">
        <v>0.909126199999999</v>
      </c>
      <c r="N2821">
        <v>0</v>
      </c>
      <c r="O2821">
        <v>0.41630969999999901</v>
      </c>
      <c r="P2821">
        <v>0.85434009999999905</v>
      </c>
      <c r="Q2821">
        <v>0.1549323</v>
      </c>
      <c r="R2821">
        <v>0.49608370000000002</v>
      </c>
      <c r="S2821">
        <v>2.303741</v>
      </c>
      <c r="T2821">
        <v>-0.25512059999999998</v>
      </c>
      <c r="U2821">
        <v>2.1675719999999998</v>
      </c>
      <c r="V2821">
        <v>-9.8997909999999995E-2</v>
      </c>
      <c r="W2821">
        <v>0.16582620000000001</v>
      </c>
      <c r="X2821">
        <v>0.98117330000000003</v>
      </c>
      <c r="Y2821">
        <v>-0.320034599999999</v>
      </c>
      <c r="Z2821">
        <v>-2.1487880000000001E-2</v>
      </c>
      <c r="AA2821">
        <v>0.94716219999999995</v>
      </c>
      <c r="AB2821">
        <v>29</v>
      </c>
      <c r="AC2821">
        <v>9.9294999999999902</v>
      </c>
      <c r="AD2821">
        <v>-1.112404699751</v>
      </c>
      <c r="AE2821">
        <v>9.3933599999999995</v>
      </c>
      <c r="AF2821">
        <v>-4.3773967341897899</v>
      </c>
      <c r="AG2821">
        <v>-1.112404699751</v>
      </c>
      <c r="AH2821">
        <v>12.853717925558101</v>
      </c>
      <c r="AI2821">
        <v>94.683388392184497</v>
      </c>
      <c r="AJ2821">
        <v>108.806527795823</v>
      </c>
      <c r="AK2821">
        <v>13.624137069713299</v>
      </c>
    </row>
    <row r="2822" spans="1:37" x14ac:dyDescent="0.2">
      <c r="A2822" t="str">
        <f>"20200111150647033"</f>
        <v>20200111150647033</v>
      </c>
      <c r="B2822" t="str">
        <f>"1578726407029341"</f>
        <v>1578726407029341</v>
      </c>
      <c r="C2822" t="s">
        <v>37</v>
      </c>
      <c r="D2822">
        <v>5.0808179999999998</v>
      </c>
      <c r="E2822">
        <v>0.40756550000000002</v>
      </c>
      <c r="F2822" t="s">
        <v>85</v>
      </c>
      <c r="G2822">
        <v>-190.69280000000001</v>
      </c>
      <c r="H2822" s="1">
        <v>-9.7440890000000003E-6</v>
      </c>
      <c r="I2822">
        <v>-50.733909999999902</v>
      </c>
      <c r="J2822">
        <v>-200.5881</v>
      </c>
      <c r="K2822">
        <v>1.1124209999999899</v>
      </c>
      <c r="L2822">
        <v>-60.210749999999997</v>
      </c>
      <c r="M2822">
        <v>0.90673239999999999</v>
      </c>
      <c r="N2822">
        <v>0</v>
      </c>
      <c r="O2822">
        <v>0.42149789999999998</v>
      </c>
      <c r="P2822">
        <v>0.85155369999999997</v>
      </c>
      <c r="Q2822">
        <v>0.15453</v>
      </c>
      <c r="R2822">
        <v>0.50097609999999904</v>
      </c>
      <c r="S2822">
        <v>2.2911830000000002</v>
      </c>
      <c r="T2822">
        <v>-0.25428220000000001</v>
      </c>
      <c r="U2822">
        <v>2.1809689999999899</v>
      </c>
      <c r="V2822">
        <v>-9.899107E-2</v>
      </c>
      <c r="W2822">
        <v>0.16542699999999999</v>
      </c>
      <c r="X2822">
        <v>0.98124140000000004</v>
      </c>
      <c r="Y2822">
        <v>-0.320131099999999</v>
      </c>
      <c r="Z2822">
        <v>-2.1860830000000001E-2</v>
      </c>
      <c r="AA2822">
        <v>0.94712099999999899</v>
      </c>
      <c r="AB2822">
        <v>29</v>
      </c>
      <c r="AC2822">
        <v>9.89529999999999</v>
      </c>
      <c r="AD2822">
        <v>-1.11243074408899</v>
      </c>
      <c r="AE2822">
        <v>9.4768399999999993</v>
      </c>
      <c r="AF2822">
        <v>-4.3935363722869898</v>
      </c>
      <c r="AG2822">
        <v>-1.11243074408899</v>
      </c>
      <c r="AH2822">
        <v>12.8830722987563</v>
      </c>
      <c r="AI2822">
        <v>94.672196161112097</v>
      </c>
      <c r="AJ2822">
        <v>108.831004630389</v>
      </c>
      <c r="AK2822">
        <v>13.657020753809601</v>
      </c>
    </row>
    <row r="2823" spans="1:37" x14ac:dyDescent="0.2">
      <c r="A2823" t="str">
        <f>"20200111150647043"</f>
        <v>20200111150647043</v>
      </c>
      <c r="B2823" t="str">
        <f>"1578726407039101"</f>
        <v>1578726407039101</v>
      </c>
      <c r="C2823" t="s">
        <v>37</v>
      </c>
      <c r="D2823">
        <v>5.0696120000000002</v>
      </c>
      <c r="E2823">
        <v>0.40772389999999997</v>
      </c>
      <c r="F2823" t="s">
        <v>85</v>
      </c>
      <c r="G2823">
        <v>-190.6335</v>
      </c>
      <c r="H2823" s="1">
        <v>-9.779885E-6</v>
      </c>
      <c r="I2823">
        <v>-50.619149999999998</v>
      </c>
      <c r="J2823">
        <v>-200.46</v>
      </c>
      <c r="K2823">
        <v>1.1124419999999999</v>
      </c>
      <c r="L2823">
        <v>-60.144840000000002</v>
      </c>
      <c r="M2823">
        <v>0.90428349999999902</v>
      </c>
      <c r="N2823">
        <v>0</v>
      </c>
      <c r="O2823">
        <v>0.426726099999999</v>
      </c>
      <c r="P2823">
        <v>0.84845609999999905</v>
      </c>
      <c r="Q2823">
        <v>0.15486079999999999</v>
      </c>
      <c r="R2823">
        <v>0.50610319999999998</v>
      </c>
      <c r="S2823">
        <v>2.2779240000000001</v>
      </c>
      <c r="T2823">
        <v>-0.25455839999999902</v>
      </c>
      <c r="U2823">
        <v>2.194855</v>
      </c>
      <c r="V2823">
        <v>-9.9286879999999994E-2</v>
      </c>
      <c r="W2823">
        <v>0.16575239999999999</v>
      </c>
      <c r="X2823">
        <v>0.98115659999999905</v>
      </c>
      <c r="Y2823">
        <v>-0.32042320000000002</v>
      </c>
      <c r="Z2823">
        <v>-2.232491E-2</v>
      </c>
      <c r="AA2823">
        <v>0.94701139999999995</v>
      </c>
      <c r="AB2823">
        <v>29</v>
      </c>
      <c r="AC2823">
        <v>9.82650000000001</v>
      </c>
      <c r="AD2823">
        <v>-1.112451779885</v>
      </c>
      <c r="AE2823">
        <v>9.5256900000000009</v>
      </c>
      <c r="AF2823">
        <v>-4.3920698214611997</v>
      </c>
      <c r="AG2823">
        <v>-1.112451779885</v>
      </c>
      <c r="AH2823">
        <v>12.8669271155503</v>
      </c>
      <c r="AI2823">
        <v>94.677673984240499</v>
      </c>
      <c r="AJ2823">
        <v>108.84711659288701</v>
      </c>
      <c r="AK2823">
        <v>13.641321038522801</v>
      </c>
    </row>
    <row r="2824" spans="1:37" x14ac:dyDescent="0.2">
      <c r="A2824" t="str">
        <f>"20200111150647055"</f>
        <v>20200111150647055</v>
      </c>
      <c r="B2824" t="str">
        <f>"1578726407048861"</f>
        <v>1578726407048861</v>
      </c>
      <c r="C2824" t="s">
        <v>37</v>
      </c>
      <c r="D2824">
        <v>5.0385470000000003</v>
      </c>
      <c r="E2824">
        <v>0.40777619999999998</v>
      </c>
      <c r="F2824" t="s">
        <v>85</v>
      </c>
      <c r="G2824">
        <v>-190.56610000000001</v>
      </c>
      <c r="H2824" s="1">
        <v>-9.815644E-6</v>
      </c>
      <c r="I2824">
        <v>-50.502299999999998</v>
      </c>
      <c r="J2824">
        <v>-200.33</v>
      </c>
      <c r="K2824">
        <v>1.1124700000000001</v>
      </c>
      <c r="L2824">
        <v>-60.077419999999996</v>
      </c>
      <c r="M2824">
        <v>0.90175939999999999</v>
      </c>
      <c r="N2824">
        <v>0</v>
      </c>
      <c r="O2824">
        <v>0.43203449999999999</v>
      </c>
      <c r="P2824">
        <v>0.84511099999999995</v>
      </c>
      <c r="Q2824">
        <v>0.155188299999999</v>
      </c>
      <c r="R2824">
        <v>0.51157029999999903</v>
      </c>
      <c r="S2824">
        <v>2.2653810000000001</v>
      </c>
      <c r="T2824">
        <v>-0.25471519999999997</v>
      </c>
      <c r="U2824">
        <v>2.2078250000000001</v>
      </c>
      <c r="V2824">
        <v>-9.9896239999999997E-2</v>
      </c>
      <c r="W2824">
        <v>0.16606750000000001</v>
      </c>
      <c r="X2824">
        <v>0.98104139999999995</v>
      </c>
      <c r="Y2824">
        <v>-0.32027070000000002</v>
      </c>
      <c r="Z2824">
        <v>-2.28043E-2</v>
      </c>
      <c r="AA2824">
        <v>0.94705149999999905</v>
      </c>
      <c r="AB2824">
        <v>29</v>
      </c>
      <c r="AC2824">
        <v>9.7638999999999996</v>
      </c>
      <c r="AD2824">
        <v>-1.1124798156439999</v>
      </c>
      <c r="AE2824">
        <v>9.5751199999999894</v>
      </c>
      <c r="AF2824">
        <v>-4.3874671344439298</v>
      </c>
      <c r="AG2824">
        <v>-1.1124798156439999</v>
      </c>
      <c r="AH2824">
        <v>12.8575242919022</v>
      </c>
      <c r="AI2824">
        <v>94.681351415107002</v>
      </c>
      <c r="AJ2824">
        <v>108.841556416957</v>
      </c>
      <c r="AK2824">
        <v>13.6309724566113</v>
      </c>
    </row>
    <row r="2825" spans="1:37" x14ac:dyDescent="0.2">
      <c r="A2825" t="str">
        <f>"20200111150647066"</f>
        <v>20200111150647066</v>
      </c>
      <c r="B2825" t="str">
        <f>"1578726407059596"</f>
        <v>1578726407059596</v>
      </c>
      <c r="C2825" t="s">
        <v>37</v>
      </c>
      <c r="D2825">
        <v>5.0537780000000003</v>
      </c>
      <c r="E2825">
        <v>0.40775059999999902</v>
      </c>
      <c r="F2825" t="s">
        <v>85</v>
      </c>
      <c r="G2825">
        <v>-190.48740000000001</v>
      </c>
      <c r="H2825" s="1">
        <v>-1.002119E-6</v>
      </c>
      <c r="I2825">
        <v>-50.364690000000003</v>
      </c>
      <c r="J2825">
        <v>-200.19710000000001</v>
      </c>
      <c r="K2825">
        <v>1.1124879999999999</v>
      </c>
      <c r="L2825">
        <v>-60.007259999999903</v>
      </c>
      <c r="M2825">
        <v>0.89913180000000004</v>
      </c>
      <c r="N2825">
        <v>0</v>
      </c>
      <c r="O2825">
        <v>0.43747629999999998</v>
      </c>
      <c r="P2825">
        <v>0.8416207</v>
      </c>
      <c r="Q2825">
        <v>0.15581779999999901</v>
      </c>
      <c r="R2825">
        <v>0.51710310000000004</v>
      </c>
      <c r="S2825">
        <v>2.2515869999999998</v>
      </c>
      <c r="T2825">
        <v>-0.25448989999999999</v>
      </c>
      <c r="U2825">
        <v>2.2218930000000001</v>
      </c>
      <c r="V2825">
        <v>-0.1004765</v>
      </c>
      <c r="W2825">
        <v>0.16668479999999999</v>
      </c>
      <c r="X2825">
        <v>0.98087749999999996</v>
      </c>
      <c r="Y2825">
        <v>-0.32045750000000001</v>
      </c>
      <c r="Z2825">
        <v>-2.3248370000000001E-2</v>
      </c>
      <c r="AA2825">
        <v>0.94697759999999997</v>
      </c>
      <c r="AB2825">
        <v>29</v>
      </c>
      <c r="AC2825">
        <v>9.7096999999999891</v>
      </c>
      <c r="AD2825">
        <v>-1.1124890021189999</v>
      </c>
      <c r="AE2825">
        <v>9.6425699999999903</v>
      </c>
      <c r="AF2825">
        <v>-4.3935300317101103</v>
      </c>
      <c r="AG2825">
        <v>-1.1124890021189999</v>
      </c>
      <c r="AH2825">
        <v>12.8648119140439</v>
      </c>
      <c r="AI2825">
        <v>94.678353914337606</v>
      </c>
      <c r="AJ2825">
        <v>108.855820834336</v>
      </c>
      <c r="AK2825">
        <v>13.63979924717</v>
      </c>
    </row>
    <row r="2826" spans="1:37" x14ac:dyDescent="0.2">
      <c r="A2826" t="str">
        <f>"20200111150647078"</f>
        <v>20200111150647078</v>
      </c>
      <c r="B2826" t="str">
        <f>"1578726407069357"</f>
        <v>1578726407069357</v>
      </c>
      <c r="C2826" t="s">
        <v>37</v>
      </c>
      <c r="D2826">
        <v>5.1077059999999896</v>
      </c>
      <c r="E2826">
        <v>0.40772799999999998</v>
      </c>
      <c r="F2826" t="s">
        <v>85</v>
      </c>
      <c r="G2826">
        <v>-190.34710000000001</v>
      </c>
      <c r="H2826" s="1">
        <v>-1.093346E-6</v>
      </c>
      <c r="I2826">
        <v>-50.157859999999999</v>
      </c>
      <c r="J2826">
        <v>-200.06880000000001</v>
      </c>
      <c r="K2826">
        <v>1.112503</v>
      </c>
      <c r="L2826">
        <v>-59.938659999999999</v>
      </c>
      <c r="M2826">
        <v>0.89655260000000003</v>
      </c>
      <c r="N2826">
        <v>0</v>
      </c>
      <c r="O2826">
        <v>0.44273770000000001</v>
      </c>
      <c r="P2826">
        <v>0.83797129999999997</v>
      </c>
      <c r="Q2826">
        <v>0.15643870000000001</v>
      </c>
      <c r="R2826">
        <v>0.52281080000000002</v>
      </c>
      <c r="S2826">
        <v>2.2369840000000001</v>
      </c>
      <c r="T2826">
        <v>-0.25265159999999998</v>
      </c>
      <c r="U2826">
        <v>2.236847</v>
      </c>
      <c r="V2826">
        <v>-0.1014673</v>
      </c>
      <c r="W2826">
        <v>0.16728419999999999</v>
      </c>
      <c r="X2826">
        <v>0.98067340000000003</v>
      </c>
      <c r="Y2826">
        <v>-0.32117069999999998</v>
      </c>
      <c r="Z2826">
        <v>-2.3505209999999999E-2</v>
      </c>
      <c r="AA2826">
        <v>0.9467295</v>
      </c>
      <c r="AB2826">
        <v>29</v>
      </c>
      <c r="AC2826">
        <v>9.7216999999999896</v>
      </c>
      <c r="AD2826">
        <v>-1.112504093346</v>
      </c>
      <c r="AE2826">
        <v>9.7807999999999993</v>
      </c>
      <c r="AF2826">
        <v>-4.43636132234725</v>
      </c>
      <c r="AG2826">
        <v>-1.112504093346</v>
      </c>
      <c r="AH2826">
        <v>12.9631332356046</v>
      </c>
      <c r="AI2826">
        <v>94.642078568407797</v>
      </c>
      <c r="AJ2826">
        <v>108.89243866533</v>
      </c>
      <c r="AK2826">
        <v>13.7463373457866</v>
      </c>
    </row>
    <row r="2827" spans="1:37" x14ac:dyDescent="0.2">
      <c r="A2827" t="str">
        <f>"20200111150647088"</f>
        <v>20200111150647088</v>
      </c>
      <c r="B2827" t="str">
        <f>"1578726407079117"</f>
        <v>1578726407079117</v>
      </c>
      <c r="C2827" t="s">
        <v>37</v>
      </c>
      <c r="D2827">
        <v>5.0545999999999998</v>
      </c>
      <c r="E2827">
        <v>0.40772799999999998</v>
      </c>
      <c r="F2827" t="s">
        <v>85</v>
      </c>
      <c r="G2827">
        <v>-190.2099</v>
      </c>
      <c r="H2827" s="1">
        <v>-1.1891799999999899E-6</v>
      </c>
      <c r="I2827">
        <v>-49.944409999999998</v>
      </c>
      <c r="J2827">
        <v>-199.93950000000001</v>
      </c>
      <c r="K2827">
        <v>1.112519</v>
      </c>
      <c r="L2827">
        <v>-59.8686199999999</v>
      </c>
      <c r="M2827">
        <v>0.89391259999999995</v>
      </c>
      <c r="N2827">
        <v>0</v>
      </c>
      <c r="O2827">
        <v>0.44804389999999999</v>
      </c>
      <c r="P2827">
        <v>0.83449110000000004</v>
      </c>
      <c r="Q2827">
        <v>0.15628880000000001</v>
      </c>
      <c r="R2827">
        <v>0.52839259999999999</v>
      </c>
      <c r="S2827">
        <v>2.2217250000000002</v>
      </c>
      <c r="T2827">
        <v>-0.25070549999999903</v>
      </c>
      <c r="U2827">
        <v>2.2522279999999899</v>
      </c>
      <c r="V2827">
        <v>-0.1021913</v>
      </c>
      <c r="W2827">
        <v>0.1671202</v>
      </c>
      <c r="X2827">
        <v>0.980626199999999</v>
      </c>
      <c r="Y2827">
        <v>-0.32204769999999999</v>
      </c>
      <c r="Z2827">
        <v>-2.3744020000000001E-2</v>
      </c>
      <c r="AA2827">
        <v>0.94642569999999904</v>
      </c>
      <c r="AB2827">
        <v>29</v>
      </c>
      <c r="AC2827">
        <v>9.7295999999999996</v>
      </c>
      <c r="AD2827">
        <v>-1.1125201891800001</v>
      </c>
      <c r="AE2827">
        <v>9.9242099999999898</v>
      </c>
      <c r="AF2827">
        <v>-4.4837565773338399</v>
      </c>
      <c r="AG2827">
        <v>-1.1125201891800001</v>
      </c>
      <c r="AH2827">
        <v>13.061361954203401</v>
      </c>
      <c r="AI2827">
        <v>94.605900663572598</v>
      </c>
      <c r="AJ2827">
        <v>108.946526110739</v>
      </c>
      <c r="AK2827">
        <v>13.854275524719</v>
      </c>
    </row>
    <row r="2828" spans="1:37" x14ac:dyDescent="0.2">
      <c r="A2828" t="str">
        <f>"20200111150647099"</f>
        <v>20200111150647099</v>
      </c>
      <c r="B2828" t="str">
        <f>"1578726407088879"</f>
        <v>1578726407088879</v>
      </c>
      <c r="C2828" t="s">
        <v>37</v>
      </c>
      <c r="D2828">
        <v>5.0732569999999999</v>
      </c>
      <c r="E2828">
        <v>0.39917170000000002</v>
      </c>
      <c r="F2828" t="s">
        <v>85</v>
      </c>
      <c r="G2828">
        <v>-190.16239999999999</v>
      </c>
      <c r="H2828" s="1">
        <v>-1.2491409999999999E-6</v>
      </c>
      <c r="I2828">
        <v>-49.825249999999997</v>
      </c>
      <c r="J2828">
        <v>-199.82249999999999</v>
      </c>
      <c r="K2828">
        <v>1.1125259999999999</v>
      </c>
      <c r="L2828">
        <v>-59.804109999999902</v>
      </c>
      <c r="M2828">
        <v>0.89148340000000004</v>
      </c>
      <c r="N2828">
        <v>0</v>
      </c>
      <c r="O2828">
        <v>0.45285789999999998</v>
      </c>
      <c r="P2828">
        <v>0.83128389999999996</v>
      </c>
      <c r="Q2828">
        <v>0.1560725</v>
      </c>
      <c r="R2828">
        <v>0.53348719999999905</v>
      </c>
      <c r="S2828">
        <v>2.20672599999999</v>
      </c>
      <c r="T2828">
        <v>-0.25109870000000001</v>
      </c>
      <c r="U2828">
        <v>2.2668149999999998</v>
      </c>
      <c r="V2828">
        <v>-0.10288410000000001</v>
      </c>
      <c r="W2828">
        <v>0.16689029999999999</v>
      </c>
      <c r="X2828">
        <v>0.98059289999999999</v>
      </c>
      <c r="Y2828">
        <v>-0.32321129999999998</v>
      </c>
      <c r="Z2828">
        <v>-2.415016E-2</v>
      </c>
      <c r="AA2828">
        <v>0.94601859999999904</v>
      </c>
      <c r="AB2828">
        <v>29</v>
      </c>
      <c r="AC2828">
        <v>9.6600999999999999</v>
      </c>
      <c r="AD2828">
        <v>-1.1125272491410001</v>
      </c>
      <c r="AE2828">
        <v>9.9788599999999903</v>
      </c>
      <c r="AF2828">
        <v>-4.49290693758135</v>
      </c>
      <c r="AG2828">
        <v>-1.1125272491410001</v>
      </c>
      <c r="AH2828">
        <v>13.048262555320701</v>
      </c>
      <c r="AI2828">
        <v>94.609057810166306</v>
      </c>
      <c r="AJ2828">
        <v>109.00011711865299</v>
      </c>
      <c r="AK2828">
        <v>13.844893836444999</v>
      </c>
    </row>
    <row r="2829" spans="1:37" x14ac:dyDescent="0.2">
      <c r="A2829" t="str">
        <f>"20200111150647113"</f>
        <v>20200111150647113</v>
      </c>
      <c r="B2829" t="str">
        <f>"1578726407109373"</f>
        <v>1578726407109373</v>
      </c>
      <c r="C2829" t="s">
        <v>37</v>
      </c>
      <c r="D2829">
        <v>5.0876279999999996</v>
      </c>
      <c r="E2829">
        <v>0.39903670000000002</v>
      </c>
      <c r="F2829" t="s">
        <v>85</v>
      </c>
      <c r="G2829">
        <v>-186.94890000000001</v>
      </c>
      <c r="H2829" s="1">
        <v>-5.2956620000000002E-6</v>
      </c>
      <c r="I2829">
        <v>-45.818240000000003</v>
      </c>
      <c r="J2829">
        <v>-199.68099999999899</v>
      </c>
      <c r="K2829">
        <v>1.1125339999999999</v>
      </c>
      <c r="L2829">
        <v>-59.725490000000001</v>
      </c>
      <c r="M2829">
        <v>0.8885033</v>
      </c>
      <c r="N2829">
        <v>0</v>
      </c>
      <c r="O2829">
        <v>0.45867730000000001</v>
      </c>
      <c r="P2829">
        <v>0.82763790000000004</v>
      </c>
      <c r="Q2829">
        <v>0.1556749</v>
      </c>
      <c r="R2829">
        <v>0.53924119999999998</v>
      </c>
      <c r="S2829">
        <v>2.146881</v>
      </c>
      <c r="T2829">
        <v>-0.18553229999999901</v>
      </c>
      <c r="U2829">
        <v>2.3323669999999899</v>
      </c>
      <c r="V2829">
        <v>-0.1032363</v>
      </c>
      <c r="W2829">
        <v>0.16648779999999999</v>
      </c>
      <c r="X2829">
        <v>0.9806243</v>
      </c>
      <c r="Y2829">
        <v>-0.34324840000000001</v>
      </c>
      <c r="Z2829">
        <v>-1.7624029999999999E-2</v>
      </c>
      <c r="AA2829">
        <v>0.93907929999999995</v>
      </c>
      <c r="AB2829">
        <v>29</v>
      </c>
      <c r="AC2829">
        <v>12.7320999999999</v>
      </c>
      <c r="AD2829">
        <v>-1.1125392956619999</v>
      </c>
      <c r="AE2829">
        <v>13.9072499999999</v>
      </c>
      <c r="AF2829">
        <v>-6.4946777752504996</v>
      </c>
      <c r="AG2829">
        <v>-1.1125392956619999</v>
      </c>
      <c r="AH2829">
        <v>17.631633904568499</v>
      </c>
      <c r="AI2829">
        <v>93.388518360492</v>
      </c>
      <c r="AJ2829">
        <v>110.221462077643</v>
      </c>
      <c r="AK2829">
        <v>18.8226750817586</v>
      </c>
    </row>
    <row r="2830" spans="1:37" x14ac:dyDescent="0.2">
      <c r="A2830" t="str">
        <f>"20200111150647127"</f>
        <v>20200111150647127</v>
      </c>
      <c r="B2830" t="str">
        <f>"1578726407119133"</f>
        <v>1578726407119133</v>
      </c>
      <c r="C2830" t="s">
        <v>37</v>
      </c>
      <c r="D2830">
        <v>5.0709999999999997</v>
      </c>
      <c r="E2830">
        <v>0.39928609999999998</v>
      </c>
      <c r="F2830" t="s">
        <v>85</v>
      </c>
      <c r="G2830">
        <v>-186.89109999999999</v>
      </c>
      <c r="H2830" s="1">
        <v>-5.3843009999999997E-6</v>
      </c>
      <c r="I2830">
        <v>-45.62162</v>
      </c>
      <c r="J2830">
        <v>-199.51140000000001</v>
      </c>
      <c r="K2830">
        <v>1.1125399999999901</v>
      </c>
      <c r="L2830">
        <v>-59.629059999999903</v>
      </c>
      <c r="M2830">
        <v>0.88485970000000003</v>
      </c>
      <c r="N2830">
        <v>0</v>
      </c>
      <c r="O2830">
        <v>0.465667099999999</v>
      </c>
      <c r="P2830">
        <v>0.82336799999999999</v>
      </c>
      <c r="Q2830">
        <v>0.155217299999999</v>
      </c>
      <c r="R2830">
        <v>0.54586880000000004</v>
      </c>
      <c r="S2830">
        <v>2.129578</v>
      </c>
      <c r="T2830">
        <v>-0.18524279999999901</v>
      </c>
      <c r="U2830">
        <v>2.3483580000000002</v>
      </c>
      <c r="V2830">
        <v>-0.1033327</v>
      </c>
      <c r="W2830">
        <v>0.1660326</v>
      </c>
      <c r="X2830">
        <v>0.98069139999999999</v>
      </c>
      <c r="Y2830">
        <v>-0.342833</v>
      </c>
      <c r="Z2830">
        <v>-1.8053199999999998E-2</v>
      </c>
      <c r="AA2830">
        <v>0.93922289999999997</v>
      </c>
      <c r="AB2830">
        <v>29</v>
      </c>
      <c r="AC2830">
        <v>12.6203</v>
      </c>
      <c r="AD2830">
        <v>-1.11254538430099</v>
      </c>
      <c r="AE2830">
        <v>14.0074399999999</v>
      </c>
      <c r="AF2830">
        <v>-6.4957214236599103</v>
      </c>
      <c r="AG2830">
        <v>-1.11254538430099</v>
      </c>
      <c r="AH2830">
        <v>17.630181670863902</v>
      </c>
      <c r="AI2830">
        <v>93.388717137505694</v>
      </c>
      <c r="AJ2830">
        <v>110.22597921471601</v>
      </c>
      <c r="AK2830">
        <v>18.8216752653315</v>
      </c>
    </row>
    <row r="2831" spans="1:37" x14ac:dyDescent="0.2">
      <c r="A2831" t="str">
        <f>"20200111150647146"</f>
        <v>20200111150647146</v>
      </c>
      <c r="B2831" t="str">
        <f>"1578726407139552"</f>
        <v>1578726407139552</v>
      </c>
      <c r="C2831" t="s">
        <v>37</v>
      </c>
      <c r="D2831">
        <v>5.0622739999999897</v>
      </c>
      <c r="E2831">
        <v>0.39912880000000001</v>
      </c>
      <c r="F2831" t="s">
        <v>85</v>
      </c>
      <c r="G2831">
        <v>-187.01230000000001</v>
      </c>
      <c r="H2831" s="1">
        <v>-5.3986560000000001E-6</v>
      </c>
      <c r="I2831">
        <v>-45.636000000000003</v>
      </c>
      <c r="J2831">
        <v>-199.3125</v>
      </c>
      <c r="K2831">
        <v>1.1125479999999901</v>
      </c>
      <c r="L2831">
        <v>-59.513849999999998</v>
      </c>
      <c r="M2831">
        <v>0.88049249999999901</v>
      </c>
      <c r="N2831">
        <v>0</v>
      </c>
      <c r="O2831">
        <v>0.47387299999999899</v>
      </c>
      <c r="P2831">
        <v>0.81838049999999996</v>
      </c>
      <c r="Q2831">
        <v>0.1550156</v>
      </c>
      <c r="R2831">
        <v>0.553374699999999</v>
      </c>
      <c r="S2831">
        <v>2.1116790000000001</v>
      </c>
      <c r="T2831">
        <v>-0.1879603</v>
      </c>
      <c r="U2831">
        <v>2.3640750000000001</v>
      </c>
      <c r="V2831">
        <v>-0.10316350000000001</v>
      </c>
      <c r="W2831">
        <v>0.1658394</v>
      </c>
      <c r="X2831">
        <v>0.98074189999999895</v>
      </c>
      <c r="Y2831">
        <v>-0.34117370000000002</v>
      </c>
      <c r="Z2831">
        <v>-1.88983E-2</v>
      </c>
      <c r="AA2831">
        <v>0.93981029999999999</v>
      </c>
      <c r="AB2831">
        <v>29</v>
      </c>
      <c r="AC2831">
        <v>12.300199999999901</v>
      </c>
      <c r="AD2831">
        <v>-1.1125533986559999</v>
      </c>
      <c r="AE2831">
        <v>13.877849999999899</v>
      </c>
      <c r="AF2831">
        <v>-6.3682553848761598</v>
      </c>
      <c r="AG2831">
        <v>-1.1125533986559999</v>
      </c>
      <c r="AH2831">
        <v>17.345682907947999</v>
      </c>
      <c r="AI2831">
        <v>93.445643361241807</v>
      </c>
      <c r="AJ2831">
        <v>110.16009327856101</v>
      </c>
      <c r="AK2831">
        <v>18.511217335846499</v>
      </c>
    </row>
    <row r="2832" spans="1:37" x14ac:dyDescent="0.2">
      <c r="A2832" t="str">
        <f>"20200111150647158"</f>
        <v>20200111150647158</v>
      </c>
      <c r="B2832" t="str">
        <f>"1578726407149312"</f>
        <v>1578726407149312</v>
      </c>
      <c r="C2832" t="s">
        <v>37</v>
      </c>
      <c r="D2832">
        <v>5.1041780000000001</v>
      </c>
      <c r="E2832">
        <v>0.39898230000000001</v>
      </c>
      <c r="F2832" t="s">
        <v>85</v>
      </c>
      <c r="G2832">
        <v>-186.8664</v>
      </c>
      <c r="H2832" s="1">
        <v>-5.5334729999999999E-6</v>
      </c>
      <c r="I2832">
        <v>-45.311100000000003</v>
      </c>
      <c r="J2832">
        <v>-199.1703</v>
      </c>
      <c r="K2832">
        <v>1.1125559999999901</v>
      </c>
      <c r="L2832">
        <v>-59.430079999999997</v>
      </c>
      <c r="M2832">
        <v>0.87731109999999901</v>
      </c>
      <c r="N2832">
        <v>0</v>
      </c>
      <c r="O2832">
        <v>0.47973729999999998</v>
      </c>
      <c r="P2832">
        <v>0.81464829999999999</v>
      </c>
      <c r="Q2832">
        <v>0.15523380000000001</v>
      </c>
      <c r="R2832">
        <v>0.55879409999999996</v>
      </c>
      <c r="S2832">
        <v>2.089127</v>
      </c>
      <c r="T2832">
        <v>-0.18674760000000001</v>
      </c>
      <c r="U2832">
        <v>2.3840029999999999</v>
      </c>
      <c r="V2832">
        <v>-0.103155399999999</v>
      </c>
      <c r="W2832">
        <v>0.16605999999999899</v>
      </c>
      <c r="X2832">
        <v>0.98070539999999995</v>
      </c>
      <c r="Y2832">
        <v>-0.343825299999999</v>
      </c>
      <c r="Z2832">
        <v>-1.9079579999999999E-2</v>
      </c>
      <c r="AA2832">
        <v>0.9388398</v>
      </c>
      <c r="AB2832">
        <v>29</v>
      </c>
      <c r="AC2832">
        <v>12.303900000000001</v>
      </c>
      <c r="AD2832">
        <v>-1.1125615334729999</v>
      </c>
      <c r="AE2832">
        <v>14.118980000000001</v>
      </c>
      <c r="AF2832">
        <v>-6.4618681191200302</v>
      </c>
      <c r="AG2832">
        <v>-1.1125615334729999</v>
      </c>
      <c r="AH2832">
        <v>17.507520364152601</v>
      </c>
      <c r="AI2832">
        <v>93.4117369214608</v>
      </c>
      <c r="AJ2832">
        <v>110.25864951687301</v>
      </c>
      <c r="AK2832">
        <v>18.6951010175361</v>
      </c>
    </row>
    <row r="2833" spans="1:37" x14ac:dyDescent="0.2">
      <c r="A2833" t="str">
        <f>"20200111150647169"</f>
        <v>20200111150647169</v>
      </c>
      <c r="B2833" t="str">
        <f>"1578726407159072"</f>
        <v>1578726407159072</v>
      </c>
      <c r="C2833" t="s">
        <v>37</v>
      </c>
      <c r="D2833">
        <v>5.1282990000000002</v>
      </c>
      <c r="E2833">
        <v>0.39887699999999998</v>
      </c>
      <c r="F2833" t="s">
        <v>85</v>
      </c>
      <c r="G2833">
        <v>-186.72290000000001</v>
      </c>
      <c r="H2833" s="1">
        <v>-5.642922E-6</v>
      </c>
      <c r="I2833">
        <v>-45.02129</v>
      </c>
      <c r="J2833">
        <v>-199.03909999999999</v>
      </c>
      <c r="K2833">
        <v>1.1125590000000001</v>
      </c>
      <c r="L2833">
        <v>-59.351779999999998</v>
      </c>
      <c r="M2833">
        <v>0.87432989999999999</v>
      </c>
      <c r="N2833">
        <v>0</v>
      </c>
      <c r="O2833">
        <v>0.485149</v>
      </c>
      <c r="P2833">
        <v>0.81120669999999995</v>
      </c>
      <c r="Q2833">
        <v>0.1558427</v>
      </c>
      <c r="R2833">
        <v>0.56361059999999996</v>
      </c>
      <c r="S2833">
        <v>2.0723720000000001</v>
      </c>
      <c r="T2833">
        <v>-0.1852308</v>
      </c>
      <c r="U2833">
        <v>2.3989259999999999</v>
      </c>
      <c r="V2833">
        <v>-0.10297719999999901</v>
      </c>
      <c r="W2833">
        <v>0.166674499999999</v>
      </c>
      <c r="X2833">
        <v>0.98061980000000004</v>
      </c>
      <c r="Y2833">
        <v>-0.3446708</v>
      </c>
      <c r="Z2833">
        <v>-1.9246340000000001E-2</v>
      </c>
      <c r="AA2833">
        <v>0.93852630000000004</v>
      </c>
      <c r="AB2833">
        <v>29</v>
      </c>
      <c r="AC2833">
        <v>12.316199999999901</v>
      </c>
      <c r="AD2833">
        <v>-1.112564642922</v>
      </c>
      <c r="AE2833">
        <v>14.330489999999999</v>
      </c>
      <c r="AF2833">
        <v>-6.5323203662580296</v>
      </c>
      <c r="AG2833">
        <v>-1.112564642922</v>
      </c>
      <c r="AH2833">
        <v>17.661192786234501</v>
      </c>
      <c r="AI2833">
        <v>93.381276694072298</v>
      </c>
      <c r="AJ2833">
        <v>110.297850516617</v>
      </c>
      <c r="AK2833">
        <v>18.863370326764301</v>
      </c>
    </row>
    <row r="2834" spans="1:37" x14ac:dyDescent="0.2">
      <c r="A2834" t="str">
        <f>"20200111150647182"</f>
        <v>20200111150647182</v>
      </c>
      <c r="B2834" t="str">
        <f>"1578726407179569"</f>
        <v>1578726407179569</v>
      </c>
      <c r="C2834" t="s">
        <v>37</v>
      </c>
      <c r="D2834">
        <v>5.1123459999999996</v>
      </c>
      <c r="E2834">
        <v>0.39902919999999997</v>
      </c>
      <c r="F2834" t="s">
        <v>85</v>
      </c>
      <c r="G2834">
        <v>-186.52189999999999</v>
      </c>
      <c r="H2834" s="1">
        <v>-5.7653340000000002E-6</v>
      </c>
      <c r="I2834">
        <v>-44.681660000000001</v>
      </c>
      <c r="J2834">
        <v>-198.90309999999999</v>
      </c>
      <c r="K2834">
        <v>1.1125639999999899</v>
      </c>
      <c r="L2834">
        <v>-59.2690699999999</v>
      </c>
      <c r="M2834">
        <v>0.87118830000000003</v>
      </c>
      <c r="N2834">
        <v>0</v>
      </c>
      <c r="O2834">
        <v>0.49076789999999998</v>
      </c>
      <c r="P2834">
        <v>0.80756680000000003</v>
      </c>
      <c r="Q2834">
        <v>0.156451799999999</v>
      </c>
      <c r="R2834">
        <v>0.568646599999999</v>
      </c>
      <c r="S2834">
        <v>2.05773899999999</v>
      </c>
      <c r="T2834">
        <v>-0.1828969</v>
      </c>
      <c r="U2834">
        <v>2.4116520000000001</v>
      </c>
      <c r="V2834">
        <v>-0.10283639999999999</v>
      </c>
      <c r="W2834">
        <v>0.16728850000000001</v>
      </c>
      <c r="X2834">
        <v>0.98053009999999996</v>
      </c>
      <c r="Y2834">
        <v>-0.3443716</v>
      </c>
      <c r="Z2834">
        <v>-1.9367809999999999E-2</v>
      </c>
      <c r="AA2834">
        <v>0.93863359999999996</v>
      </c>
      <c r="AB2834">
        <v>29</v>
      </c>
      <c r="AC2834">
        <v>12.3812</v>
      </c>
      <c r="AD2834">
        <v>-1.1125697653340001</v>
      </c>
      <c r="AE2834">
        <v>14.587409999999901</v>
      </c>
      <c r="AF2834">
        <v>-6.6103242979123999</v>
      </c>
      <c r="AG2834">
        <v>-1.1125697653340001</v>
      </c>
      <c r="AH2834">
        <v>17.886507013665</v>
      </c>
      <c r="AI2834">
        <v>93.339118514285303</v>
      </c>
      <c r="AJ2834">
        <v>110.282822450956</v>
      </c>
      <c r="AK2834">
        <v>19.1013437212201</v>
      </c>
    </row>
    <row r="2835" spans="1:37" x14ac:dyDescent="0.2">
      <c r="A2835" t="str">
        <f>"20200111150647196"</f>
        <v>20200111150647196</v>
      </c>
      <c r="B2835" t="str">
        <f>"1578726407189328"</f>
        <v>1578726407189328</v>
      </c>
      <c r="C2835" t="s">
        <v>37</v>
      </c>
      <c r="D2835">
        <v>5.1247999999999996</v>
      </c>
      <c r="E2835">
        <v>0.39885179999999998</v>
      </c>
      <c r="F2835" t="s">
        <v>85</v>
      </c>
      <c r="G2835">
        <v>-186.40520000000001</v>
      </c>
      <c r="H2835" s="1">
        <v>-5.8539139999999999E-6</v>
      </c>
      <c r="I2835">
        <v>-44.446930000000002</v>
      </c>
      <c r="J2835">
        <v>-198.75069999999999</v>
      </c>
      <c r="K2835">
        <v>1.1125689999999999</v>
      </c>
      <c r="L2835">
        <v>-59.175259999999902</v>
      </c>
      <c r="M2835">
        <v>0.86761279999999996</v>
      </c>
      <c r="N2835">
        <v>0</v>
      </c>
      <c r="O2835">
        <v>0.49706159999999999</v>
      </c>
      <c r="P2835">
        <v>0.80366340000000003</v>
      </c>
      <c r="Q2835">
        <v>0.15708269999999999</v>
      </c>
      <c r="R2835">
        <v>0.57397759999999998</v>
      </c>
      <c r="S2835">
        <v>2.0435490000000001</v>
      </c>
      <c r="T2835">
        <v>-0.18191749999999901</v>
      </c>
      <c r="U2835">
        <v>2.423584</v>
      </c>
      <c r="V2835">
        <v>-0.1023013</v>
      </c>
      <c r="W2835">
        <v>0.167933</v>
      </c>
      <c r="X2835">
        <v>0.98047589999999996</v>
      </c>
      <c r="Y2835">
        <v>-0.3430723</v>
      </c>
      <c r="Z2835">
        <v>-1.9697389999999999E-2</v>
      </c>
      <c r="AA2835">
        <v>0.93910249999999995</v>
      </c>
      <c r="AB2835">
        <v>29</v>
      </c>
      <c r="AC2835">
        <v>12.3454999999999</v>
      </c>
      <c r="AD2835">
        <v>-1.1125748539139999</v>
      </c>
      <c r="AE2835">
        <v>14.7283299999999</v>
      </c>
      <c r="AF2835">
        <v>-6.6204159275524201</v>
      </c>
      <c r="AG2835">
        <v>-1.1125748539139999</v>
      </c>
      <c r="AH2835">
        <v>17.973366753142201</v>
      </c>
      <c r="AI2835">
        <v>93.324351768648896</v>
      </c>
      <c r="AJ2835">
        <v>110.22106795048001</v>
      </c>
      <c r="AK2835">
        <v>19.186183630475099</v>
      </c>
    </row>
    <row r="2836" spans="1:37" x14ac:dyDescent="0.2">
      <c r="A2836" t="str">
        <f>"20200111150647210"</f>
        <v>20200111150647210</v>
      </c>
      <c r="B2836" t="str">
        <f>"1578726407199088"</f>
        <v>1578726407199088</v>
      </c>
      <c r="C2836" t="s">
        <v>37</v>
      </c>
      <c r="D2836">
        <v>5.1105260000000001</v>
      </c>
      <c r="E2836">
        <v>0.39885179999999998</v>
      </c>
      <c r="F2836" t="s">
        <v>85</v>
      </c>
      <c r="G2836">
        <v>-186.083</v>
      </c>
      <c r="H2836" s="1">
        <v>-6.0369669999999997E-6</v>
      </c>
      <c r="I2836">
        <v>-43.93083</v>
      </c>
      <c r="J2836">
        <v>-198.58690000000001</v>
      </c>
      <c r="K2836">
        <v>1.1125719999999999</v>
      </c>
      <c r="L2836">
        <v>-59.072780000000002</v>
      </c>
      <c r="M2836">
        <v>0.86370210000000003</v>
      </c>
      <c r="N2836">
        <v>0</v>
      </c>
      <c r="O2836">
        <v>0.50382629999999995</v>
      </c>
      <c r="P2836">
        <v>0.79951479999999997</v>
      </c>
      <c r="Q2836">
        <v>0.15749369999999999</v>
      </c>
      <c r="R2836">
        <v>0.57963089999999995</v>
      </c>
      <c r="S2836">
        <v>2.0261990000000001</v>
      </c>
      <c r="T2836">
        <v>-0.17795710000000001</v>
      </c>
      <c r="U2836">
        <v>2.4383539999999999</v>
      </c>
      <c r="V2836">
        <v>-0.10160319999999901</v>
      </c>
      <c r="W2836">
        <v>0.16836209999999999</v>
      </c>
      <c r="X2836">
        <v>0.98047489999999904</v>
      </c>
      <c r="Y2836">
        <v>-0.34248259999999903</v>
      </c>
      <c r="Z2836">
        <v>-1.9701989999999999E-2</v>
      </c>
      <c r="AA2836">
        <v>0.93931759999999997</v>
      </c>
      <c r="AB2836">
        <v>29</v>
      </c>
      <c r="AC2836">
        <v>12.5039</v>
      </c>
      <c r="AD2836">
        <v>-1.112578036967</v>
      </c>
      <c r="AE2836">
        <v>15.14195</v>
      </c>
      <c r="AF2836">
        <v>-6.7572525650575201</v>
      </c>
      <c r="AG2836">
        <v>-1.112578036967</v>
      </c>
      <c r="AH2836">
        <v>18.371225114490802</v>
      </c>
      <c r="AI2836">
        <v>93.253079437432802</v>
      </c>
      <c r="AJ2836">
        <v>110.194390119015</v>
      </c>
      <c r="AK2836">
        <v>19.606126703752999</v>
      </c>
    </row>
    <row r="2837" spans="1:37" x14ac:dyDescent="0.2">
      <c r="A2837" t="str">
        <f>"20200111150647223"</f>
        <v>20200111150647223</v>
      </c>
      <c r="B2837" t="str">
        <f>"1578726407219584"</f>
        <v>1578726407219584</v>
      </c>
      <c r="C2837" t="s">
        <v>37</v>
      </c>
      <c r="D2837">
        <v>5.1028250000000002</v>
      </c>
      <c r="E2837">
        <v>0.40107189999999998</v>
      </c>
      <c r="F2837" t="s">
        <v>85</v>
      </c>
      <c r="G2837">
        <v>-185.92509999999999</v>
      </c>
      <c r="H2837" s="1">
        <v>-6.1580019999999998E-6</v>
      </c>
      <c r="I2837">
        <v>-43.610639999999997</v>
      </c>
      <c r="J2837">
        <v>-198.4597</v>
      </c>
      <c r="K2837">
        <v>1.1125659999999999</v>
      </c>
      <c r="L2837">
        <v>-58.991549999999997</v>
      </c>
      <c r="M2837">
        <v>0.86061169999999998</v>
      </c>
      <c r="N2837">
        <v>0</v>
      </c>
      <c r="O2837">
        <v>0.50908699999999996</v>
      </c>
      <c r="P2837">
        <v>0.79645710000000003</v>
      </c>
      <c r="Q2837">
        <v>0.15738669999999999</v>
      </c>
      <c r="R2837">
        <v>0.58385410000000004</v>
      </c>
      <c r="S2837">
        <v>2.0087130000000002</v>
      </c>
      <c r="T2837">
        <v>-0.17650370000000001</v>
      </c>
      <c r="U2837">
        <v>2.4529719999999999</v>
      </c>
      <c r="V2837">
        <v>-0.10079489999999899</v>
      </c>
      <c r="W2837">
        <v>0.1682766</v>
      </c>
      <c r="X2837">
        <v>0.98057299999999903</v>
      </c>
      <c r="Y2837">
        <v>-0.34350429999999998</v>
      </c>
      <c r="Z2837">
        <v>-1.98365E-2</v>
      </c>
      <c r="AA2837">
        <v>0.93894159999999904</v>
      </c>
      <c r="AB2837">
        <v>29</v>
      </c>
      <c r="AC2837">
        <v>12.534599999999999</v>
      </c>
      <c r="AD2837">
        <v>-1.112572158002</v>
      </c>
      <c r="AE2837">
        <v>15.380909999999901</v>
      </c>
      <c r="AF2837">
        <v>-6.8349091990213902</v>
      </c>
      <c r="AG2837">
        <v>-1.112572158002</v>
      </c>
      <c r="AH2837">
        <v>18.560942840103699</v>
      </c>
      <c r="AI2837">
        <v>93.219440101310994</v>
      </c>
      <c r="AJ2837">
        <v>110.215800154619</v>
      </c>
      <c r="AK2837">
        <v>19.810663786941301</v>
      </c>
    </row>
    <row r="2838" spans="1:37" x14ac:dyDescent="0.2">
      <c r="A2838" t="str">
        <f>"20200111150647236"</f>
        <v>20200111150647236</v>
      </c>
      <c r="B2838" t="str">
        <f>"1578726407229345"</f>
        <v>1578726407229345</v>
      </c>
      <c r="C2838" t="s">
        <v>37</v>
      </c>
      <c r="D2838">
        <v>5.4437870000000004</v>
      </c>
      <c r="E2838">
        <v>0.40107189999999998</v>
      </c>
      <c r="F2838" t="s">
        <v>85</v>
      </c>
      <c r="G2838">
        <v>-186.77799999999999</v>
      </c>
      <c r="H2838" s="1">
        <v>-5.7864559999999899E-6</v>
      </c>
      <c r="I2838">
        <v>-44.734200000000001</v>
      </c>
      <c r="J2838">
        <v>-198.3246</v>
      </c>
      <c r="K2838">
        <v>1.1125659999999999</v>
      </c>
      <c r="L2838">
        <v>-58.904629999999997</v>
      </c>
      <c r="M2838">
        <v>0.85728660000000001</v>
      </c>
      <c r="N2838">
        <v>0</v>
      </c>
      <c r="O2838">
        <v>0.51466639999999997</v>
      </c>
      <c r="P2838">
        <v>0.79296889999999998</v>
      </c>
      <c r="Q2838">
        <v>0.15682989999999999</v>
      </c>
      <c r="R2838">
        <v>0.58873149999999996</v>
      </c>
      <c r="S2838">
        <v>2.007965</v>
      </c>
      <c r="T2838">
        <v>-0.1912391</v>
      </c>
      <c r="U2838">
        <v>2.4506839999999999</v>
      </c>
      <c r="V2838">
        <v>-0.10037459999999999</v>
      </c>
      <c r="W2838">
        <v>0.16773270000000001</v>
      </c>
      <c r="X2838">
        <v>0.98070930000000001</v>
      </c>
      <c r="Y2838">
        <v>-0.33718300000000001</v>
      </c>
      <c r="Z2838">
        <v>-2.205495E-2</v>
      </c>
      <c r="AA2838">
        <v>0.94118080000000004</v>
      </c>
      <c r="AB2838">
        <v>29</v>
      </c>
      <c r="AC2838">
        <v>11.5466</v>
      </c>
      <c r="AD2838">
        <v>-1.1125717864560001</v>
      </c>
      <c r="AE2838">
        <v>14.17043</v>
      </c>
      <c r="AF2838">
        <v>-6.1831193418174299</v>
      </c>
      <c r="AG2838">
        <v>-1.1125717864560001</v>
      </c>
      <c r="AH2838">
        <v>17.129861370426902</v>
      </c>
      <c r="AI2838">
        <v>93.495929572966702</v>
      </c>
      <c r="AJ2838">
        <v>109.847331566208</v>
      </c>
      <c r="AK2838">
        <v>18.245572924554001</v>
      </c>
    </row>
    <row r="2839" spans="1:37" x14ac:dyDescent="0.2">
      <c r="A2839" t="str">
        <f>"20200111150647246"</f>
        <v>20200111150647246</v>
      </c>
      <c r="B2839" t="str">
        <f>"1578726407239649"</f>
        <v>1578726407239649</v>
      </c>
      <c r="C2839" t="s">
        <v>37</v>
      </c>
      <c r="D2839">
        <v>5.3572610000000003</v>
      </c>
      <c r="E2839">
        <v>0.38812799999999997</v>
      </c>
      <c r="F2839" t="s">
        <v>85</v>
      </c>
      <c r="G2839">
        <v>-186.83779999999999</v>
      </c>
      <c r="H2839" s="1">
        <v>-5.8078980000000003E-6</v>
      </c>
      <c r="I2839">
        <v>-44.711019999999998</v>
      </c>
      <c r="J2839">
        <v>-198.19749999999999</v>
      </c>
      <c r="K2839">
        <v>1.1125639999999899</v>
      </c>
      <c r="L2839">
        <v>-58.821350000000002</v>
      </c>
      <c r="M2839">
        <v>0.8541069</v>
      </c>
      <c r="N2839">
        <v>0</v>
      </c>
      <c r="O2839">
        <v>0.51992629999999995</v>
      </c>
      <c r="P2839">
        <v>0.78968479999999996</v>
      </c>
      <c r="Q2839">
        <v>0.15633029999999901</v>
      </c>
      <c r="R2839">
        <v>0.59326109999999999</v>
      </c>
      <c r="S2839">
        <v>1.99304199999999</v>
      </c>
      <c r="T2839">
        <v>-0.19303789999999901</v>
      </c>
      <c r="U2839">
        <v>2.4626769999999998</v>
      </c>
      <c r="V2839">
        <v>-9.9897109999999997E-2</v>
      </c>
      <c r="W2839">
        <v>0.1672466</v>
      </c>
      <c r="X2839">
        <v>0.98084099999999996</v>
      </c>
      <c r="Y2839">
        <v>-0.33709470000000002</v>
      </c>
      <c r="Z2839">
        <v>-2.2618889999999999E-2</v>
      </c>
      <c r="AA2839">
        <v>0.94119900000000001</v>
      </c>
      <c r="AB2839">
        <v>29</v>
      </c>
      <c r="AC2839">
        <v>11.3597</v>
      </c>
      <c r="AD2839">
        <v>-1.112569807898</v>
      </c>
      <c r="AE2839">
        <v>14.110329999999999</v>
      </c>
      <c r="AF2839">
        <v>-6.1229737688495796</v>
      </c>
      <c r="AG2839">
        <v>-1.112569807898</v>
      </c>
      <c r="AH2839">
        <v>16.9762099247462</v>
      </c>
      <c r="AI2839">
        <v>93.527795357680702</v>
      </c>
      <c r="AJ2839">
        <v>109.833343157976</v>
      </c>
      <c r="AK2839">
        <v>18.080938105101598</v>
      </c>
    </row>
    <row r="2840" spans="1:37" x14ac:dyDescent="0.2">
      <c r="A2840" t="str">
        <f>"20200111150647259"</f>
        <v>20200111150647259</v>
      </c>
      <c r="B2840" t="str">
        <f>"1578726407249409"</f>
        <v>1578726407249409</v>
      </c>
      <c r="C2840" t="s">
        <v>37</v>
      </c>
      <c r="D2840">
        <v>5.0981110000000003</v>
      </c>
      <c r="E2840">
        <v>0.38874609999999998</v>
      </c>
      <c r="F2840" t="s">
        <v>46</v>
      </c>
      <c r="G2840">
        <v>-169.32380000000001</v>
      </c>
      <c r="H2840">
        <v>-0.05</v>
      </c>
      <c r="I2840">
        <v>-20.18805</v>
      </c>
      <c r="J2840">
        <v>-198.06899999999999</v>
      </c>
      <c r="K2840">
        <v>1.1125620000000001</v>
      </c>
      <c r="L2840">
        <v>-58.736080000000001</v>
      </c>
      <c r="M2840">
        <v>0.85084859999999896</v>
      </c>
      <c r="N2840">
        <v>0</v>
      </c>
      <c r="O2840">
        <v>0.52524150000000003</v>
      </c>
      <c r="P2840">
        <v>0.7863405</v>
      </c>
      <c r="Q2840">
        <v>0.15626109999999999</v>
      </c>
      <c r="R2840">
        <v>0.59770489999999998</v>
      </c>
      <c r="S2840">
        <v>1.9021299999999901</v>
      </c>
      <c r="T2840">
        <v>-7.6587080000000002E-2</v>
      </c>
      <c r="U2840">
        <v>2.5450740000000001</v>
      </c>
      <c r="V2840">
        <v>-9.9302630000000003E-2</v>
      </c>
      <c r="W2840">
        <v>0.16719300000000001</v>
      </c>
      <c r="X2840">
        <v>0.98091049999999902</v>
      </c>
      <c r="Y2840">
        <v>-0.3671584</v>
      </c>
      <c r="Z2840">
        <v>-8.7583769999999995E-3</v>
      </c>
      <c r="AA2840">
        <v>0.93011719999999898</v>
      </c>
      <c r="AB2840">
        <v>29</v>
      </c>
      <c r="AC2840">
        <v>28.745200000000001</v>
      </c>
      <c r="AD2840">
        <v>-1.1625620000000001</v>
      </c>
      <c r="AE2840">
        <v>38.548029999999997</v>
      </c>
      <c r="AF2840">
        <v>-17.6916000644669</v>
      </c>
      <c r="AG2840">
        <v>-1.1625620000000001</v>
      </c>
      <c r="AH2840">
        <v>44.682700169683699</v>
      </c>
      <c r="AI2840">
        <v>91.385771590915695</v>
      </c>
      <c r="AJ2840">
        <v>111.60051829236799</v>
      </c>
      <c r="AK2840">
        <v>48.0716960143777</v>
      </c>
    </row>
    <row r="2841" spans="1:37" x14ac:dyDescent="0.2">
      <c r="A2841" t="str">
        <f>"20200111150647270"</f>
        <v>20200111150647270</v>
      </c>
      <c r="B2841" t="str">
        <f>"1578726407259169"</f>
        <v>1578726407259169</v>
      </c>
      <c r="C2841" t="s">
        <v>37</v>
      </c>
      <c r="D2841">
        <v>5.3195199999999998</v>
      </c>
      <c r="E2841">
        <v>0.3901211</v>
      </c>
      <c r="F2841" t="s">
        <v>46</v>
      </c>
      <c r="G2841">
        <v>-171.0369</v>
      </c>
      <c r="H2841">
        <v>-0.05</v>
      </c>
      <c r="I2841">
        <v>-22.251709999999999</v>
      </c>
      <c r="J2841">
        <v>-197.9477</v>
      </c>
      <c r="K2841">
        <v>1.112563</v>
      </c>
      <c r="L2841">
        <v>-58.654819999999901</v>
      </c>
      <c r="M2841">
        <v>0.84773290000000001</v>
      </c>
      <c r="N2841">
        <v>0</v>
      </c>
      <c r="O2841">
        <v>0.53025540000000004</v>
      </c>
      <c r="P2841">
        <v>0.78309209999999996</v>
      </c>
      <c r="Q2841">
        <v>0.15591659999999999</v>
      </c>
      <c r="R2841">
        <v>0.60204380000000002</v>
      </c>
      <c r="S2841">
        <v>1.8911739999999999</v>
      </c>
      <c r="T2841">
        <v>-8.1333279999999994E-2</v>
      </c>
      <c r="U2841">
        <v>2.55246</v>
      </c>
      <c r="V2841">
        <v>-9.8890580000000006E-2</v>
      </c>
      <c r="W2841">
        <v>0.1668607</v>
      </c>
      <c r="X2841">
        <v>0.98100880000000001</v>
      </c>
      <c r="Y2841">
        <v>-0.36553559999999902</v>
      </c>
      <c r="Z2841">
        <v>-9.4658499999999996E-3</v>
      </c>
      <c r="AA2841">
        <v>0.93074920000000005</v>
      </c>
      <c r="AB2841">
        <v>29</v>
      </c>
      <c r="AC2841">
        <v>26.910799999999899</v>
      </c>
      <c r="AD2841">
        <v>-1.162563</v>
      </c>
      <c r="AE2841">
        <v>36.403109999999998</v>
      </c>
      <c r="AF2841">
        <v>-16.5810598007217</v>
      </c>
      <c r="AG2841">
        <v>-1.162563</v>
      </c>
      <c r="AH2841">
        <v>42.092108481441201</v>
      </c>
      <c r="AI2841">
        <v>91.472037553846604</v>
      </c>
      <c r="AJ2841">
        <v>111.50063316409</v>
      </c>
      <c r="AK2841">
        <v>45.255151013530899</v>
      </c>
    </row>
    <row r="2842" spans="1:37" x14ac:dyDescent="0.2">
      <c r="A2842" t="str">
        <f>"20200111150647284"</f>
        <v>20200111150647284</v>
      </c>
      <c r="B2842" t="str">
        <f>"1578726407279665"</f>
        <v>1578726407279665</v>
      </c>
      <c r="C2842" t="s">
        <v>37</v>
      </c>
      <c r="D2842">
        <v>5.1098299999999997</v>
      </c>
      <c r="E2842">
        <v>0.3896712</v>
      </c>
      <c r="F2842" t="s">
        <v>39</v>
      </c>
      <c r="G2842">
        <v>-176.35</v>
      </c>
      <c r="H2842">
        <v>7.9985799999999996E-2</v>
      </c>
      <c r="I2842">
        <v>-29.37959</v>
      </c>
      <c r="J2842">
        <v>-197.80959999999999</v>
      </c>
      <c r="K2842">
        <v>1.1125620000000001</v>
      </c>
      <c r="L2842">
        <v>-58.560519999999997</v>
      </c>
      <c r="M2842">
        <v>0.84412880000000001</v>
      </c>
      <c r="N2842">
        <v>0</v>
      </c>
      <c r="O2842">
        <v>0.53597419999999996</v>
      </c>
      <c r="P2842">
        <v>0.77908829999999996</v>
      </c>
      <c r="Q2842">
        <v>0.15636939999999999</v>
      </c>
      <c r="R2842">
        <v>0.60709969999999902</v>
      </c>
      <c r="S2842">
        <v>1.884781</v>
      </c>
      <c r="T2842">
        <v>-9.0110540000000003E-2</v>
      </c>
      <c r="U2842">
        <v>2.5547789999999999</v>
      </c>
      <c r="V2842">
        <v>-9.8666669999999998E-2</v>
      </c>
      <c r="W2842">
        <v>0.16732</v>
      </c>
      <c r="X2842">
        <v>0.98095299999999996</v>
      </c>
      <c r="Y2842">
        <v>-0.36116019999999999</v>
      </c>
      <c r="Z2842">
        <v>-1.073314E-2</v>
      </c>
      <c r="AA2842">
        <v>0.93244210000000005</v>
      </c>
      <c r="AB2842">
        <v>29</v>
      </c>
      <c r="AC2842">
        <v>21.459599999999899</v>
      </c>
      <c r="AD2842">
        <v>-1.0325761999999901</v>
      </c>
      <c r="AE2842">
        <v>29.18093</v>
      </c>
      <c r="AF2842">
        <v>-13.1211789909391</v>
      </c>
      <c r="AG2842">
        <v>-1.0325761999999901</v>
      </c>
      <c r="AH2842">
        <v>33.730489753581402</v>
      </c>
      <c r="AI2842">
        <v>91.634203030623198</v>
      </c>
      <c r="AJ2842">
        <v>111.256062447403</v>
      </c>
      <c r="AK2842">
        <v>36.207423144122401</v>
      </c>
    </row>
    <row r="2843" spans="1:37" x14ac:dyDescent="0.2">
      <c r="A2843" t="str">
        <f>"20200111150647298"</f>
        <v>20200111150647298</v>
      </c>
      <c r="B2843" t="str">
        <f>"1578726407289426"</f>
        <v>1578726407289426</v>
      </c>
      <c r="C2843" t="s">
        <v>37</v>
      </c>
      <c r="D2843">
        <v>5.1266920000000002</v>
      </c>
      <c r="E2843">
        <v>0.4054044</v>
      </c>
      <c r="F2843" t="s">
        <v>46</v>
      </c>
      <c r="G2843">
        <v>-171.95500000000001</v>
      </c>
      <c r="H2843">
        <v>-0.05</v>
      </c>
      <c r="I2843">
        <v>-22.94746</v>
      </c>
      <c r="J2843">
        <v>-197.65180000000001</v>
      </c>
      <c r="K2843">
        <v>1.1125620000000001</v>
      </c>
      <c r="L2843">
        <v>-58.451319999999903</v>
      </c>
      <c r="M2843">
        <v>0.83994259999999998</v>
      </c>
      <c r="N2843">
        <v>0</v>
      </c>
      <c r="O2843">
        <v>0.54251099999999997</v>
      </c>
      <c r="P2843">
        <v>0.77410919999999905</v>
      </c>
      <c r="Q2843">
        <v>0.15677720000000001</v>
      </c>
      <c r="R2843">
        <v>0.61333190000000004</v>
      </c>
      <c r="S2843">
        <v>1.86532599999999</v>
      </c>
      <c r="T2843">
        <v>-8.3875060000000001E-2</v>
      </c>
      <c r="U2843">
        <v>2.569366</v>
      </c>
      <c r="V2843">
        <v>-9.897649E-2</v>
      </c>
      <c r="W2843">
        <v>0.16772100000000001</v>
      </c>
      <c r="X2843">
        <v>0.98085339999999999</v>
      </c>
      <c r="Y2843">
        <v>-0.36105789999999999</v>
      </c>
      <c r="Z2843">
        <v>-1.0184459999999999E-2</v>
      </c>
      <c r="AA2843">
        <v>0.93248779999999998</v>
      </c>
      <c r="AB2843">
        <v>29</v>
      </c>
      <c r="AC2843">
        <v>25.6968</v>
      </c>
      <c r="AD2843">
        <v>-1.1625620000000001</v>
      </c>
      <c r="AE2843">
        <v>35.503859999999897</v>
      </c>
      <c r="AF2843">
        <v>-15.8706563638214</v>
      </c>
      <c r="AG2843">
        <v>-1.1625620000000001</v>
      </c>
      <c r="AH2843">
        <v>40.819990460282803</v>
      </c>
      <c r="AI2843">
        <v>91.520532033069003</v>
      </c>
      <c r="AJ2843">
        <v>111.24589134142499</v>
      </c>
      <c r="AK2843">
        <v>43.812109113804702</v>
      </c>
    </row>
    <row r="2844" spans="1:37" x14ac:dyDescent="0.2">
      <c r="A2844" t="str">
        <f>"20200111150647312"</f>
        <v>20200111150647312</v>
      </c>
      <c r="B2844" t="str">
        <f>"1578726407308945"</f>
        <v>1578726407308945</v>
      </c>
      <c r="C2844" t="s">
        <v>37</v>
      </c>
      <c r="D2844">
        <v>5.0550850000000001</v>
      </c>
      <c r="E2844">
        <v>0.4056033</v>
      </c>
      <c r="F2844" t="s">
        <v>85</v>
      </c>
      <c r="G2844">
        <v>-188.03489999999999</v>
      </c>
      <c r="H2844" s="1">
        <v>-5.3675559999999997E-6</v>
      </c>
      <c r="I2844">
        <v>-46.059570000000001</v>
      </c>
      <c r="J2844">
        <v>-197.50530000000001</v>
      </c>
      <c r="K2844">
        <v>1.1125659999999999</v>
      </c>
      <c r="L2844">
        <v>-58.348659999999903</v>
      </c>
      <c r="M2844">
        <v>0.83599729999999906</v>
      </c>
      <c r="N2844">
        <v>0</v>
      </c>
      <c r="O2844">
        <v>0.54857109999999998</v>
      </c>
      <c r="P2844">
        <v>0.76931969999999905</v>
      </c>
      <c r="Q2844">
        <v>0.15742429999999999</v>
      </c>
      <c r="R2844">
        <v>0.61916479999999996</v>
      </c>
      <c r="S2844">
        <v>1.94014</v>
      </c>
      <c r="T2844">
        <v>-0.2244544</v>
      </c>
      <c r="U2844">
        <v>2.4999689999999899</v>
      </c>
      <c r="V2844">
        <v>-9.9383180000000002E-2</v>
      </c>
      <c r="W2844">
        <v>0.1683588</v>
      </c>
      <c r="X2844">
        <v>0.98070290000000004</v>
      </c>
      <c r="Y2844">
        <v>-0.32451439999999998</v>
      </c>
      <c r="Z2844">
        <v>-2.89752E-2</v>
      </c>
      <c r="AA2844">
        <v>0.94543679999999997</v>
      </c>
      <c r="AB2844">
        <v>29</v>
      </c>
      <c r="AC2844">
        <v>9.4704000000000104</v>
      </c>
      <c r="AD2844">
        <v>-1.1125713675559901</v>
      </c>
      <c r="AE2844">
        <v>12.2890899999999</v>
      </c>
      <c r="AF2844">
        <v>-5.0529271274304</v>
      </c>
      <c r="AG2844">
        <v>-1.1125713675559901</v>
      </c>
      <c r="AH2844">
        <v>14.584974194753</v>
      </c>
      <c r="AI2844">
        <v>94.122687411228796</v>
      </c>
      <c r="AJ2844">
        <v>109.108512926712</v>
      </c>
      <c r="AK2844">
        <v>15.475508387921799</v>
      </c>
    </row>
    <row r="2845" spans="1:37" x14ac:dyDescent="0.2">
      <c r="A2845" t="str">
        <f>"20200111150647327"</f>
        <v>20200111150647327</v>
      </c>
      <c r="B2845" t="str">
        <f>"1578726407319682"</f>
        <v>1578726407319682</v>
      </c>
      <c r="C2845" t="s">
        <v>37</v>
      </c>
      <c r="D2845">
        <v>5.2014800000000001</v>
      </c>
      <c r="E2845">
        <v>0.40265069999999997</v>
      </c>
      <c r="F2845" t="s">
        <v>85</v>
      </c>
      <c r="G2845">
        <v>-187.7672</v>
      </c>
      <c r="H2845" s="1">
        <v>-5.5430549999999997E-6</v>
      </c>
      <c r="I2845">
        <v>-45.616120000000002</v>
      </c>
      <c r="J2845">
        <v>-197.33750000000001</v>
      </c>
      <c r="K2845">
        <v>1.112568</v>
      </c>
      <c r="L2845">
        <v>-58.228519999999897</v>
      </c>
      <c r="M2845">
        <v>0.83139079999999999</v>
      </c>
      <c r="N2845">
        <v>0</v>
      </c>
      <c r="O2845">
        <v>0.55552769999999996</v>
      </c>
      <c r="P2845">
        <v>0.76392249999999995</v>
      </c>
      <c r="Q2845">
        <v>0.1575124</v>
      </c>
      <c r="R2845">
        <v>0.62578929999999999</v>
      </c>
      <c r="S2845">
        <v>1.9219820000000001</v>
      </c>
      <c r="T2845">
        <v>-0.21958620000000001</v>
      </c>
      <c r="U2845">
        <v>2.5129999999999999</v>
      </c>
      <c r="V2845">
        <v>-9.9685709999999997E-2</v>
      </c>
      <c r="W2845">
        <v>0.1684416</v>
      </c>
      <c r="X2845">
        <v>0.98065809999999998</v>
      </c>
      <c r="Y2845">
        <v>-0.32329380000000002</v>
      </c>
      <c r="Z2845">
        <v>-2.8928789999999999E-2</v>
      </c>
      <c r="AA2845">
        <v>0.94585629999999998</v>
      </c>
      <c r="AB2845">
        <v>29</v>
      </c>
      <c r="AC2845">
        <v>9.5702999999999996</v>
      </c>
      <c r="AD2845">
        <v>-1.1125735430549999</v>
      </c>
      <c r="AE2845">
        <v>12.6123999999999</v>
      </c>
      <c r="AF2845">
        <v>-5.14432392439649</v>
      </c>
      <c r="AG2845">
        <v>-1.1125735430549999</v>
      </c>
      <c r="AH2845">
        <v>14.890996781930999</v>
      </c>
      <c r="AI2845">
        <v>94.039475271461299</v>
      </c>
      <c r="AJ2845">
        <v>109.05825931291901</v>
      </c>
      <c r="AK2845">
        <v>15.7937859200162</v>
      </c>
    </row>
    <row r="2846" spans="1:37" x14ac:dyDescent="0.2">
      <c r="A2846" t="str">
        <f>"20200111150647341"</f>
        <v>20200111150647341</v>
      </c>
      <c r="B2846" t="str">
        <f>"1578726407339202"</f>
        <v>1578726407339202</v>
      </c>
      <c r="C2846" t="s">
        <v>37</v>
      </c>
      <c r="D2846">
        <v>5.8263210000000001</v>
      </c>
      <c r="E2846">
        <v>0.40333379999999902</v>
      </c>
      <c r="F2846" t="s">
        <v>85</v>
      </c>
      <c r="G2846">
        <v>-186.36590000000001</v>
      </c>
      <c r="H2846" s="1">
        <v>-6.3129789999999996E-6</v>
      </c>
      <c r="I2846">
        <v>-43.391120000000001</v>
      </c>
      <c r="J2846">
        <v>-197.2047</v>
      </c>
      <c r="K2846">
        <v>1.1125670000000001</v>
      </c>
      <c r="L2846">
        <v>-58.131900000000002</v>
      </c>
      <c r="M2846">
        <v>0.82768090000000005</v>
      </c>
      <c r="N2846">
        <v>0</v>
      </c>
      <c r="O2846">
        <v>0.56104019999999899</v>
      </c>
      <c r="P2846">
        <v>0.75948470000000001</v>
      </c>
      <c r="Q2846">
        <v>0.15717539999999999</v>
      </c>
      <c r="R2846">
        <v>0.63125189999999998</v>
      </c>
      <c r="S2846">
        <v>1.8817900000000001</v>
      </c>
      <c r="T2846">
        <v>-0.19082270000000001</v>
      </c>
      <c r="U2846">
        <v>2.5448300000000001</v>
      </c>
      <c r="V2846">
        <v>-0.100156</v>
      </c>
      <c r="W2846">
        <v>0.1680951</v>
      </c>
      <c r="X2846">
        <v>0.98066960000000003</v>
      </c>
      <c r="Y2846">
        <v>-0.33221970000000001</v>
      </c>
      <c r="Z2846">
        <v>-2.5265900000000001E-2</v>
      </c>
      <c r="AA2846">
        <v>0.94286360000000002</v>
      </c>
      <c r="AB2846">
        <v>29</v>
      </c>
      <c r="AC2846">
        <v>10.8387999999999</v>
      </c>
      <c r="AD2846">
        <v>-1.1125733129790001</v>
      </c>
      <c r="AE2846">
        <v>14.740780000000001</v>
      </c>
      <c r="AF2846">
        <v>-6.0976587245103797</v>
      </c>
      <c r="AG2846">
        <v>-1.1125733129790001</v>
      </c>
      <c r="AH2846">
        <v>17.179253853955998</v>
      </c>
      <c r="AI2846">
        <v>93.492547895237706</v>
      </c>
      <c r="AJ2846">
        <v>109.541970295071</v>
      </c>
      <c r="AK2846">
        <v>18.263242435997299</v>
      </c>
    </row>
    <row r="2847" spans="1:37" x14ac:dyDescent="0.2">
      <c r="A2847" t="str">
        <f>"20200111150647358"</f>
        <v>20200111150647358</v>
      </c>
      <c r="B2847" t="str">
        <f>"1578726407348961"</f>
        <v>1578726407348961</v>
      </c>
      <c r="C2847" t="s">
        <v>37</v>
      </c>
      <c r="D2847">
        <v>5.1551299999999998</v>
      </c>
      <c r="E2847">
        <v>0.4039779</v>
      </c>
      <c r="F2847" t="s">
        <v>85</v>
      </c>
      <c r="G2847">
        <v>-186.7627</v>
      </c>
      <c r="H2847" s="1">
        <v>-6.1950379999999998E-6</v>
      </c>
      <c r="I2847">
        <v>-43.851230000000001</v>
      </c>
      <c r="J2847">
        <v>-197.0249</v>
      </c>
      <c r="K2847">
        <v>1.112555</v>
      </c>
      <c r="L2847">
        <v>-57.999209999999998</v>
      </c>
      <c r="M2847">
        <v>0.82257780000000003</v>
      </c>
      <c r="N2847">
        <v>0</v>
      </c>
      <c r="O2847">
        <v>0.5684958</v>
      </c>
      <c r="P2847">
        <v>0.75311549999999905</v>
      </c>
      <c r="Q2847">
        <v>0.15716469999999999</v>
      </c>
      <c r="R2847">
        <v>0.63883979999999996</v>
      </c>
      <c r="S2847">
        <v>1.8679349999999999</v>
      </c>
      <c r="T2847">
        <v>-0.1990249</v>
      </c>
      <c r="U2847">
        <v>2.5546259999999998</v>
      </c>
      <c r="V2847">
        <v>-0.101133</v>
      </c>
      <c r="W2847">
        <v>0.1680632</v>
      </c>
      <c r="X2847">
        <v>0.98057479999999997</v>
      </c>
      <c r="Y2847">
        <v>-0.32878689999999999</v>
      </c>
      <c r="Z2847">
        <v>-2.6971229999999999E-2</v>
      </c>
      <c r="AA2847">
        <v>0.94401889999999999</v>
      </c>
      <c r="AB2847">
        <v>29</v>
      </c>
      <c r="AC2847">
        <v>10.2622</v>
      </c>
      <c r="AD2847">
        <v>-1.1125611950380001</v>
      </c>
      <c r="AE2847">
        <v>14.147979999999899</v>
      </c>
      <c r="AF2847">
        <v>-5.7808900322215004</v>
      </c>
      <c r="AG2847">
        <v>-1.1125611950380001</v>
      </c>
      <c r="AH2847">
        <v>16.419463395470999</v>
      </c>
      <c r="AI2847">
        <v>93.656978476732505</v>
      </c>
      <c r="AJ2847">
        <v>109.395915016741</v>
      </c>
      <c r="AK2847">
        <v>17.442914325666901</v>
      </c>
    </row>
    <row r="2848" spans="1:37" x14ac:dyDescent="0.2">
      <c r="A2848" t="str">
        <f>"20200111150647371"</f>
        <v>20200111150647371</v>
      </c>
      <c r="B2848" t="str">
        <f>"1578726407359698"</f>
        <v>1578726407359698</v>
      </c>
      <c r="C2848" t="s">
        <v>37</v>
      </c>
      <c r="D2848">
        <v>5.1301449999999997</v>
      </c>
      <c r="E2848">
        <v>0.40415139999999999</v>
      </c>
      <c r="F2848" t="s">
        <v>85</v>
      </c>
      <c r="G2848">
        <v>-186.9948</v>
      </c>
      <c r="H2848" s="1">
        <v>-6.1480589999999898E-6</v>
      </c>
      <c r="I2848">
        <v>-44.040790000000001</v>
      </c>
      <c r="J2848">
        <v>-196.89570000000001</v>
      </c>
      <c r="K2848">
        <v>1.112552</v>
      </c>
      <c r="L2848">
        <v>-57.902529999999999</v>
      </c>
      <c r="M2848">
        <v>0.81885090000000005</v>
      </c>
      <c r="N2848">
        <v>0</v>
      </c>
      <c r="O2848">
        <v>0.57385090000000005</v>
      </c>
      <c r="P2848">
        <v>0.74843839999999995</v>
      </c>
      <c r="Q2848">
        <v>0.1568821</v>
      </c>
      <c r="R2848">
        <v>0.64438189999999995</v>
      </c>
      <c r="S2848">
        <v>1.8464659999999999</v>
      </c>
      <c r="T2848">
        <v>-0.2048143</v>
      </c>
      <c r="U2848">
        <v>2.5696409999999998</v>
      </c>
      <c r="V2848">
        <v>-0.101934</v>
      </c>
      <c r="W2848">
        <v>0.1677632</v>
      </c>
      <c r="X2848">
        <v>0.98054319999999895</v>
      </c>
      <c r="Y2848">
        <v>-0.33046149999999902</v>
      </c>
      <c r="Z2848">
        <v>-2.8095910000000002E-2</v>
      </c>
      <c r="AA2848">
        <v>0.94340119999999905</v>
      </c>
      <c r="AB2848">
        <v>29</v>
      </c>
      <c r="AC2848">
        <v>9.9009</v>
      </c>
      <c r="AD2848">
        <v>-1.1125581480589899</v>
      </c>
      <c r="AE2848">
        <v>13.861739999999999</v>
      </c>
      <c r="AF2848">
        <v>-5.6454818914814</v>
      </c>
      <c r="AG2848">
        <v>-1.1125581480589899</v>
      </c>
      <c r="AH2848">
        <v>15.9951358176966</v>
      </c>
      <c r="AI2848">
        <v>93.752682585055595</v>
      </c>
      <c r="AJ2848">
        <v>109.440480252309</v>
      </c>
      <c r="AK2848">
        <v>16.998635864280899</v>
      </c>
    </row>
    <row r="2849" spans="1:37" x14ac:dyDescent="0.2">
      <c r="A2849" t="str">
        <f>"20200111150647386"</f>
        <v>20200111150647386</v>
      </c>
      <c r="B2849" t="str">
        <f>"1578726407379218"</f>
        <v>1578726407379218</v>
      </c>
      <c r="C2849" t="s">
        <v>37</v>
      </c>
      <c r="D2849">
        <v>5.0690900000000001</v>
      </c>
      <c r="E2849">
        <v>0.40500549999999902</v>
      </c>
      <c r="F2849" t="s">
        <v>85</v>
      </c>
      <c r="G2849">
        <v>-187.0942</v>
      </c>
      <c r="H2849" s="1">
        <v>-6.1542310000000001E-6</v>
      </c>
      <c r="I2849">
        <v>-44.065539999999999</v>
      </c>
      <c r="J2849">
        <v>-196.74539999999999</v>
      </c>
      <c r="K2849">
        <v>1.1125479999999901</v>
      </c>
      <c r="L2849">
        <v>-57.78781</v>
      </c>
      <c r="M2849">
        <v>0.8144382</v>
      </c>
      <c r="N2849">
        <v>0</v>
      </c>
      <c r="O2849">
        <v>0.58009650000000001</v>
      </c>
      <c r="P2849">
        <v>0.74289709999999998</v>
      </c>
      <c r="Q2849">
        <v>0.1569546</v>
      </c>
      <c r="R2849">
        <v>0.65074519999999902</v>
      </c>
      <c r="S2849">
        <v>1.828918</v>
      </c>
      <c r="T2849">
        <v>-0.207599899999999</v>
      </c>
      <c r="U2849">
        <v>2.5819399999999999</v>
      </c>
      <c r="V2849">
        <v>-0.102813899999999</v>
      </c>
      <c r="W2849">
        <v>0.1678164</v>
      </c>
      <c r="X2849">
        <v>0.98044219999999904</v>
      </c>
      <c r="Y2849">
        <v>-0.32965059999999902</v>
      </c>
      <c r="Z2849">
        <v>-2.896023E-2</v>
      </c>
      <c r="AA2849">
        <v>0.94365869999999996</v>
      </c>
      <c r="AB2849">
        <v>29</v>
      </c>
      <c r="AC2849">
        <v>9.6511999999999798</v>
      </c>
      <c r="AD2849">
        <v>-1.11255415423099</v>
      </c>
      <c r="AE2849">
        <v>13.7222699999999</v>
      </c>
      <c r="AF2849">
        <v>-5.5533879731800901</v>
      </c>
      <c r="AG2849">
        <v>-1.11255415423099</v>
      </c>
      <c r="AH2849">
        <v>15.7526797589054</v>
      </c>
      <c r="AI2849">
        <v>93.810752431616507</v>
      </c>
      <c r="AJ2849">
        <v>109.419392880499</v>
      </c>
      <c r="AK2849">
        <v>16.739916795294601</v>
      </c>
    </row>
    <row r="2850" spans="1:37" x14ac:dyDescent="0.2">
      <c r="A2850" t="str">
        <f>"20200111150647400"</f>
        <v>20200111150647400</v>
      </c>
      <c r="B2850" t="str">
        <f>"1578726407388978"</f>
        <v>1578726407388978</v>
      </c>
      <c r="C2850" t="s">
        <v>37</v>
      </c>
      <c r="D2850">
        <v>5.0912119999999996</v>
      </c>
      <c r="E2850">
        <v>0.40570929999999999</v>
      </c>
      <c r="F2850" t="s">
        <v>85</v>
      </c>
      <c r="G2850">
        <v>-187.25620000000001</v>
      </c>
      <c r="H2850" s="1">
        <v>-6.115149E-6</v>
      </c>
      <c r="I2850">
        <v>-44.211350000000003</v>
      </c>
      <c r="J2850">
        <v>-196.6026</v>
      </c>
      <c r="K2850">
        <v>1.1125479999999901</v>
      </c>
      <c r="L2850">
        <v>-57.677340000000001</v>
      </c>
      <c r="M2850">
        <v>0.81018140000000005</v>
      </c>
      <c r="N2850">
        <v>0</v>
      </c>
      <c r="O2850">
        <v>0.58602710000000002</v>
      </c>
      <c r="P2850">
        <v>0.73753760000000002</v>
      </c>
      <c r="Q2850">
        <v>0.15742129999999999</v>
      </c>
      <c r="R2850">
        <v>0.6567016</v>
      </c>
      <c r="S2850">
        <v>1.8120879999999999</v>
      </c>
      <c r="T2850">
        <v>-0.21245829999999999</v>
      </c>
      <c r="U2850">
        <v>2.5926209999999998</v>
      </c>
      <c r="V2850">
        <v>-0.103613699999999</v>
      </c>
      <c r="W2850">
        <v>0.16826440000000001</v>
      </c>
      <c r="X2850">
        <v>0.98028119999999996</v>
      </c>
      <c r="Y2850">
        <v>-0.32872299999999999</v>
      </c>
      <c r="Z2850">
        <v>-3.011815E-2</v>
      </c>
      <c r="AA2850">
        <v>0.94394609999999901</v>
      </c>
      <c r="AB2850">
        <v>29</v>
      </c>
      <c r="AC2850">
        <v>9.3463999999999796</v>
      </c>
      <c r="AD2850">
        <v>-1.1125541151489999</v>
      </c>
      <c r="AE2850">
        <v>13.4659899999999</v>
      </c>
      <c r="AF2850">
        <v>-5.40822115024468</v>
      </c>
      <c r="AG2850">
        <v>-1.1125541151489999</v>
      </c>
      <c r="AH2850">
        <v>15.394176567585401</v>
      </c>
      <c r="AI2850">
        <v>93.900712705812495</v>
      </c>
      <c r="AJ2850">
        <v>109.357193276885</v>
      </c>
      <c r="AK2850">
        <v>16.354427683752299</v>
      </c>
    </row>
    <row r="2851" spans="1:37" x14ac:dyDescent="0.2">
      <c r="A2851" t="str">
        <f>"20200111150647414"</f>
        <v>20200111150647414</v>
      </c>
      <c r="B2851" t="str">
        <f>"1578726407409474"</f>
        <v>1578726407409474</v>
      </c>
      <c r="C2851" t="s">
        <v>37</v>
      </c>
      <c r="D2851">
        <v>5.1047839999999898</v>
      </c>
      <c r="E2851">
        <v>0.40652179999999999</v>
      </c>
      <c r="F2851" t="s">
        <v>85</v>
      </c>
      <c r="G2851">
        <v>-187.3409</v>
      </c>
      <c r="H2851" s="1">
        <v>-6.1148780000000003E-6</v>
      </c>
      <c r="I2851">
        <v>-44.244279999999897</v>
      </c>
      <c r="J2851">
        <v>-196.46010000000001</v>
      </c>
      <c r="K2851">
        <v>1.11254599999999</v>
      </c>
      <c r="L2851">
        <v>-57.565769999999901</v>
      </c>
      <c r="M2851">
        <v>0.80586979999999997</v>
      </c>
      <c r="N2851">
        <v>0</v>
      </c>
      <c r="O2851">
        <v>0.59194209999999903</v>
      </c>
      <c r="P2851">
        <v>0.73227339999999996</v>
      </c>
      <c r="Q2851">
        <v>0.15745190000000001</v>
      </c>
      <c r="R2851">
        <v>0.66255909999999996</v>
      </c>
      <c r="S2851">
        <v>1.79524199999999</v>
      </c>
      <c r="T2851">
        <v>-0.2156515</v>
      </c>
      <c r="U2851">
        <v>2.60379</v>
      </c>
      <c r="V2851">
        <v>-0.1042556</v>
      </c>
      <c r="W2851">
        <v>0.16828080000000001</v>
      </c>
      <c r="X2851">
        <v>0.98021039999999904</v>
      </c>
      <c r="Y2851">
        <v>-0.32786129999999902</v>
      </c>
      <c r="Z2851">
        <v>-3.105134E-2</v>
      </c>
      <c r="AA2851">
        <v>0.94421540000000004</v>
      </c>
      <c r="AB2851">
        <v>29</v>
      </c>
      <c r="AC2851">
        <v>9.1191999999999993</v>
      </c>
      <c r="AD2851">
        <v>-1.11255211487799</v>
      </c>
      <c r="AE2851">
        <v>13.321489999999899</v>
      </c>
      <c r="AF2851">
        <v>-5.3125931698187099</v>
      </c>
      <c r="AG2851">
        <v>-1.11255211487799</v>
      </c>
      <c r="AH2851">
        <v>15.1637804818491</v>
      </c>
      <c r="AI2851">
        <v>93.960979658495305</v>
      </c>
      <c r="AJ2851">
        <v>109.307783720172</v>
      </c>
      <c r="AK2851">
        <v>16.105950977760799</v>
      </c>
    </row>
    <row r="2852" spans="1:37" x14ac:dyDescent="0.2">
      <c r="A2852" t="str">
        <f>"20200111150647428"</f>
        <v>20200111150647428</v>
      </c>
      <c r="B2852" t="str">
        <f>"1578726407419233"</f>
        <v>1578726407419233</v>
      </c>
      <c r="C2852" t="s">
        <v>37</v>
      </c>
      <c r="D2852">
        <v>5.0985569999999996</v>
      </c>
      <c r="E2852">
        <v>0.40693240000000003</v>
      </c>
      <c r="F2852" t="s">
        <v>85</v>
      </c>
      <c r="G2852">
        <v>-187.4367</v>
      </c>
      <c r="H2852" s="1">
        <v>-6.1082100000000001E-6</v>
      </c>
      <c r="I2852">
        <v>-44.295229999999997</v>
      </c>
      <c r="J2852">
        <v>-196.30789999999999</v>
      </c>
      <c r="K2852">
        <v>1.1125419999999999</v>
      </c>
      <c r="L2852">
        <v>-57.444240000000001</v>
      </c>
      <c r="M2852">
        <v>0.80118100000000003</v>
      </c>
      <c r="N2852">
        <v>0</v>
      </c>
      <c r="O2852">
        <v>0.59827319999999995</v>
      </c>
      <c r="P2852">
        <v>0.7271746</v>
      </c>
      <c r="Q2852">
        <v>0.15740000000000001</v>
      </c>
      <c r="R2852">
        <v>0.66816339999999996</v>
      </c>
      <c r="S2852">
        <v>1.7780149999999999</v>
      </c>
      <c r="T2852">
        <v>-0.21922329999999901</v>
      </c>
      <c r="U2852">
        <v>2.6148989999999999</v>
      </c>
      <c r="V2852">
        <v>-0.104051299999999</v>
      </c>
      <c r="W2852">
        <v>0.168234299999999</v>
      </c>
      <c r="X2852">
        <v>0.98024</v>
      </c>
      <c r="Y2852">
        <v>-0.32655980000000001</v>
      </c>
      <c r="Z2852">
        <v>-3.2101480000000002E-2</v>
      </c>
      <c r="AA2852">
        <v>0.94463129999999995</v>
      </c>
      <c r="AB2852">
        <v>29</v>
      </c>
      <c r="AC2852">
        <v>8.8711999999999804</v>
      </c>
      <c r="AD2852">
        <v>-1.1125481082099999</v>
      </c>
      <c r="AE2852">
        <v>13.149010000000001</v>
      </c>
      <c r="AF2852">
        <v>-5.2022083820246596</v>
      </c>
      <c r="AG2852">
        <v>-1.1125481082099999</v>
      </c>
      <c r="AH2852">
        <v>14.902157691265201</v>
      </c>
      <c r="AI2852">
        <v>94.031850308967506</v>
      </c>
      <c r="AJ2852">
        <v>109.243632412793</v>
      </c>
      <c r="AK2852">
        <v>15.823243637080999</v>
      </c>
    </row>
    <row r="2853" spans="1:37" x14ac:dyDescent="0.2">
      <c r="A2853" t="str">
        <f>"20200111150647442"</f>
        <v>20200111150647442</v>
      </c>
      <c r="B2853" t="str">
        <f>"1578726407439730"</f>
        <v>1578726407439730</v>
      </c>
      <c r="C2853" t="s">
        <v>37</v>
      </c>
      <c r="D2853">
        <v>5.1109939999999998</v>
      </c>
      <c r="E2853">
        <v>0.4073888</v>
      </c>
      <c r="F2853" t="s">
        <v>85</v>
      </c>
      <c r="G2853">
        <v>-187.48480000000001</v>
      </c>
      <c r="H2853" s="1">
        <v>-6.1244299999999997E-6</v>
      </c>
      <c r="I2853">
        <v>-44.278790000000001</v>
      </c>
      <c r="J2853">
        <v>-196.1765</v>
      </c>
      <c r="K2853">
        <v>1.1125419999999999</v>
      </c>
      <c r="L2853">
        <v>-57.337709999999902</v>
      </c>
      <c r="M2853">
        <v>0.79706969999999899</v>
      </c>
      <c r="N2853">
        <v>0</v>
      </c>
      <c r="O2853">
        <v>0.60373969999999999</v>
      </c>
      <c r="P2853">
        <v>0.72272400000000003</v>
      </c>
      <c r="Q2853">
        <v>0.15719710000000001</v>
      </c>
      <c r="R2853">
        <v>0.67302240000000002</v>
      </c>
      <c r="S2853">
        <v>1.760208</v>
      </c>
      <c r="T2853">
        <v>-0.22195479999999901</v>
      </c>
      <c r="U2853">
        <v>2.6265259999999899</v>
      </c>
      <c r="V2853">
        <v>-0.1038833</v>
      </c>
      <c r="W2853">
        <v>0.16803679999999999</v>
      </c>
      <c r="X2853">
        <v>0.98029169999999999</v>
      </c>
      <c r="Y2853">
        <v>-0.32646560000000002</v>
      </c>
      <c r="Z2853">
        <v>-3.2937510000000003E-2</v>
      </c>
      <c r="AA2853">
        <v>0.944635</v>
      </c>
      <c r="AB2853">
        <v>29</v>
      </c>
      <c r="AC2853">
        <v>8.6916999999999902</v>
      </c>
      <c r="AD2853">
        <v>-1.11254812443</v>
      </c>
      <c r="AE2853">
        <v>13.058919999999899</v>
      </c>
      <c r="AF2853">
        <v>-5.1359717782619496</v>
      </c>
      <c r="AG2853">
        <v>-1.11254812443</v>
      </c>
      <c r="AH2853">
        <v>14.7392625559929</v>
      </c>
      <c r="AI2853">
        <v>94.077063372328595</v>
      </c>
      <c r="AJ2853">
        <v>109.211153895121</v>
      </c>
      <c r="AK2853">
        <v>15.648061545468501</v>
      </c>
    </row>
    <row r="2854" spans="1:37" x14ac:dyDescent="0.2">
      <c r="A2854" t="str">
        <f>"20200111150647459"</f>
        <v>20200111150647459</v>
      </c>
      <c r="B2854" t="str">
        <f>"1578726407449489"</f>
        <v>1578726407449489</v>
      </c>
      <c r="C2854" t="s">
        <v>37</v>
      </c>
      <c r="D2854">
        <v>5.1067289999999996</v>
      </c>
      <c r="E2854">
        <v>0.40738009999999902</v>
      </c>
      <c r="F2854" t="s">
        <v>85</v>
      </c>
      <c r="G2854">
        <v>-187.55350000000001</v>
      </c>
      <c r="H2854" s="1">
        <v>-6.1187800000000001E-6</v>
      </c>
      <c r="I2854">
        <v>-44.317169999999997</v>
      </c>
      <c r="J2854">
        <v>-196.00739999999999</v>
      </c>
      <c r="K2854">
        <v>1.112547</v>
      </c>
      <c r="L2854">
        <v>-57.19858</v>
      </c>
      <c r="M2854">
        <v>0.79168930000000004</v>
      </c>
      <c r="N2854">
        <v>0</v>
      </c>
      <c r="O2854">
        <v>0.61077799999999904</v>
      </c>
      <c r="P2854">
        <v>0.71687509999999999</v>
      </c>
      <c r="Q2854">
        <v>0.15738529999999901</v>
      </c>
      <c r="R2854">
        <v>0.67920539999999996</v>
      </c>
      <c r="S2854">
        <v>1.7455290000000001</v>
      </c>
      <c r="T2854">
        <v>-0.2252101</v>
      </c>
      <c r="U2854">
        <v>2.6357119999999998</v>
      </c>
      <c r="V2854">
        <v>-0.1036456</v>
      </c>
      <c r="W2854">
        <v>0.16823150000000001</v>
      </c>
      <c r="X2854">
        <v>0.98028349999999898</v>
      </c>
      <c r="Y2854">
        <v>-0.3232892</v>
      </c>
      <c r="Z2854">
        <v>-3.4085650000000002E-2</v>
      </c>
      <c r="AA2854">
        <v>0.94568609999999897</v>
      </c>
      <c r="AB2854">
        <v>29</v>
      </c>
      <c r="AC2854">
        <v>8.4538999999999707</v>
      </c>
      <c r="AD2854">
        <v>-1.11255311878</v>
      </c>
      <c r="AE2854">
        <v>12.881410000000001</v>
      </c>
      <c r="AF2854">
        <v>-5.0089510460010702</v>
      </c>
      <c r="AG2854">
        <v>-1.11255311878</v>
      </c>
      <c r="AH2854">
        <v>14.4863120390043</v>
      </c>
      <c r="AI2854">
        <v>94.151464688951606</v>
      </c>
      <c r="AJ2854">
        <v>109.073917044814</v>
      </c>
      <c r="AK2854">
        <v>15.368168450233201</v>
      </c>
    </row>
    <row r="2855" spans="1:37" x14ac:dyDescent="0.2">
      <c r="A2855" t="str">
        <f>"20200111150647472"</f>
        <v>20200111150647472</v>
      </c>
      <c r="B2855" t="str">
        <f>"1578726407469009"</f>
        <v>1578726407469009</v>
      </c>
      <c r="C2855" t="s">
        <v>37</v>
      </c>
      <c r="D2855">
        <v>5.0293159999999997</v>
      </c>
      <c r="E2855">
        <v>0.40687449999999997</v>
      </c>
      <c r="F2855" t="s">
        <v>85</v>
      </c>
      <c r="G2855">
        <v>-187.48929999999999</v>
      </c>
      <c r="H2855" s="1">
        <v>-6.2013759999999998E-6</v>
      </c>
      <c r="I2855">
        <v>-44.101999999999997</v>
      </c>
      <c r="J2855">
        <v>-195.8783</v>
      </c>
      <c r="K2855">
        <v>1.1125449999999999</v>
      </c>
      <c r="L2855">
        <v>-57.091059999999999</v>
      </c>
      <c r="M2855">
        <v>0.78752029999999995</v>
      </c>
      <c r="N2855">
        <v>0</v>
      </c>
      <c r="O2855">
        <v>0.61614389999999997</v>
      </c>
      <c r="P2855">
        <v>0.71210289999999998</v>
      </c>
      <c r="Q2855">
        <v>0.1573148</v>
      </c>
      <c r="R2855">
        <v>0.68422329999999998</v>
      </c>
      <c r="S2855">
        <v>1.723541</v>
      </c>
      <c r="T2855">
        <v>-0.22511410000000001</v>
      </c>
      <c r="U2855">
        <v>2.6499630000000001</v>
      </c>
      <c r="V2855">
        <v>-0.1038568</v>
      </c>
      <c r="W2855">
        <v>0.16815669999999999</v>
      </c>
      <c r="X2855">
        <v>0.98027399999999998</v>
      </c>
      <c r="Y2855">
        <v>-0.32470270000000001</v>
      </c>
      <c r="Z2855">
        <v>-3.4460190000000002E-2</v>
      </c>
      <c r="AA2855">
        <v>0.94518819999999903</v>
      </c>
      <c r="AB2855">
        <v>29</v>
      </c>
      <c r="AC2855">
        <v>8.38900000000001</v>
      </c>
      <c r="AD2855">
        <v>-1.1125512013759999</v>
      </c>
      <c r="AE2855">
        <v>12.98906</v>
      </c>
      <c r="AF2855">
        <v>-5.0347042914217202</v>
      </c>
      <c r="AG2855">
        <v>-1.1125512013759999</v>
      </c>
      <c r="AH2855">
        <v>14.535690727872399</v>
      </c>
      <c r="AI2855">
        <v>94.136643038423401</v>
      </c>
      <c r="AJ2855">
        <v>109.10447016751201</v>
      </c>
      <c r="AK2855">
        <v>15.4231100110872</v>
      </c>
    </row>
    <row r="2856" spans="1:37" x14ac:dyDescent="0.2">
      <c r="A2856" t="str">
        <f>"20200111150647485"</f>
        <v>20200111150647485</v>
      </c>
      <c r="B2856" t="str">
        <f>"1578726407479746"</f>
        <v>1578726407479746</v>
      </c>
      <c r="C2856" t="s">
        <v>37</v>
      </c>
      <c r="D2856">
        <v>5.0307300000000001</v>
      </c>
      <c r="E2856">
        <v>0.40668850000000001</v>
      </c>
      <c r="F2856" t="s">
        <v>85</v>
      </c>
      <c r="G2856">
        <v>-187.3509</v>
      </c>
      <c r="H2856" s="1">
        <v>-6.307255E-6</v>
      </c>
      <c r="I2856">
        <v>-43.739170000000001</v>
      </c>
      <c r="J2856">
        <v>-195.74690000000001</v>
      </c>
      <c r="K2856">
        <v>1.1125430000000001</v>
      </c>
      <c r="L2856">
        <v>-56.979280000000003</v>
      </c>
      <c r="M2856">
        <v>0.7832017</v>
      </c>
      <c r="N2856">
        <v>0</v>
      </c>
      <c r="O2856">
        <v>0.62162419999999996</v>
      </c>
      <c r="P2856">
        <v>0.70727510000000005</v>
      </c>
      <c r="Q2856">
        <v>0.15743770000000001</v>
      </c>
      <c r="R2856">
        <v>0.68918449999999998</v>
      </c>
      <c r="S2856">
        <v>1.70172099999999</v>
      </c>
      <c r="T2856">
        <v>-0.22201969999999999</v>
      </c>
      <c r="U2856">
        <v>2.6644899999999998</v>
      </c>
      <c r="V2856">
        <v>-0.1038874</v>
      </c>
      <c r="W2856">
        <v>0.16827890000000001</v>
      </c>
      <c r="X2856">
        <v>0.98024979999999995</v>
      </c>
      <c r="Y2856">
        <v>-0.32593349999999999</v>
      </c>
      <c r="Z2856">
        <v>-3.4381670000000003E-2</v>
      </c>
      <c r="AA2856">
        <v>0.94476729999999998</v>
      </c>
      <c r="AB2856">
        <v>29</v>
      </c>
      <c r="AC2856">
        <v>8.3960000000000097</v>
      </c>
      <c r="AD2856">
        <v>-1.1125493072549999</v>
      </c>
      <c r="AE2856">
        <v>13.24011</v>
      </c>
      <c r="AF2856">
        <v>-5.1251701662809204</v>
      </c>
      <c r="AG2856">
        <v>-1.1125493072549999</v>
      </c>
      <c r="AH2856">
        <v>14.733261767545301</v>
      </c>
      <c r="AI2856">
        <v>94.079468995352599</v>
      </c>
      <c r="AJ2856">
        <v>109.180941636754</v>
      </c>
      <c r="AK2856">
        <v>15.6388662474433</v>
      </c>
    </row>
    <row r="2857" spans="1:37" x14ac:dyDescent="0.2">
      <c r="A2857" t="str">
        <f>"20200111150647503"</f>
        <v>20200111150647503</v>
      </c>
      <c r="B2857" t="str">
        <f>"1578726407499266"</f>
        <v>1578726407499266</v>
      </c>
      <c r="C2857" t="s">
        <v>37</v>
      </c>
      <c r="D2857">
        <v>5.0763369999999997</v>
      </c>
      <c r="E2857">
        <v>0.40643609999999902</v>
      </c>
      <c r="F2857" t="s">
        <v>85</v>
      </c>
      <c r="G2857">
        <v>-187.25319999999999</v>
      </c>
      <c r="H2857" s="1">
        <v>-6.3893570000000001E-6</v>
      </c>
      <c r="I2857">
        <v>-43.461100000000002</v>
      </c>
      <c r="J2857">
        <v>-195.58279999999999</v>
      </c>
      <c r="K2857">
        <v>1.1125449999999999</v>
      </c>
      <c r="L2857">
        <v>-56.837890000000002</v>
      </c>
      <c r="M2857">
        <v>0.77772399999999997</v>
      </c>
      <c r="N2857">
        <v>0</v>
      </c>
      <c r="O2857">
        <v>0.62846400000000002</v>
      </c>
      <c r="P2857">
        <v>0.70097399999999999</v>
      </c>
      <c r="Q2857">
        <v>0.15772990000000001</v>
      </c>
      <c r="R2857">
        <v>0.69552639999999999</v>
      </c>
      <c r="S2857">
        <v>1.68205299999999</v>
      </c>
      <c r="T2857">
        <v>-0.22032539999999901</v>
      </c>
      <c r="U2857">
        <v>2.6770939999999999</v>
      </c>
      <c r="V2857">
        <v>-0.1041724</v>
      </c>
      <c r="W2857">
        <v>0.16856470000000001</v>
      </c>
      <c r="X2857">
        <v>0.9801704</v>
      </c>
      <c r="Y2857">
        <v>-0.32463429999999999</v>
      </c>
      <c r="Z2857">
        <v>-3.4696419999999999E-2</v>
      </c>
      <c r="AA2857">
        <v>0.94520300000000002</v>
      </c>
      <c r="AB2857">
        <v>29</v>
      </c>
      <c r="AC2857">
        <v>8.3295999999999992</v>
      </c>
      <c r="AD2857">
        <v>-1.112551389357</v>
      </c>
      <c r="AE2857">
        <v>13.37679</v>
      </c>
      <c r="AF2857">
        <v>-5.1434202356902103</v>
      </c>
      <c r="AG2857">
        <v>-1.112551389357</v>
      </c>
      <c r="AH2857">
        <v>14.8124549262609</v>
      </c>
      <c r="AI2857">
        <v>94.058526491302999</v>
      </c>
      <c r="AJ2857">
        <v>109.14885103198</v>
      </c>
      <c r="AK2857">
        <v>15.7194581095335</v>
      </c>
    </row>
    <row r="2858" spans="1:37" x14ac:dyDescent="0.2">
      <c r="A2858" t="str">
        <f>"20200111150647515"</f>
        <v>20200111150647515</v>
      </c>
      <c r="B2858" t="str">
        <f>"1578726407509025"</f>
        <v>1578726407509025</v>
      </c>
      <c r="C2858" t="s">
        <v>37</v>
      </c>
      <c r="D2858">
        <v>5.054538</v>
      </c>
      <c r="E2858">
        <v>0.40631030000000001</v>
      </c>
      <c r="F2858" t="s">
        <v>85</v>
      </c>
      <c r="G2858">
        <v>-187.1018</v>
      </c>
      <c r="H2858" s="1">
        <v>-6.512479E-6</v>
      </c>
      <c r="I2858">
        <v>-43.042409999999997</v>
      </c>
      <c r="J2858">
        <v>-195.45779999999999</v>
      </c>
      <c r="K2858">
        <v>1.1125449999999999</v>
      </c>
      <c r="L2858">
        <v>-56.728760000000001</v>
      </c>
      <c r="M2858">
        <v>0.77348890000000003</v>
      </c>
      <c r="N2858">
        <v>0</v>
      </c>
      <c r="O2858">
        <v>0.63366909999999999</v>
      </c>
      <c r="P2858">
        <v>0.69612039999999997</v>
      </c>
      <c r="Q2858">
        <v>0.15800910000000001</v>
      </c>
      <c r="R2858">
        <v>0.70032099999999997</v>
      </c>
      <c r="S2858">
        <v>1.655945</v>
      </c>
      <c r="T2858">
        <v>-0.21723100000000001</v>
      </c>
      <c r="U2858">
        <v>2.6936339999999999</v>
      </c>
      <c r="V2858">
        <v>-0.1043675</v>
      </c>
      <c r="W2858">
        <v>0.16883919999999999</v>
      </c>
      <c r="X2858">
        <v>0.98010239999999904</v>
      </c>
      <c r="Y2858">
        <v>-0.32751599999999997</v>
      </c>
      <c r="Z2858">
        <v>-3.4529940000000002E-2</v>
      </c>
      <c r="AA2858">
        <v>0.94421449999999996</v>
      </c>
      <c r="AB2858">
        <v>29</v>
      </c>
      <c r="AC2858">
        <v>8.3559999999999892</v>
      </c>
      <c r="AD2858">
        <v>-1.112551512479</v>
      </c>
      <c r="AE2858">
        <v>13.686349999999999</v>
      </c>
      <c r="AF2858">
        <v>-5.2664222428643104</v>
      </c>
      <c r="AG2858">
        <v>-1.112551512479</v>
      </c>
      <c r="AH2858">
        <v>15.0647246179239</v>
      </c>
      <c r="AI2858">
        <v>93.987881865030602</v>
      </c>
      <c r="AJ2858">
        <v>109.26893006331601</v>
      </c>
      <c r="AK2858">
        <v>15.997465484317701</v>
      </c>
    </row>
    <row r="2859" spans="1:37" x14ac:dyDescent="0.2">
      <c r="A2859" t="str">
        <f>"20200111150647528"</f>
        <v>20200111150647528</v>
      </c>
      <c r="B2859" t="str">
        <f>"1578726407519762"</f>
        <v>1578726407519762</v>
      </c>
      <c r="C2859" t="s">
        <v>37</v>
      </c>
      <c r="D2859">
        <v>5.0551879999999896</v>
      </c>
      <c r="E2859">
        <v>0.40622199999999897</v>
      </c>
      <c r="F2859" t="s">
        <v>85</v>
      </c>
      <c r="G2859">
        <v>-186.99850000000001</v>
      </c>
      <c r="H2859" s="1">
        <v>-6.6013239999999996E-6</v>
      </c>
      <c r="I2859">
        <v>-42.742280000000001</v>
      </c>
      <c r="J2859">
        <v>-195.33170000000001</v>
      </c>
      <c r="K2859">
        <v>1.1125419999999999</v>
      </c>
      <c r="L2859">
        <v>-56.61694</v>
      </c>
      <c r="M2859">
        <v>0.76915129999999998</v>
      </c>
      <c r="N2859">
        <v>0</v>
      </c>
      <c r="O2859">
        <v>0.63892709999999997</v>
      </c>
      <c r="P2859">
        <v>0.69099690000000002</v>
      </c>
      <c r="Q2859">
        <v>0.15838179999999999</v>
      </c>
      <c r="R2859">
        <v>0.70529330000000001</v>
      </c>
      <c r="S2859">
        <v>1.6364590000000001</v>
      </c>
      <c r="T2859">
        <v>-0.21522339999999901</v>
      </c>
      <c r="U2859">
        <v>2.7056879999999999</v>
      </c>
      <c r="V2859">
        <v>-0.10477449999999899</v>
      </c>
      <c r="W2859">
        <v>0.16920199999999999</v>
      </c>
      <c r="X2859">
        <v>0.97999639999999999</v>
      </c>
      <c r="Y2859">
        <v>-0.32791609999999899</v>
      </c>
      <c r="Z2859">
        <v>-3.4605579999999997E-2</v>
      </c>
      <c r="AA2859">
        <v>0.94407280000000005</v>
      </c>
      <c r="AB2859">
        <v>29</v>
      </c>
      <c r="AC2859">
        <v>8.3331999999999997</v>
      </c>
      <c r="AD2859">
        <v>-1.112548601324</v>
      </c>
      <c r="AE2859">
        <v>13.87466</v>
      </c>
      <c r="AF2859">
        <v>-5.3227315340235197</v>
      </c>
      <c r="AG2859">
        <v>-1.112548601324</v>
      </c>
      <c r="AH2859">
        <v>15.203908998331601</v>
      </c>
      <c r="AI2859">
        <v>93.950862735099307</v>
      </c>
      <c r="AJ2859">
        <v>109.29462328612701</v>
      </c>
      <c r="AK2859">
        <v>16.147076645732</v>
      </c>
    </row>
    <row r="2860" spans="1:37" x14ac:dyDescent="0.2">
      <c r="A2860" t="str">
        <f>"20200111150647540"</f>
        <v>20200111150647540</v>
      </c>
      <c r="B2860" t="str">
        <f>"1578726407529521"</f>
        <v>1578726407529521</v>
      </c>
      <c r="C2860" t="s">
        <v>37</v>
      </c>
      <c r="D2860">
        <v>5.1847250000000003</v>
      </c>
      <c r="E2860">
        <v>0.40606059999999999</v>
      </c>
      <c r="F2860" t="s">
        <v>85</v>
      </c>
      <c r="G2860">
        <v>-186.88890000000001</v>
      </c>
      <c r="H2860" s="1">
        <v>-6.6973439999999998E-6</v>
      </c>
      <c r="I2860">
        <v>-42.418599999999998</v>
      </c>
      <c r="J2860">
        <v>-195.22229999999999</v>
      </c>
      <c r="K2860">
        <v>1.112538</v>
      </c>
      <c r="L2860">
        <v>-56.518430000000002</v>
      </c>
      <c r="M2860">
        <v>0.76533109999999904</v>
      </c>
      <c r="N2860">
        <v>0</v>
      </c>
      <c r="O2860">
        <v>0.64349809999999996</v>
      </c>
      <c r="P2860">
        <v>0.68642569999999903</v>
      </c>
      <c r="Q2860">
        <v>0.15843689999999999</v>
      </c>
      <c r="R2860">
        <v>0.70973050000000004</v>
      </c>
      <c r="S2860">
        <v>1.616196</v>
      </c>
      <c r="T2860">
        <v>-0.21297260000000001</v>
      </c>
      <c r="U2860">
        <v>2.7179570000000002</v>
      </c>
      <c r="V2860">
        <v>-0.1052587</v>
      </c>
      <c r="W2860">
        <v>0.16924620000000001</v>
      </c>
      <c r="X2860">
        <v>0.9799369</v>
      </c>
      <c r="Y2860">
        <v>-0.32935549999999902</v>
      </c>
      <c r="Z2860">
        <v>-3.4553899999999999E-2</v>
      </c>
      <c r="AA2860">
        <v>0.94357349999999995</v>
      </c>
      <c r="AB2860">
        <v>29</v>
      </c>
      <c r="AC2860">
        <v>8.3333999999999797</v>
      </c>
      <c r="AD2860">
        <v>-1.1125446973440001</v>
      </c>
      <c r="AE2860">
        <v>14.099830000000001</v>
      </c>
      <c r="AF2860">
        <v>-5.4040606276039602</v>
      </c>
      <c r="AG2860">
        <v>-1.1125446973440001</v>
      </c>
      <c r="AH2860">
        <v>15.381430615193899</v>
      </c>
      <c r="AI2860">
        <v>93.903877019153398</v>
      </c>
      <c r="AJ2860">
        <v>109.358245475228</v>
      </c>
      <c r="AK2860">
        <v>16.341053660655799</v>
      </c>
    </row>
    <row r="2861" spans="1:37" x14ac:dyDescent="0.2">
      <c r="A2861" t="str">
        <f>"20200111150647553"</f>
        <v>20200111150647553</v>
      </c>
      <c r="B2861" t="str">
        <f>"1578726407549610"</f>
        <v>1578726407549610</v>
      </c>
      <c r="C2861" t="s">
        <v>37</v>
      </c>
      <c r="D2861">
        <v>5.0845190000000002</v>
      </c>
      <c r="E2861">
        <v>0.40606449999999999</v>
      </c>
      <c r="F2861" t="s">
        <v>85</v>
      </c>
      <c r="G2861">
        <v>-186.82589999999999</v>
      </c>
      <c r="H2861" s="1">
        <v>-6.7713829999999901E-6</v>
      </c>
      <c r="I2861">
        <v>-42.176250000000003</v>
      </c>
      <c r="J2861">
        <v>-195.0993</v>
      </c>
      <c r="K2861">
        <v>1.1125339999999999</v>
      </c>
      <c r="L2861">
        <v>-56.406889999999997</v>
      </c>
      <c r="M2861">
        <v>0.76099209999999995</v>
      </c>
      <c r="N2861">
        <v>0</v>
      </c>
      <c r="O2861">
        <v>0.64862369999999903</v>
      </c>
      <c r="P2861">
        <v>0.68139179999999999</v>
      </c>
      <c r="Q2861">
        <v>0.15809779999999901</v>
      </c>
      <c r="R2861">
        <v>0.7146401</v>
      </c>
      <c r="S2861">
        <v>1.597672</v>
      </c>
      <c r="T2861">
        <v>-0.21169539999999901</v>
      </c>
      <c r="U2861">
        <v>2.729034</v>
      </c>
      <c r="V2861">
        <v>-0.105654399999999</v>
      </c>
      <c r="W2861">
        <v>0.1688984</v>
      </c>
      <c r="X2861">
        <v>0.97995429999999994</v>
      </c>
      <c r="Y2861">
        <v>-0.32945609999999997</v>
      </c>
      <c r="Z2861">
        <v>-3.4734620000000001E-2</v>
      </c>
      <c r="AA2861">
        <v>0.94353180000000003</v>
      </c>
      <c r="AB2861">
        <v>29</v>
      </c>
      <c r="AC2861">
        <v>8.2734000000000094</v>
      </c>
      <c r="AD2861">
        <v>-1.112540771383</v>
      </c>
      <c r="AE2861">
        <v>14.230639999999999</v>
      </c>
      <c r="AF2861">
        <v>-5.4387243479310596</v>
      </c>
      <c r="AG2861">
        <v>-1.112540771383</v>
      </c>
      <c r="AH2861">
        <v>15.4570988632473</v>
      </c>
      <c r="AI2861">
        <v>93.884177735604098</v>
      </c>
      <c r="AJ2861">
        <v>109.38489660830599</v>
      </c>
      <c r="AK2861">
        <v>16.4237442372003</v>
      </c>
    </row>
    <row r="2862" spans="1:37" x14ac:dyDescent="0.2">
      <c r="A2862" t="str">
        <f>"20200111150647570"</f>
        <v>20200111150647570</v>
      </c>
      <c r="B2862" t="str">
        <f>"1578726407559370"</f>
        <v>1578726407559370</v>
      </c>
      <c r="C2862" t="s">
        <v>37</v>
      </c>
      <c r="D2862">
        <v>5.1100279999999998</v>
      </c>
      <c r="E2862">
        <v>0.4060993</v>
      </c>
      <c r="F2862" t="s">
        <v>85</v>
      </c>
      <c r="G2862">
        <v>-186.85079999999999</v>
      </c>
      <c r="H2862" s="1">
        <v>-6.8059429999999996E-6</v>
      </c>
      <c r="I2862">
        <v>-42.081389999999999</v>
      </c>
      <c r="J2862">
        <v>-194.94030000000001</v>
      </c>
      <c r="K2862">
        <v>1.112525</v>
      </c>
      <c r="L2862">
        <v>-56.259889999999999</v>
      </c>
      <c r="M2862">
        <v>0.75528090000000003</v>
      </c>
      <c r="N2862">
        <v>0</v>
      </c>
      <c r="O2862">
        <v>0.65526519999999899</v>
      </c>
      <c r="P2862">
        <v>0.67455779999999999</v>
      </c>
      <c r="Q2862">
        <v>0.15714690000000001</v>
      </c>
      <c r="R2862">
        <v>0.72130209999999995</v>
      </c>
      <c r="S2862">
        <v>1.577942</v>
      </c>
      <c r="T2862">
        <v>-0.21282989999999999</v>
      </c>
      <c r="U2862">
        <v>2.7404790000000001</v>
      </c>
      <c r="V2862">
        <v>-0.1065343</v>
      </c>
      <c r="W2862">
        <v>0.1679292</v>
      </c>
      <c r="X2862">
        <v>0.98002559999999905</v>
      </c>
      <c r="Y2862">
        <v>-0.32800459999999998</v>
      </c>
      <c r="Z2862">
        <v>-3.5471320000000001E-2</v>
      </c>
      <c r="AA2862">
        <v>0.94401000000000002</v>
      </c>
      <c r="AB2862">
        <v>29</v>
      </c>
      <c r="AC2862">
        <v>8.0895000000000099</v>
      </c>
      <c r="AD2862">
        <v>-1.1125318059430001</v>
      </c>
      <c r="AE2862">
        <v>14.1785</v>
      </c>
      <c r="AF2862">
        <v>-5.3834588860565997</v>
      </c>
      <c r="AG2862">
        <v>-1.1125318059430001</v>
      </c>
      <c r="AH2862">
        <v>15.330685896399199</v>
      </c>
      <c r="AI2862">
        <v>93.9169343425813</v>
      </c>
      <c r="AJ2862">
        <v>109.34901917774199</v>
      </c>
      <c r="AK2862">
        <v>16.286475574879599</v>
      </c>
    </row>
    <row r="2863" spans="1:37" x14ac:dyDescent="0.2">
      <c r="A2863" t="str">
        <f>"20200111150647583"</f>
        <v>20200111150647583</v>
      </c>
      <c r="B2863" t="str">
        <f>"1578726407578891"</f>
        <v>1578726407578891</v>
      </c>
      <c r="C2863" t="s">
        <v>37</v>
      </c>
      <c r="D2863">
        <v>5.086557</v>
      </c>
      <c r="E2863">
        <v>0.40625939999999999</v>
      </c>
      <c r="F2863" t="s">
        <v>85</v>
      </c>
      <c r="G2863">
        <v>-186.9649</v>
      </c>
      <c r="H2863" s="1">
        <v>-6.8118139999999997E-6</v>
      </c>
      <c r="I2863">
        <v>-42.102179999999997</v>
      </c>
      <c r="J2863">
        <v>-194.81540000000001</v>
      </c>
      <c r="K2863">
        <v>1.112522</v>
      </c>
      <c r="L2863">
        <v>-56.142330000000001</v>
      </c>
      <c r="M2863">
        <v>0.75071549999999998</v>
      </c>
      <c r="N2863">
        <v>0</v>
      </c>
      <c r="O2863">
        <v>0.66049060000000004</v>
      </c>
      <c r="P2863">
        <v>0.66927749999999997</v>
      </c>
      <c r="Q2863">
        <v>0.15661340000000001</v>
      </c>
      <c r="R2863">
        <v>0.72631939999999995</v>
      </c>
      <c r="S2863">
        <v>1.551941</v>
      </c>
      <c r="T2863">
        <v>-0.21648719999999999</v>
      </c>
      <c r="U2863">
        <v>2.7549440000000001</v>
      </c>
      <c r="V2863">
        <v>-0.10695789999999999</v>
      </c>
      <c r="W2863">
        <v>0.1673877</v>
      </c>
      <c r="X2863">
        <v>0.9800721</v>
      </c>
      <c r="Y2863">
        <v>-0.33034839999999999</v>
      </c>
      <c r="Z2863">
        <v>-3.6426149999999997E-2</v>
      </c>
      <c r="AA2863">
        <v>0.94315590000000005</v>
      </c>
      <c r="AB2863">
        <v>29</v>
      </c>
      <c r="AC2863">
        <v>7.85050000000001</v>
      </c>
      <c r="AD2863">
        <v>-1.112528811814</v>
      </c>
      <c r="AE2863">
        <v>14.040150000000001</v>
      </c>
      <c r="AF2863">
        <v>-5.32995947181149</v>
      </c>
      <c r="AG2863">
        <v>-1.112528811814</v>
      </c>
      <c r="AH2863">
        <v>15.0960227317674</v>
      </c>
      <c r="AI2863">
        <v>93.975239828373205</v>
      </c>
      <c r="AJ2863">
        <v>109.446620712841</v>
      </c>
      <c r="AK2863">
        <v>16.0479310394302</v>
      </c>
    </row>
    <row r="2864" spans="1:37" x14ac:dyDescent="0.2">
      <c r="A2864" t="str">
        <f>"20200111150647597"</f>
        <v>20200111150647597</v>
      </c>
      <c r="B2864" t="str">
        <f>"1578726407589626"</f>
        <v>1578726407589626</v>
      </c>
      <c r="C2864" t="s">
        <v>37</v>
      </c>
      <c r="D2864">
        <v>5.0557400000000001</v>
      </c>
      <c r="E2864">
        <v>0.40632180000000001</v>
      </c>
      <c r="F2864" t="s">
        <v>85</v>
      </c>
      <c r="G2864">
        <v>-187.04089999999999</v>
      </c>
      <c r="H2864" s="1">
        <v>-6.815276E-6</v>
      </c>
      <c r="I2864">
        <v>-42.117379999999997</v>
      </c>
      <c r="J2864">
        <v>-194.68860000000001</v>
      </c>
      <c r="K2864">
        <v>1.112519</v>
      </c>
      <c r="L2864">
        <v>-56.021639999999998</v>
      </c>
      <c r="M2864">
        <v>0.74601689999999998</v>
      </c>
      <c r="N2864">
        <v>0</v>
      </c>
      <c r="O2864">
        <v>0.66579309999999903</v>
      </c>
      <c r="P2864">
        <v>0.66396690000000003</v>
      </c>
      <c r="Q2864">
        <v>0.1563705</v>
      </c>
      <c r="R2864">
        <v>0.73122919999999902</v>
      </c>
      <c r="S2864">
        <v>1.532867</v>
      </c>
      <c r="T2864">
        <v>-0.21935160000000001</v>
      </c>
      <c r="U2864">
        <v>2.765228</v>
      </c>
      <c r="V2864">
        <v>-0.1071882</v>
      </c>
      <c r="W2864">
        <v>0.1671395</v>
      </c>
      <c r="X2864">
        <v>0.98008930000000005</v>
      </c>
      <c r="Y2864">
        <v>-0.33014250000000001</v>
      </c>
      <c r="Z2864">
        <v>-3.7338240000000002E-2</v>
      </c>
      <c r="AA2864">
        <v>0.94319240000000004</v>
      </c>
      <c r="AB2864">
        <v>29</v>
      </c>
      <c r="AC2864">
        <v>7.6477000000000102</v>
      </c>
      <c r="AD2864">
        <v>-1.112525815276</v>
      </c>
      <c r="AE2864">
        <v>13.904260000000001</v>
      </c>
      <c r="AF2864">
        <v>-5.2556655895851403</v>
      </c>
      <c r="AG2864">
        <v>-1.112525815276</v>
      </c>
      <c r="AH2864">
        <v>14.8908174745208</v>
      </c>
      <c r="AI2864">
        <v>94.029987121443895</v>
      </c>
      <c r="AJ2864">
        <v>109.440318647628</v>
      </c>
      <c r="AK2864">
        <v>15.8302299269057</v>
      </c>
    </row>
    <row r="2865" spans="1:37" x14ac:dyDescent="0.2">
      <c r="A2865" t="str">
        <f>"20200111150647615"</f>
        <v>20200111150647615</v>
      </c>
      <c r="B2865" t="str">
        <f>"1578726407609146"</f>
        <v>1578726407609146</v>
      </c>
      <c r="C2865" t="s">
        <v>37</v>
      </c>
      <c r="D2865">
        <v>5.0792390000000003</v>
      </c>
      <c r="E2865">
        <v>0.40649009999999902</v>
      </c>
      <c r="F2865" t="s">
        <v>85</v>
      </c>
      <c r="G2865">
        <v>-187.05099999999999</v>
      </c>
      <c r="H2865" s="1">
        <v>-6.8521129999999997E-6</v>
      </c>
      <c r="I2865">
        <v>-42.010739999999998</v>
      </c>
      <c r="J2865">
        <v>-194.51840000000001</v>
      </c>
      <c r="K2865">
        <v>1.112517</v>
      </c>
      <c r="L2865">
        <v>-55.856960000000001</v>
      </c>
      <c r="M2865">
        <v>0.73960409999999999</v>
      </c>
      <c r="N2865">
        <v>0</v>
      </c>
      <c r="O2865">
        <v>0.67290969999999894</v>
      </c>
      <c r="P2865">
        <v>0.65716409999999903</v>
      </c>
      <c r="Q2865">
        <v>0.15701119999999999</v>
      </c>
      <c r="R2865">
        <v>0.73721289999999995</v>
      </c>
      <c r="S2865">
        <v>1.513153</v>
      </c>
      <c r="T2865">
        <v>-0.22041449999999899</v>
      </c>
      <c r="U2865">
        <v>2.7758479999999999</v>
      </c>
      <c r="V2865">
        <v>-0.106789699999999</v>
      </c>
      <c r="W2865">
        <v>0.1677891</v>
      </c>
      <c r="X2865">
        <v>0.98002180000000005</v>
      </c>
      <c r="Y2865">
        <v>-0.32779509999999901</v>
      </c>
      <c r="Z2865">
        <v>-3.8157190000000001E-2</v>
      </c>
      <c r="AA2865">
        <v>0.94397799999999998</v>
      </c>
      <c r="AB2865">
        <v>29</v>
      </c>
      <c r="AC2865">
        <v>7.46740000000002</v>
      </c>
      <c r="AD2865">
        <v>-1.1125238521130001</v>
      </c>
      <c r="AE2865">
        <v>13.846219999999899</v>
      </c>
      <c r="AF2865">
        <v>-5.1903420589262002</v>
      </c>
      <c r="AG2865">
        <v>-1.1125238521130001</v>
      </c>
      <c r="AH2865">
        <v>14.767641956106701</v>
      </c>
      <c r="AI2865">
        <v>94.065359497786005</v>
      </c>
      <c r="AJ2865">
        <v>109.364903238314</v>
      </c>
      <c r="AK2865">
        <v>15.6926928522144</v>
      </c>
    </row>
    <row r="2866" spans="1:37" x14ac:dyDescent="0.2">
      <c r="A2866" t="str">
        <f>"20200111150647629"</f>
        <v>20200111150647629</v>
      </c>
      <c r="B2866" t="str">
        <f>"1578726407618906"</f>
        <v>1578726407618906</v>
      </c>
      <c r="C2866" t="s">
        <v>37</v>
      </c>
      <c r="D2866">
        <v>5.0448459999999997</v>
      </c>
      <c r="E2866">
        <v>0.4065993</v>
      </c>
      <c r="F2866" t="s">
        <v>85</v>
      </c>
      <c r="G2866">
        <v>-186.97880000000001</v>
      </c>
      <c r="H2866" s="1">
        <v>-6.9335519999999902E-6</v>
      </c>
      <c r="I2866">
        <v>-41.743169999999999</v>
      </c>
      <c r="J2866">
        <v>-194.387</v>
      </c>
      <c r="K2866">
        <v>1.112509</v>
      </c>
      <c r="L2866">
        <v>-55.727600000000002</v>
      </c>
      <c r="M2866">
        <v>0.73456390000000005</v>
      </c>
      <c r="N2866">
        <v>0</v>
      </c>
      <c r="O2866">
        <v>0.67840809999999996</v>
      </c>
      <c r="P2866">
        <v>0.65155739999999995</v>
      </c>
      <c r="Q2866">
        <v>0.1573338</v>
      </c>
      <c r="R2866">
        <v>0.74210449999999994</v>
      </c>
      <c r="S2866">
        <v>1.489563</v>
      </c>
      <c r="T2866">
        <v>-0.21979580000000001</v>
      </c>
      <c r="U2866">
        <v>2.7883909999999998</v>
      </c>
      <c r="V2866">
        <v>-0.10686279999999999</v>
      </c>
      <c r="W2866">
        <v>0.1681097</v>
      </c>
      <c r="X2866">
        <v>0.97995889999999997</v>
      </c>
      <c r="Y2866">
        <v>-0.32872879999999999</v>
      </c>
      <c r="Z2866">
        <v>-3.8466750000000001E-2</v>
      </c>
      <c r="AA2866">
        <v>0.94364059999999905</v>
      </c>
      <c r="AB2866">
        <v>29</v>
      </c>
      <c r="AC2866">
        <v>7.4081999999999901</v>
      </c>
      <c r="AD2866">
        <v>-1.1125159335519901</v>
      </c>
      <c r="AE2866">
        <v>13.98443</v>
      </c>
      <c r="AF2866">
        <v>-5.2213388001082501</v>
      </c>
      <c r="AG2866">
        <v>-1.1125159335519901</v>
      </c>
      <c r="AH2866">
        <v>14.856856231350999</v>
      </c>
      <c r="AI2866">
        <v>94.041030236871606</v>
      </c>
      <c r="AJ2866">
        <v>109.363670437173</v>
      </c>
      <c r="AK2866">
        <v>15.786901141356299</v>
      </c>
    </row>
    <row r="2867" spans="1:37" x14ac:dyDescent="0.2">
      <c r="A2867" t="str">
        <f>"20200111150647642"</f>
        <v>20200111150647642</v>
      </c>
      <c r="B2867" t="str">
        <f>"1578726407639043"</f>
        <v>1578726407639043</v>
      </c>
      <c r="C2867" t="s">
        <v>37</v>
      </c>
      <c r="D2867">
        <v>5.0202200000000001</v>
      </c>
      <c r="E2867">
        <v>0.40693359999999901</v>
      </c>
      <c r="F2867" t="s">
        <v>85</v>
      </c>
      <c r="G2867">
        <v>-186.92930000000001</v>
      </c>
      <c r="H2867" s="1">
        <v>-7.0016939999999996E-6</v>
      </c>
      <c r="I2867">
        <v>-41.522970000000001</v>
      </c>
      <c r="J2867">
        <v>-194.2747</v>
      </c>
      <c r="K2867">
        <v>1.112503</v>
      </c>
      <c r="L2867">
        <v>-55.615259999999999</v>
      </c>
      <c r="M2867">
        <v>0.73019140000000005</v>
      </c>
      <c r="N2867">
        <v>0</v>
      </c>
      <c r="O2867">
        <v>0.6831121</v>
      </c>
      <c r="P2867">
        <v>0.64687099999999997</v>
      </c>
      <c r="Q2867">
        <v>0.15722809999999901</v>
      </c>
      <c r="R2867">
        <v>0.74621530000000003</v>
      </c>
      <c r="S2867">
        <v>1.469452</v>
      </c>
      <c r="T2867">
        <v>-0.2192085</v>
      </c>
      <c r="U2867">
        <v>2.7988590000000002</v>
      </c>
      <c r="V2867">
        <v>-0.1067525</v>
      </c>
      <c r="W2867">
        <v>0.1680072</v>
      </c>
      <c r="X2867">
        <v>0.97998850000000004</v>
      </c>
      <c r="Y2867">
        <v>-0.32943329999999998</v>
      </c>
      <c r="Z2867">
        <v>-3.8723380000000002E-2</v>
      </c>
      <c r="AA2867">
        <v>0.94338449999999996</v>
      </c>
      <c r="AB2867">
        <v>29</v>
      </c>
      <c r="AC2867">
        <v>7.3453999999999802</v>
      </c>
      <c r="AD2867">
        <v>-1.1125100016939999</v>
      </c>
      <c r="AE2867">
        <v>14.092289999999901</v>
      </c>
      <c r="AF2867">
        <v>-5.2470928248846098</v>
      </c>
      <c r="AG2867">
        <v>-1.1125100016939999</v>
      </c>
      <c r="AH2867">
        <v>14.9183872135226</v>
      </c>
      <c r="AI2867">
        <v>94.024049074872593</v>
      </c>
      <c r="AJ2867">
        <v>109.37778512074</v>
      </c>
      <c r="AK2867">
        <v>15.8533257920671</v>
      </c>
    </row>
    <row r="2868" spans="1:37" x14ac:dyDescent="0.2">
      <c r="A2868" t="str">
        <f>"20200111150647660"</f>
        <v>20200111150647660</v>
      </c>
      <c r="B2868" t="str">
        <f>"1578726407648792"</f>
        <v>1578726407648792</v>
      </c>
      <c r="C2868" t="s">
        <v>37</v>
      </c>
      <c r="D2868">
        <v>5.0708799999999998</v>
      </c>
      <c r="E2868">
        <v>0.4070896</v>
      </c>
      <c r="F2868" t="s">
        <v>85</v>
      </c>
      <c r="G2868">
        <v>-186.9348</v>
      </c>
      <c r="H2868" s="1">
        <v>-7.0273699999999901E-6</v>
      </c>
      <c r="I2868">
        <v>-41.448129999999999</v>
      </c>
      <c r="J2868">
        <v>-194.1123</v>
      </c>
      <c r="K2868">
        <v>1.1124860000000001</v>
      </c>
      <c r="L2868">
        <v>-55.450469999999903</v>
      </c>
      <c r="M2868">
        <v>0.72376969999999996</v>
      </c>
      <c r="N2868">
        <v>0</v>
      </c>
      <c r="O2868">
        <v>0.68991250000000004</v>
      </c>
      <c r="P2868">
        <v>0.63995360000000001</v>
      </c>
      <c r="Q2868">
        <v>0.15613089999999999</v>
      </c>
      <c r="R2868">
        <v>0.75238470000000002</v>
      </c>
      <c r="S2868">
        <v>1.4539340000000001</v>
      </c>
      <c r="T2868">
        <v>-0.22037219999999999</v>
      </c>
      <c r="U2868">
        <v>2.806305</v>
      </c>
      <c r="V2868">
        <v>-0.1067722</v>
      </c>
      <c r="W2868">
        <v>0.16691239999999999</v>
      </c>
      <c r="X2868">
        <v>0.98017339999999997</v>
      </c>
      <c r="Y2868">
        <v>-0.32575110000000002</v>
      </c>
      <c r="Z2868">
        <v>-3.9584790000000002E-2</v>
      </c>
      <c r="AA2868">
        <v>0.94462649999999904</v>
      </c>
      <c r="AB2868">
        <v>29</v>
      </c>
      <c r="AC2868">
        <v>7.1775000000000002</v>
      </c>
      <c r="AD2868">
        <v>-1.11249302737</v>
      </c>
      <c r="AE2868">
        <v>14.002339999999901</v>
      </c>
      <c r="AF2868">
        <v>-5.15730328747994</v>
      </c>
      <c r="AG2868">
        <v>-1.11249302737</v>
      </c>
      <c r="AH2868">
        <v>14.7826726502157</v>
      </c>
      <c r="AI2868">
        <v>94.064401797859901</v>
      </c>
      <c r="AJ2868">
        <v>109.232597057592</v>
      </c>
      <c r="AK2868">
        <v>15.6959494334823</v>
      </c>
    </row>
    <row r="2869" spans="1:37" x14ac:dyDescent="0.2">
      <c r="A2869" t="str">
        <f>"20200111150647675"</f>
        <v>20200111150647675</v>
      </c>
      <c r="B2869" t="str">
        <f>"1578726407669289"</f>
        <v>1578726407669289</v>
      </c>
      <c r="C2869" t="s">
        <v>37</v>
      </c>
      <c r="D2869">
        <v>5.0577439999999996</v>
      </c>
      <c r="E2869">
        <v>0.40745500000000001</v>
      </c>
      <c r="F2869" t="s">
        <v>85</v>
      </c>
      <c r="G2869">
        <v>-187.02010000000001</v>
      </c>
      <c r="H2869" s="1">
        <v>-7.0352379999999998E-6</v>
      </c>
      <c r="I2869">
        <v>-41.453270000000003</v>
      </c>
      <c r="J2869">
        <v>-193.98390000000001</v>
      </c>
      <c r="K2869">
        <v>1.1124750000000001</v>
      </c>
      <c r="L2869">
        <v>-55.318240000000003</v>
      </c>
      <c r="M2869">
        <v>0.71861229999999998</v>
      </c>
      <c r="N2869">
        <v>0</v>
      </c>
      <c r="O2869">
        <v>0.69528279999999998</v>
      </c>
      <c r="P2869">
        <v>0.63424019999999903</v>
      </c>
      <c r="Q2869">
        <v>0.15571860000000001</v>
      </c>
      <c r="R2869">
        <v>0.75729199999999997</v>
      </c>
      <c r="S2869">
        <v>1.428329</v>
      </c>
      <c r="T2869">
        <v>-0.22404850000000001</v>
      </c>
      <c r="U2869">
        <v>2.8189389999999999</v>
      </c>
      <c r="V2869">
        <v>-0.106942</v>
      </c>
      <c r="W2869">
        <v>0.16649720000000001</v>
      </c>
      <c r="X2869">
        <v>0.98022549999999997</v>
      </c>
      <c r="Y2869">
        <v>-0.327264099999999</v>
      </c>
      <c r="Z2869">
        <v>-4.0647030000000001E-2</v>
      </c>
      <c r="AA2869">
        <v>0.94405819999999996</v>
      </c>
      <c r="AB2869">
        <v>29</v>
      </c>
      <c r="AC2869">
        <v>6.9637999999999902</v>
      </c>
      <c r="AD2869">
        <v>-1.112482035238</v>
      </c>
      <c r="AE2869">
        <v>13.86497</v>
      </c>
      <c r="AF2869">
        <v>-5.0959852533168197</v>
      </c>
      <c r="AG2869">
        <v>-1.112482035238</v>
      </c>
      <c r="AH2869">
        <v>14.570743400358101</v>
      </c>
      <c r="AI2869">
        <v>94.1221671449306</v>
      </c>
      <c r="AJ2869">
        <v>109.276821107903</v>
      </c>
      <c r="AK2869">
        <v>15.4762154682541</v>
      </c>
    </row>
    <row r="2870" spans="1:37" x14ac:dyDescent="0.2">
      <c r="A2870" t="str">
        <f>"20200111150647694"</f>
        <v>20200111150647694</v>
      </c>
      <c r="B2870" t="str">
        <f>"1578726407689784"</f>
        <v>1578726407689784</v>
      </c>
      <c r="C2870" t="s">
        <v>37</v>
      </c>
      <c r="D2870">
        <v>5.0039210000000001</v>
      </c>
      <c r="E2870">
        <v>0.40760799999999903</v>
      </c>
      <c r="F2870" t="s">
        <v>85</v>
      </c>
      <c r="G2870">
        <v>-187.09569999999999</v>
      </c>
      <c r="H2870" s="1">
        <v>-7.0287729999999998E-6</v>
      </c>
      <c r="I2870">
        <v>-41.498019999999997</v>
      </c>
      <c r="J2870">
        <v>-193.8159</v>
      </c>
      <c r="K2870">
        <v>1.11246</v>
      </c>
      <c r="L2870">
        <v>-55.141969999999901</v>
      </c>
      <c r="M2870">
        <v>0.71174850000000001</v>
      </c>
      <c r="N2870">
        <v>0</v>
      </c>
      <c r="O2870">
        <v>0.70230749999999997</v>
      </c>
      <c r="P2870">
        <v>0.62658259999999999</v>
      </c>
      <c r="Q2870">
        <v>0.15524560000000001</v>
      </c>
      <c r="R2870">
        <v>0.76373630000000003</v>
      </c>
      <c r="S2870">
        <v>1.4094389999999899</v>
      </c>
      <c r="T2870">
        <v>-0.227635</v>
      </c>
      <c r="U2870">
        <v>2.8278810000000001</v>
      </c>
      <c r="V2870">
        <v>-0.10723769999999901</v>
      </c>
      <c r="W2870">
        <v>0.16601939999999901</v>
      </c>
      <c r="X2870">
        <v>0.98027430000000004</v>
      </c>
      <c r="Y2870">
        <v>-0.32425159999999997</v>
      </c>
      <c r="Z2870">
        <v>-4.1972990000000002E-2</v>
      </c>
      <c r="AA2870">
        <v>0.94503930000000003</v>
      </c>
      <c r="AB2870">
        <v>29</v>
      </c>
      <c r="AC2870">
        <v>6.7202000000000002</v>
      </c>
      <c r="AD2870">
        <v>-1.1124670287730001</v>
      </c>
      <c r="AE2870">
        <v>13.643949999999901</v>
      </c>
      <c r="AF2870">
        <v>-4.9652940513441699</v>
      </c>
      <c r="AG2870">
        <v>-1.1124670287730001</v>
      </c>
      <c r="AH2870">
        <v>14.290166960639899</v>
      </c>
      <c r="AI2870">
        <v>94.205726046554403</v>
      </c>
      <c r="AJ2870">
        <v>109.16041120061099</v>
      </c>
      <c r="AK2870">
        <v>15.1690671983937</v>
      </c>
    </row>
    <row r="2871" spans="1:37" x14ac:dyDescent="0.2">
      <c r="A2871" t="str">
        <f>"20200111150647717"</f>
        <v>20200111150647717</v>
      </c>
      <c r="B2871" t="str">
        <f>"1578726407709304"</f>
        <v>1578726407709304</v>
      </c>
      <c r="C2871" t="s">
        <v>37</v>
      </c>
      <c r="D2871">
        <v>5.0405559999999996</v>
      </c>
      <c r="E2871">
        <v>0.40776590000000001</v>
      </c>
      <c r="F2871" t="s">
        <v>85</v>
      </c>
      <c r="G2871">
        <v>-187.14080000000001</v>
      </c>
      <c r="H2871" s="1">
        <v>-7.0604859999999996E-6</v>
      </c>
      <c r="I2871">
        <v>-41.418409999999902</v>
      </c>
      <c r="J2871">
        <v>-193.61660000000001</v>
      </c>
      <c r="K2871">
        <v>1.1124289999999999</v>
      </c>
      <c r="L2871">
        <v>-54.928100000000001</v>
      </c>
      <c r="M2871">
        <v>0.7034338</v>
      </c>
      <c r="N2871">
        <v>0</v>
      </c>
      <c r="O2871">
        <v>0.71063540000000003</v>
      </c>
      <c r="P2871">
        <v>0.61683559999999904</v>
      </c>
      <c r="Q2871">
        <v>0.15442899999999901</v>
      </c>
      <c r="R2871">
        <v>0.77179370000000003</v>
      </c>
      <c r="S2871">
        <v>1.381912</v>
      </c>
      <c r="T2871">
        <v>-0.23030909999999999</v>
      </c>
      <c r="U2871">
        <v>2.8411249999999999</v>
      </c>
      <c r="V2871">
        <v>-0.1082366</v>
      </c>
      <c r="W2871">
        <v>0.16518289999999999</v>
      </c>
      <c r="X2871">
        <v>0.9803058</v>
      </c>
      <c r="Y2871">
        <v>-0.32227939999999999</v>
      </c>
      <c r="Z2871">
        <v>-4.3228559999999999E-2</v>
      </c>
      <c r="AA2871">
        <v>0.94565710000000003</v>
      </c>
      <c r="AB2871">
        <v>29</v>
      </c>
      <c r="AC2871">
        <v>6.4757999999999898</v>
      </c>
      <c r="AD2871">
        <v>-1.112436060486</v>
      </c>
      <c r="AE2871">
        <v>13.509690000000001</v>
      </c>
      <c r="AF2871">
        <v>-4.8747989793667896</v>
      </c>
      <c r="AG2871">
        <v>-1.112436060486</v>
      </c>
      <c r="AH2871">
        <v>14.079394037949699</v>
      </c>
      <c r="AI2871">
        <v>94.269951983230499</v>
      </c>
      <c r="AJ2871">
        <v>109.097716758613</v>
      </c>
      <c r="AK2871">
        <v>14.9409007611241</v>
      </c>
    </row>
    <row r="2872" spans="1:37" x14ac:dyDescent="0.2">
      <c r="A2872" t="str">
        <f>"20200111150647729"</f>
        <v>20200111150647729</v>
      </c>
      <c r="B2872" t="str">
        <f>"1578726407719064"</f>
        <v>1578726407719064</v>
      </c>
      <c r="C2872" t="s">
        <v>37</v>
      </c>
      <c r="D2872">
        <v>5.0326230000000001</v>
      </c>
      <c r="E2872">
        <v>0.41969489999999998</v>
      </c>
      <c r="F2872" t="s">
        <v>85</v>
      </c>
      <c r="G2872">
        <v>-187.20820000000001</v>
      </c>
      <c r="H2872" s="1">
        <v>-7.09602E-6</v>
      </c>
      <c r="I2872">
        <v>-41.334890000000001</v>
      </c>
      <c r="J2872">
        <v>-193.49879999999999</v>
      </c>
      <c r="K2872">
        <v>1.112409</v>
      </c>
      <c r="L2872">
        <v>-54.799590000000002</v>
      </c>
      <c r="M2872">
        <v>0.69843750000000004</v>
      </c>
      <c r="N2872">
        <v>0</v>
      </c>
      <c r="O2872">
        <v>0.71554659999999903</v>
      </c>
      <c r="P2872">
        <v>0.61115819999999998</v>
      </c>
      <c r="Q2872">
        <v>0.15370790000000001</v>
      </c>
      <c r="R2872">
        <v>0.77644029999999997</v>
      </c>
      <c r="S2872">
        <v>1.347046</v>
      </c>
      <c r="T2872">
        <v>-0.23383229999999999</v>
      </c>
      <c r="U2872">
        <v>2.8572690000000001</v>
      </c>
      <c r="V2872">
        <v>-0.108636999999999</v>
      </c>
      <c r="W2872">
        <v>0.16445479999999901</v>
      </c>
      <c r="X2872">
        <v>0.98038389999999997</v>
      </c>
      <c r="Y2872">
        <v>-0.32715909999999998</v>
      </c>
      <c r="Z2872">
        <v>-4.4180610000000002E-2</v>
      </c>
      <c r="AA2872">
        <v>0.94393590000000005</v>
      </c>
      <c r="AB2872">
        <v>29</v>
      </c>
      <c r="AC2872">
        <v>6.29059999999998</v>
      </c>
      <c r="AD2872">
        <v>-1.11241609602</v>
      </c>
      <c r="AE2872">
        <v>13.464700000000001</v>
      </c>
      <c r="AF2872">
        <v>-4.8761510275479196</v>
      </c>
      <c r="AG2872">
        <v>-1.11241609602</v>
      </c>
      <c r="AH2872">
        <v>13.951295700391499</v>
      </c>
      <c r="AI2872">
        <v>94.304572093798598</v>
      </c>
      <c r="AJ2872">
        <v>109.26515453832</v>
      </c>
      <c r="AK2872">
        <v>14.8206939828708</v>
      </c>
    </row>
    <row r="2873" spans="1:37" x14ac:dyDescent="0.2">
      <c r="A2873" t="str">
        <f>"20200111150647750"</f>
        <v>20200111150647750</v>
      </c>
      <c r="B2873" t="str">
        <f>"1578726407739149"</f>
        <v>1578726407739149</v>
      </c>
      <c r="C2873" t="s">
        <v>37</v>
      </c>
      <c r="D2873">
        <v>5.1263839999999998</v>
      </c>
      <c r="E2873">
        <v>0.42004709999999901</v>
      </c>
      <c r="F2873" t="s">
        <v>85</v>
      </c>
      <c r="G2873">
        <v>-187.9511</v>
      </c>
      <c r="H2873" s="1">
        <v>-6.3915980000000003E-6</v>
      </c>
      <c r="I2873">
        <v>-43.688890000000001</v>
      </c>
      <c r="J2873">
        <v>-193.32490000000001</v>
      </c>
      <c r="K2873">
        <v>1.112374</v>
      </c>
      <c r="L2873">
        <v>-54.606229999999996</v>
      </c>
      <c r="M2873">
        <v>0.69094</v>
      </c>
      <c r="N2873">
        <v>0</v>
      </c>
      <c r="O2873">
        <v>0.72278900000000001</v>
      </c>
      <c r="P2873">
        <v>0.60217259999999995</v>
      </c>
      <c r="Q2873">
        <v>0.1522636</v>
      </c>
      <c r="R2873">
        <v>0.78371169999999901</v>
      </c>
      <c r="S2873">
        <v>1.404922</v>
      </c>
      <c r="T2873">
        <v>-0.28170970000000001</v>
      </c>
      <c r="U2873">
        <v>2.8136899999999998</v>
      </c>
      <c r="V2873">
        <v>-0.10986600000000001</v>
      </c>
      <c r="W2873">
        <v>0.1629872</v>
      </c>
      <c r="X2873">
        <v>0.98049209999999998</v>
      </c>
      <c r="Y2873">
        <v>-0.296162799999999</v>
      </c>
      <c r="Z2873">
        <v>-5.5200440000000003E-2</v>
      </c>
      <c r="AA2873">
        <v>0.95354099999999997</v>
      </c>
      <c r="AB2873">
        <v>29</v>
      </c>
      <c r="AC2873">
        <v>5.3738000000000099</v>
      </c>
      <c r="AD2873">
        <v>-1.112380391598</v>
      </c>
      <c r="AE2873">
        <v>10.917339999999999</v>
      </c>
      <c r="AF2873">
        <v>-3.62910058593594</v>
      </c>
      <c r="AG2873">
        <v>-1.112380391598</v>
      </c>
      <c r="AH2873">
        <v>11.508760504297401</v>
      </c>
      <c r="AI2873">
        <v>95.266680231303397</v>
      </c>
      <c r="AJ2873">
        <v>107.501821877485</v>
      </c>
      <c r="AK2873">
        <v>12.118553112633901</v>
      </c>
    </row>
    <row r="2874" spans="1:37" x14ac:dyDescent="0.2">
      <c r="A2874" t="str">
        <f>"20200111150647772"</f>
        <v>20200111150647772</v>
      </c>
      <c r="B2874" t="str">
        <f>"1578726407769367"</f>
        <v>1578726407769367</v>
      </c>
      <c r="C2874" t="s">
        <v>37</v>
      </c>
      <c r="D2874">
        <v>5.0476010000000002</v>
      </c>
      <c r="E2874">
        <v>0.42124220000000001</v>
      </c>
      <c r="F2874" t="s">
        <v>85</v>
      </c>
      <c r="G2874">
        <v>-188.0027</v>
      </c>
      <c r="H2874" s="1">
        <v>-6.4114320000000002E-6</v>
      </c>
      <c r="I2874">
        <v>-43.646979999999999</v>
      </c>
      <c r="J2874">
        <v>-193.14420000000001</v>
      </c>
      <c r="K2874">
        <v>1.11232999999999</v>
      </c>
      <c r="L2874">
        <v>-54.401119999999999</v>
      </c>
      <c r="M2874">
        <v>0.68301269999999903</v>
      </c>
      <c r="N2874">
        <v>0</v>
      </c>
      <c r="O2874">
        <v>0.73028479999999996</v>
      </c>
      <c r="P2874">
        <v>0.59278439999999999</v>
      </c>
      <c r="Q2874">
        <v>0.1505997</v>
      </c>
      <c r="R2874">
        <v>0.7911551</v>
      </c>
      <c r="S2874">
        <v>1.37355</v>
      </c>
      <c r="T2874">
        <v>-0.28708049999999902</v>
      </c>
      <c r="U2874">
        <v>2.8283390000000002</v>
      </c>
      <c r="V2874">
        <v>-0.1110285</v>
      </c>
      <c r="W2874">
        <v>0.16130320000000001</v>
      </c>
      <c r="X2874">
        <v>0.98063959999999994</v>
      </c>
      <c r="Y2874">
        <v>-0.29628589999999999</v>
      </c>
      <c r="Z2874">
        <v>-5.7044900000000003E-2</v>
      </c>
      <c r="AA2874">
        <v>0.95339419999999897</v>
      </c>
      <c r="AB2874">
        <v>29</v>
      </c>
      <c r="AC2874">
        <v>5.1414999999999997</v>
      </c>
      <c r="AD2874">
        <v>-1.11233641143199</v>
      </c>
      <c r="AE2874">
        <v>10.75414</v>
      </c>
      <c r="AF2874">
        <v>-3.5597754746234398</v>
      </c>
      <c r="AG2874">
        <v>-1.11233641143199</v>
      </c>
      <c r="AH2874">
        <v>11.2681815399441</v>
      </c>
      <c r="AI2874">
        <v>95.377371096047398</v>
      </c>
      <c r="AJ2874">
        <v>107.532052156828</v>
      </c>
      <c r="AK2874">
        <v>11.8693390270506</v>
      </c>
    </row>
    <row r="2875" spans="1:37" x14ac:dyDescent="0.2">
      <c r="A2875" t="str">
        <f>"20200111150647795"</f>
        <v>20200111150647795</v>
      </c>
      <c r="B2875" t="str">
        <f>"1578726407789863"</f>
        <v>1578726407789863</v>
      </c>
      <c r="C2875" t="s">
        <v>37</v>
      </c>
      <c r="D2875">
        <v>5.0352309999999996</v>
      </c>
      <c r="E2875">
        <v>0.42568129999999998</v>
      </c>
      <c r="F2875" t="s">
        <v>85</v>
      </c>
      <c r="G2875">
        <v>-188.13200000000001</v>
      </c>
      <c r="H2875" s="1">
        <v>-6.363588E-6</v>
      </c>
      <c r="I2875">
        <v>-43.833370000000002</v>
      </c>
      <c r="J2875">
        <v>-192.9554</v>
      </c>
      <c r="K2875">
        <v>1.1122730000000001</v>
      </c>
      <c r="L2875">
        <v>-54.181640000000002</v>
      </c>
      <c r="M2875">
        <v>0.67457809999999996</v>
      </c>
      <c r="N2875">
        <v>0</v>
      </c>
      <c r="O2875">
        <v>0.73808319999999905</v>
      </c>
      <c r="P2875">
        <v>0.58251679999999995</v>
      </c>
      <c r="Q2875">
        <v>0.14942249999999899</v>
      </c>
      <c r="R2875">
        <v>0.79896630000000002</v>
      </c>
      <c r="S2875">
        <v>1.346832</v>
      </c>
      <c r="T2875">
        <v>-0.29889909999999997</v>
      </c>
      <c r="U2875">
        <v>2.8396910000000002</v>
      </c>
      <c r="V2875">
        <v>-0.11253539999999999</v>
      </c>
      <c r="W2875">
        <v>0.16009689999999999</v>
      </c>
      <c r="X2875">
        <v>0.98066540000000002</v>
      </c>
      <c r="Y2875">
        <v>-0.29420279999999999</v>
      </c>
      <c r="Z2875">
        <v>-6.0331759999999998E-2</v>
      </c>
      <c r="AA2875">
        <v>0.95383689999999999</v>
      </c>
      <c r="AB2875">
        <v>29</v>
      </c>
      <c r="AC2875">
        <v>4.8233999999999897</v>
      </c>
      <c r="AD2875">
        <v>-1.1122793635879999</v>
      </c>
      <c r="AE2875">
        <v>10.348269999999999</v>
      </c>
      <c r="AF2875">
        <v>-3.3887866996465101</v>
      </c>
      <c r="AG2875">
        <v>-1.1122793635879999</v>
      </c>
      <c r="AH2875">
        <v>10.7902019740276</v>
      </c>
      <c r="AI2875">
        <v>95.616761354538795</v>
      </c>
      <c r="AJ2875">
        <v>107.435494457876</v>
      </c>
      <c r="AK2875">
        <v>11.364396126441299</v>
      </c>
    </row>
    <row r="2876" spans="1:37" x14ac:dyDescent="0.2">
      <c r="A2876" t="str">
        <f>"20200111150647819"</f>
        <v>20200111150647819</v>
      </c>
      <c r="B2876" t="str">
        <f>"1578726407809383"</f>
        <v>1578726407809383</v>
      </c>
      <c r="C2876" t="s">
        <v>37</v>
      </c>
      <c r="D2876">
        <v>5.0765469999999997</v>
      </c>
      <c r="E2876">
        <v>0.42494860000000001</v>
      </c>
      <c r="F2876" t="s">
        <v>85</v>
      </c>
      <c r="G2876">
        <v>-188.62190000000001</v>
      </c>
      <c r="H2876" s="1">
        <v>-5.9879209999999998E-6</v>
      </c>
      <c r="I2876">
        <v>-45.006369999999997</v>
      </c>
      <c r="J2876">
        <v>-192.76130000000001</v>
      </c>
      <c r="K2876">
        <v>1.1122129999999999</v>
      </c>
      <c r="L2876">
        <v>-53.950839999999999</v>
      </c>
      <c r="M2876">
        <v>0.66575390000000001</v>
      </c>
      <c r="N2876">
        <v>0</v>
      </c>
      <c r="O2876">
        <v>0.74605259999999995</v>
      </c>
      <c r="P2876">
        <v>0.57201429999999998</v>
      </c>
      <c r="Q2876">
        <v>0.1487395</v>
      </c>
      <c r="R2876">
        <v>0.8066451</v>
      </c>
      <c r="S2876">
        <v>1.3417969999999999</v>
      </c>
      <c r="T2876">
        <v>-0.34439930000000002</v>
      </c>
      <c r="U2876">
        <v>2.840973</v>
      </c>
      <c r="V2876">
        <v>-0.11375299999999899</v>
      </c>
      <c r="W2876">
        <v>0.1593918</v>
      </c>
      <c r="X2876">
        <v>0.98063989999999901</v>
      </c>
      <c r="Y2876">
        <v>-0.28473270000000001</v>
      </c>
      <c r="Z2876">
        <v>-7.0835490000000001E-2</v>
      </c>
      <c r="AA2876">
        <v>0.95598619999999901</v>
      </c>
      <c r="AB2876">
        <v>29</v>
      </c>
      <c r="AC2876">
        <v>4.1393999999999904</v>
      </c>
      <c r="AD2876">
        <v>-1.1122189879209901</v>
      </c>
      <c r="AE2876">
        <v>8.9444699999999902</v>
      </c>
      <c r="AF2876">
        <v>-2.8308100795604298</v>
      </c>
      <c r="AG2876">
        <v>-1.1122189879209901</v>
      </c>
      <c r="AH2876">
        <v>9.3111276478912206</v>
      </c>
      <c r="AI2876">
        <v>96.519788377308004</v>
      </c>
      <c r="AJ2876">
        <v>106.910552017708</v>
      </c>
      <c r="AK2876">
        <v>9.7952853383123699</v>
      </c>
    </row>
    <row r="2877" spans="1:37" x14ac:dyDescent="0.2">
      <c r="A2877" t="str">
        <f>"20200111150647840"</f>
        <v>20200111150647840</v>
      </c>
      <c r="B2877" t="str">
        <f>"1578726407829880"</f>
        <v>1578726407829880</v>
      </c>
      <c r="C2877" t="s">
        <v>37</v>
      </c>
      <c r="D2877">
        <v>5.5049630000000001</v>
      </c>
      <c r="E2877">
        <v>0.42494860000000001</v>
      </c>
      <c r="F2877" t="s">
        <v>85</v>
      </c>
      <c r="G2877">
        <v>-188.45509999999999</v>
      </c>
      <c r="H2877" s="1">
        <v>-6.1879109999999997E-6</v>
      </c>
      <c r="I2877">
        <v>-44.466740000000001</v>
      </c>
      <c r="J2877">
        <v>-192.58019999999999</v>
      </c>
      <c r="K2877">
        <v>1.1121620000000001</v>
      </c>
      <c r="L2877">
        <v>-53.730409999999999</v>
      </c>
      <c r="M2877">
        <v>0.65736519999999898</v>
      </c>
      <c r="N2877">
        <v>0</v>
      </c>
      <c r="O2877">
        <v>0.75345469999999903</v>
      </c>
      <c r="P2877">
        <v>0.56203950000000003</v>
      </c>
      <c r="Q2877">
        <v>0.1482426</v>
      </c>
      <c r="R2877">
        <v>0.81371719999999903</v>
      </c>
      <c r="S2877">
        <v>1.2985990000000001</v>
      </c>
      <c r="T2877">
        <v>-0.33540729999999902</v>
      </c>
      <c r="U2877">
        <v>2.860077</v>
      </c>
      <c r="V2877">
        <v>-0.1148858</v>
      </c>
      <c r="W2877">
        <v>0.1588745</v>
      </c>
      <c r="X2877">
        <v>0.98059169999999996</v>
      </c>
      <c r="Y2877">
        <v>-0.288323</v>
      </c>
      <c r="Z2877">
        <v>-6.9801230000000006E-2</v>
      </c>
      <c r="AA2877">
        <v>0.95498570000000005</v>
      </c>
      <c r="AB2877">
        <v>29</v>
      </c>
      <c r="AC2877">
        <v>4.1250999999999998</v>
      </c>
      <c r="AD2877">
        <v>-1.1121681879109999</v>
      </c>
      <c r="AE2877">
        <v>9.2636699999999905</v>
      </c>
      <c r="AF2877">
        <v>-2.9463618151678399</v>
      </c>
      <c r="AG2877">
        <v>-1.1121681879109999</v>
      </c>
      <c r="AH2877">
        <v>9.5771121662658096</v>
      </c>
      <c r="AI2877">
        <v>96.333556466027602</v>
      </c>
      <c r="AJ2877">
        <v>107.100313728012</v>
      </c>
      <c r="AK2877">
        <v>10.081619089675799</v>
      </c>
    </row>
    <row r="2878" spans="1:37" x14ac:dyDescent="0.2">
      <c r="A2878" t="str">
        <f>"20200111150647861"</f>
        <v>20200111150647861</v>
      </c>
      <c r="B2878" t="str">
        <f>"1578726407859823"</f>
        <v>1578726407859823</v>
      </c>
      <c r="C2878" t="s">
        <v>37</v>
      </c>
      <c r="D2878">
        <v>5.13096</v>
      </c>
      <c r="E2878">
        <v>0.41549330000000001</v>
      </c>
      <c r="F2878" t="s">
        <v>85</v>
      </c>
      <c r="G2878">
        <v>-188.4135</v>
      </c>
      <c r="H2878" s="1">
        <v>-6.2556519999999996E-6</v>
      </c>
      <c r="I2878">
        <v>-44.250399999999999</v>
      </c>
      <c r="J2878">
        <v>-192.40960000000001</v>
      </c>
      <c r="K2878">
        <v>1.1121099999999999</v>
      </c>
      <c r="L2878">
        <v>-53.51831</v>
      </c>
      <c r="M2878">
        <v>0.64933379999999996</v>
      </c>
      <c r="N2878">
        <v>0</v>
      </c>
      <c r="O2878">
        <v>0.76038729999999999</v>
      </c>
      <c r="P2878">
        <v>0.55315259999999999</v>
      </c>
      <c r="Q2878">
        <v>0.14781250000000001</v>
      </c>
      <c r="R2878">
        <v>0.81986209999999904</v>
      </c>
      <c r="S2878">
        <v>1.263779</v>
      </c>
      <c r="T2878">
        <v>-0.33732629999999902</v>
      </c>
      <c r="U2878">
        <v>2.8753359999999999</v>
      </c>
      <c r="V2878">
        <v>-0.115173</v>
      </c>
      <c r="W2878">
        <v>0.15844269999999999</v>
      </c>
      <c r="X2878">
        <v>0.9806279</v>
      </c>
      <c r="Y2878">
        <v>-0.28975040000000002</v>
      </c>
      <c r="Z2878">
        <v>-7.1015449999999994E-2</v>
      </c>
      <c r="AA2878">
        <v>0.95446399999999998</v>
      </c>
      <c r="AB2878">
        <v>29</v>
      </c>
      <c r="AC2878">
        <v>3.99610000000001</v>
      </c>
      <c r="AD2878">
        <v>-1.1121162556519999</v>
      </c>
      <c r="AE2878">
        <v>9.2679100000000005</v>
      </c>
      <c r="AF2878">
        <v>-2.9439025416072799</v>
      </c>
      <c r="AG2878">
        <v>-1.1121162556519999</v>
      </c>
      <c r="AH2878">
        <v>9.5271788254772591</v>
      </c>
      <c r="AI2878">
        <v>96.363777756514295</v>
      </c>
      <c r="AJ2878">
        <v>107.17117253709699</v>
      </c>
      <c r="AK2878">
        <v>10.033469046804701</v>
      </c>
    </row>
    <row r="2879" spans="1:37" x14ac:dyDescent="0.2">
      <c r="A2879" t="str">
        <f>"20200111150647885"</f>
        <v>20200111150647885</v>
      </c>
      <c r="B2879" t="str">
        <f>"1578726407879342"</f>
        <v>1578726407879342</v>
      </c>
      <c r="C2879" t="s">
        <v>37</v>
      </c>
      <c r="D2879">
        <v>5.0680680000000002</v>
      </c>
      <c r="E2879">
        <v>0.41135299999999902</v>
      </c>
      <c r="F2879" t="s">
        <v>85</v>
      </c>
      <c r="G2879">
        <v>-188.02930000000001</v>
      </c>
      <c r="H2879" s="1">
        <v>-6.7880559999999999E-6</v>
      </c>
      <c r="I2879">
        <v>-42.530819999999999</v>
      </c>
      <c r="J2879">
        <v>-192.22730000000001</v>
      </c>
      <c r="K2879">
        <v>1.112058</v>
      </c>
      <c r="L2879">
        <v>-53.286650000000002</v>
      </c>
      <c r="M2879">
        <v>0.64061429999999997</v>
      </c>
      <c r="N2879">
        <v>0</v>
      </c>
      <c r="O2879">
        <v>0.76774790000000004</v>
      </c>
      <c r="P2879">
        <v>0.54443249999999999</v>
      </c>
      <c r="Q2879">
        <v>0.1477445</v>
      </c>
      <c r="R2879">
        <v>0.82569049999999999</v>
      </c>
      <c r="S2879">
        <v>1.166336</v>
      </c>
      <c r="T2879">
        <v>-0.29612259999999901</v>
      </c>
      <c r="U2879">
        <v>2.9256289999999998</v>
      </c>
      <c r="V2879">
        <v>-0.114358399999999</v>
      </c>
      <c r="W2879">
        <v>0.15839800000000001</v>
      </c>
      <c r="X2879">
        <v>0.98073049999999995</v>
      </c>
      <c r="Y2879">
        <v>-0.31163570000000002</v>
      </c>
      <c r="Z2879">
        <v>-6.2339360000000003E-2</v>
      </c>
      <c r="AA2879">
        <v>0.94815450000000001</v>
      </c>
      <c r="AB2879">
        <v>29</v>
      </c>
      <c r="AC2879">
        <v>4.1980000000000004</v>
      </c>
      <c r="AD2879">
        <v>-1.112064788056</v>
      </c>
      <c r="AE2879">
        <v>10.75583</v>
      </c>
      <c r="AF2879">
        <v>-3.6339454183692701</v>
      </c>
      <c r="AG2879">
        <v>-1.112064788056</v>
      </c>
      <c r="AH2879">
        <v>10.8474026321121</v>
      </c>
      <c r="AI2879">
        <v>95.552229910920204</v>
      </c>
      <c r="AJ2879">
        <v>108.521160711742</v>
      </c>
      <c r="AK2879">
        <v>11.4938414492141</v>
      </c>
    </row>
    <row r="2880" spans="1:37" x14ac:dyDescent="0.2">
      <c r="A2880" t="str">
        <f>"20200111150647908"</f>
        <v>20200111150647908</v>
      </c>
      <c r="B2880" t="str">
        <f>"1578726407899838"</f>
        <v>1578726407899838</v>
      </c>
      <c r="C2880" t="s">
        <v>37</v>
      </c>
      <c r="D2880">
        <v>5.0994469999999996</v>
      </c>
      <c r="E2880">
        <v>0.40877540000000001</v>
      </c>
      <c r="F2880" t="s">
        <v>85</v>
      </c>
      <c r="G2880">
        <v>-187.7371</v>
      </c>
      <c r="H2880" s="1">
        <v>-7.1708659999999997E-6</v>
      </c>
      <c r="I2880">
        <v>-41.28904</v>
      </c>
      <c r="J2880">
        <v>-192.04169999999999</v>
      </c>
      <c r="K2880">
        <v>1.11199</v>
      </c>
      <c r="L2880">
        <v>-53.045259999999999</v>
      </c>
      <c r="M2880">
        <v>0.63159790000000005</v>
      </c>
      <c r="N2880">
        <v>0</v>
      </c>
      <c r="O2880">
        <v>0.7751825</v>
      </c>
      <c r="P2880">
        <v>0.53532349999999995</v>
      </c>
      <c r="Q2880">
        <v>0.1491461</v>
      </c>
      <c r="R2880">
        <v>0.83137479999999997</v>
      </c>
      <c r="S2880">
        <v>1.105362</v>
      </c>
      <c r="T2880">
        <v>-0.2737578</v>
      </c>
      <c r="U2880">
        <v>2.9534609999999999</v>
      </c>
      <c r="V2880">
        <v>-0.1135206</v>
      </c>
      <c r="W2880">
        <v>0.15982160000000001</v>
      </c>
      <c r="X2880">
        <v>0.98059680000000005</v>
      </c>
      <c r="Y2880">
        <v>-0.32052759999999902</v>
      </c>
      <c r="Z2880">
        <v>-5.809276E-2</v>
      </c>
      <c r="AA2880">
        <v>0.94545610000000002</v>
      </c>
      <c r="AB2880">
        <v>29</v>
      </c>
      <c r="AC2880">
        <v>4.30459999999999</v>
      </c>
      <c r="AD2880">
        <v>-1.1119971708659999</v>
      </c>
      <c r="AE2880">
        <v>11.7562199999999</v>
      </c>
      <c r="AF2880">
        <v>-4.0567093347821697</v>
      </c>
      <c r="AG2880">
        <v>-1.1119971708659999</v>
      </c>
      <c r="AH2880">
        <v>11.740412462953699</v>
      </c>
      <c r="AI2880">
        <v>95.115585999901299</v>
      </c>
      <c r="AJ2880">
        <v>109.061761238812</v>
      </c>
      <c r="AK2880">
        <v>12.471195337063801</v>
      </c>
    </row>
    <row r="2881" spans="1:37" x14ac:dyDescent="0.2">
      <c r="A2881" t="str">
        <f>"20200111150647931"</f>
        <v>20200111150647931</v>
      </c>
      <c r="B2881" t="str">
        <f>"1578726407919358"</f>
        <v>1578726407919358</v>
      </c>
      <c r="C2881" t="s">
        <v>37</v>
      </c>
      <c r="D2881">
        <v>5.1365759999999998</v>
      </c>
      <c r="E2881">
        <v>0.40700579999999997</v>
      </c>
      <c r="F2881" t="s">
        <v>39</v>
      </c>
      <c r="G2881">
        <v>-187.44970000000001</v>
      </c>
      <c r="H2881" s="1">
        <v>-7.6525169999999897E-7</v>
      </c>
      <c r="I2881">
        <v>-40.097239999999999</v>
      </c>
      <c r="J2881">
        <v>-191.87270000000001</v>
      </c>
      <c r="K2881">
        <v>1.1118980000000001</v>
      </c>
      <c r="L2881">
        <v>-52.820500000000003</v>
      </c>
      <c r="M2881">
        <v>0.62328569999999905</v>
      </c>
      <c r="N2881">
        <v>0</v>
      </c>
      <c r="O2881">
        <v>0.78188179999999996</v>
      </c>
      <c r="P2881">
        <v>0.52625080000000002</v>
      </c>
      <c r="Q2881">
        <v>0.14764739999999901</v>
      </c>
      <c r="R2881">
        <v>0.83741299999999996</v>
      </c>
      <c r="S2881">
        <v>1.055069</v>
      </c>
      <c r="T2881">
        <v>-0.25549189999999999</v>
      </c>
      <c r="U2881">
        <v>2.974945</v>
      </c>
      <c r="V2881">
        <v>-0.11381810000000001</v>
      </c>
      <c r="W2881">
        <v>0.15832599999999999</v>
      </c>
      <c r="X2881">
        <v>0.98080489999999998</v>
      </c>
      <c r="Y2881">
        <v>-0.32668900000000001</v>
      </c>
      <c r="Z2881">
        <v>-5.4669509999999998E-2</v>
      </c>
      <c r="AA2881">
        <v>0.94354950000000004</v>
      </c>
      <c r="AB2881">
        <v>29</v>
      </c>
      <c r="AC2881">
        <v>4.423</v>
      </c>
      <c r="AD2881">
        <v>-1.1118987652517001</v>
      </c>
      <c r="AE2881">
        <v>12.72326</v>
      </c>
      <c r="AF2881">
        <v>-4.4420885692686696</v>
      </c>
      <c r="AG2881">
        <v>-1.1118987652517001</v>
      </c>
      <c r="AH2881">
        <v>12.6200051405885</v>
      </c>
      <c r="AI2881">
        <v>94.7508190598938</v>
      </c>
      <c r="AJ2881">
        <v>109.391449485626</v>
      </c>
      <c r="AK2881">
        <v>13.425088434340999</v>
      </c>
    </row>
    <row r="2882" spans="1:37" x14ac:dyDescent="0.2">
      <c r="A2882" t="str">
        <f>"20200111150647952"</f>
        <v>20200111150647952</v>
      </c>
      <c r="B2882" t="str">
        <f>"1578726407949256"</f>
        <v>1578726407949256</v>
      </c>
      <c r="C2882" t="s">
        <v>37</v>
      </c>
      <c r="D2882">
        <v>5.1519279999999998</v>
      </c>
      <c r="E2882">
        <v>0.4057402</v>
      </c>
      <c r="F2882" t="s">
        <v>39</v>
      </c>
      <c r="G2882">
        <v>-187.41130000000001</v>
      </c>
      <c r="H2882" s="1">
        <v>-9.4058680000000002E-7</v>
      </c>
      <c r="I2882">
        <v>-39.611989999999999</v>
      </c>
      <c r="J2882">
        <v>-191.7123</v>
      </c>
      <c r="K2882">
        <v>1.1117809999999999</v>
      </c>
      <c r="L2882">
        <v>-52.602509999999903</v>
      </c>
      <c r="M2882">
        <v>0.61533329999999997</v>
      </c>
      <c r="N2882">
        <v>0</v>
      </c>
      <c r="O2882">
        <v>0.78815590000000002</v>
      </c>
      <c r="P2882">
        <v>0.51640079999999999</v>
      </c>
      <c r="Q2882">
        <v>0.14506559999999999</v>
      </c>
      <c r="R2882">
        <v>0.84397049999999996</v>
      </c>
      <c r="S2882">
        <v>1.0105440000000001</v>
      </c>
      <c r="T2882">
        <v>-0.2518532</v>
      </c>
      <c r="U2882">
        <v>2.9918209999999998</v>
      </c>
      <c r="V2882">
        <v>-0.1155622</v>
      </c>
      <c r="W2882">
        <v>0.15572079999999999</v>
      </c>
      <c r="X2882">
        <v>0.9810181</v>
      </c>
      <c r="Y2882">
        <v>-0.33132209999999901</v>
      </c>
      <c r="Z2882">
        <v>-5.4352480000000002E-2</v>
      </c>
      <c r="AA2882">
        <v>0.94195090000000004</v>
      </c>
      <c r="AB2882">
        <v>29</v>
      </c>
      <c r="AC2882">
        <v>4.3009999999999797</v>
      </c>
      <c r="AD2882">
        <v>-1.1117819405867999</v>
      </c>
      <c r="AE2882">
        <v>12.990519999999901</v>
      </c>
      <c r="AF2882">
        <v>-4.5738521878353398</v>
      </c>
      <c r="AG2882">
        <v>-1.1117819405867999</v>
      </c>
      <c r="AH2882">
        <v>12.801727735495099</v>
      </c>
      <c r="AI2882">
        <v>94.675420577434394</v>
      </c>
      <c r="AJ2882">
        <v>109.660994612644</v>
      </c>
      <c r="AK2882">
        <v>13.639663336509599</v>
      </c>
    </row>
    <row r="2883" spans="1:37" x14ac:dyDescent="0.2">
      <c r="A2883" t="str">
        <f>"20200111150647975"</f>
        <v>20200111150647975</v>
      </c>
      <c r="B2883" t="str">
        <f>"1578726407969751"</f>
        <v>1578726407969751</v>
      </c>
      <c r="C2883" t="s">
        <v>37</v>
      </c>
      <c r="D2883">
        <v>5.0072640000000002</v>
      </c>
      <c r="E2883">
        <v>0.4061707</v>
      </c>
      <c r="F2883" t="s">
        <v>39</v>
      </c>
      <c r="G2883">
        <v>-187.49709999999999</v>
      </c>
      <c r="H2883" s="1">
        <v>-9.6270740000000007E-7</v>
      </c>
      <c r="I2883">
        <v>-39.479900000000001</v>
      </c>
      <c r="J2883">
        <v>-191.54050000000001</v>
      </c>
      <c r="K2883">
        <v>1.1116139999999901</v>
      </c>
      <c r="L2883">
        <v>-52.36392</v>
      </c>
      <c r="M2883">
        <v>0.60680440000000002</v>
      </c>
      <c r="N2883">
        <v>0</v>
      </c>
      <c r="O2883">
        <v>0.79474129999999998</v>
      </c>
      <c r="P2883">
        <v>0.50494249999999996</v>
      </c>
      <c r="Q2883">
        <v>0.1437078</v>
      </c>
      <c r="R2883">
        <v>0.85110580000000002</v>
      </c>
      <c r="S2883">
        <v>0.96600339999999996</v>
      </c>
      <c r="T2883">
        <v>-0.25479089999999999</v>
      </c>
      <c r="U2883">
        <v>3.007355</v>
      </c>
      <c r="V2883">
        <v>-0.1183134</v>
      </c>
      <c r="W2883">
        <v>0.15432270000000001</v>
      </c>
      <c r="X2883">
        <v>0.98091099999999998</v>
      </c>
      <c r="Y2883">
        <v>-0.33523409999999998</v>
      </c>
      <c r="Z2883">
        <v>-5.5510410000000003E-2</v>
      </c>
      <c r="AA2883">
        <v>0.9404981</v>
      </c>
      <c r="AB2883">
        <v>29</v>
      </c>
      <c r="AC2883">
        <v>4.0434000000000196</v>
      </c>
      <c r="AD2883">
        <v>-1.1116149627073999</v>
      </c>
      <c r="AE2883">
        <v>12.88402</v>
      </c>
      <c r="AF2883">
        <v>-4.5740290538836303</v>
      </c>
      <c r="AG2883">
        <v>-1.1116149627073999</v>
      </c>
      <c r="AH2883">
        <v>12.6086808822586</v>
      </c>
      <c r="AI2883">
        <v>94.737719422889597</v>
      </c>
      <c r="AJ2883">
        <v>109.93916381557101</v>
      </c>
      <c r="AK2883">
        <v>13.4586872763179</v>
      </c>
    </row>
    <row r="2884" spans="1:37" x14ac:dyDescent="0.2">
      <c r="A2884" t="str">
        <f>"20200111150647998"</f>
        <v>20200111150647998</v>
      </c>
      <c r="B2884" t="str">
        <f>"1578726407989274"</f>
        <v>1578726407989274</v>
      </c>
      <c r="C2884" t="s">
        <v>37</v>
      </c>
      <c r="D2884">
        <v>5.0593430000000001</v>
      </c>
      <c r="E2884">
        <v>0.40559000000000001</v>
      </c>
      <c r="F2884" t="s">
        <v>39</v>
      </c>
      <c r="G2884">
        <v>-187.63249999999999</v>
      </c>
      <c r="H2884" s="1">
        <v>-8.7070930000000005E-7</v>
      </c>
      <c r="I2884">
        <v>-39.644379999999998</v>
      </c>
      <c r="J2884">
        <v>-191.37430000000001</v>
      </c>
      <c r="K2884">
        <v>1.1114010000000001</v>
      </c>
      <c r="L2884">
        <v>-52.128329999999998</v>
      </c>
      <c r="M2884">
        <v>0.598581699999999</v>
      </c>
      <c r="N2884">
        <v>0</v>
      </c>
      <c r="O2884">
        <v>0.80095319999999903</v>
      </c>
      <c r="P2884">
        <v>0.49187209999999998</v>
      </c>
      <c r="Q2884">
        <v>0.14330379999999901</v>
      </c>
      <c r="R2884">
        <v>0.85879329999999998</v>
      </c>
      <c r="S2884">
        <v>0.92758180000000001</v>
      </c>
      <c r="T2884">
        <v>-0.26384980000000002</v>
      </c>
      <c r="U2884">
        <v>3.0190730000000001</v>
      </c>
      <c r="V2884">
        <v>-0.123168899999999</v>
      </c>
      <c r="W2884">
        <v>0.1538388</v>
      </c>
      <c r="X2884">
        <v>0.98038919999999996</v>
      </c>
      <c r="Y2884">
        <v>-0.33752549999999998</v>
      </c>
      <c r="Z2884">
        <v>-5.8050930000000001E-2</v>
      </c>
      <c r="AA2884">
        <v>0.93952469999999999</v>
      </c>
      <c r="AB2884">
        <v>29</v>
      </c>
      <c r="AC2884">
        <v>3.7418000000000098</v>
      </c>
      <c r="AD2884">
        <v>-1.1114018707093001</v>
      </c>
      <c r="AE2884">
        <v>12.48395</v>
      </c>
      <c r="AF2884">
        <v>-4.4437300940834197</v>
      </c>
      <c r="AG2884">
        <v>-1.1114018707093001</v>
      </c>
      <c r="AH2884">
        <v>12.151526625819701</v>
      </c>
      <c r="AI2884">
        <v>94.909565480072303</v>
      </c>
      <c r="AJ2884">
        <v>110.08712012359599</v>
      </c>
      <c r="AK2884">
        <v>12.986206166748</v>
      </c>
    </row>
    <row r="2885" spans="1:37" x14ac:dyDescent="0.2">
      <c r="A2885" t="str">
        <f>"20200111150648020"</f>
        <v>20200111150648020</v>
      </c>
      <c r="B2885" t="str">
        <f>"1578726408009770"</f>
        <v>1578726408009770</v>
      </c>
      <c r="C2885" t="s">
        <v>37</v>
      </c>
      <c r="D2885">
        <v>5.1344050000000001</v>
      </c>
      <c r="E2885">
        <v>0.405041599999999</v>
      </c>
      <c r="F2885" t="s">
        <v>39</v>
      </c>
      <c r="G2885">
        <v>-187.66079999999999</v>
      </c>
      <c r="H2885" s="1">
        <v>-9.8225380000000002E-7</v>
      </c>
      <c r="I2885">
        <v>-39.294449999999998</v>
      </c>
      <c r="J2885">
        <v>-191.2089</v>
      </c>
      <c r="K2885">
        <v>1.1111759999999999</v>
      </c>
      <c r="L2885">
        <v>-51.889159999999997</v>
      </c>
      <c r="M2885">
        <v>0.59042229999999996</v>
      </c>
      <c r="N2885">
        <v>0</v>
      </c>
      <c r="O2885">
        <v>0.80698729999999996</v>
      </c>
      <c r="P2885">
        <v>0.47768100000000002</v>
      </c>
      <c r="Q2885">
        <v>0.13820060000000001</v>
      </c>
      <c r="R2885">
        <v>0.86759519999999901</v>
      </c>
      <c r="S2885">
        <v>0.87796019999999897</v>
      </c>
      <c r="T2885">
        <v>-0.26276500000000003</v>
      </c>
      <c r="U2885">
        <v>3.0342709999999999</v>
      </c>
      <c r="V2885">
        <v>-0.12966820000000001</v>
      </c>
      <c r="W2885">
        <v>0.14863509999999999</v>
      </c>
      <c r="X2885">
        <v>0.9803539</v>
      </c>
      <c r="Y2885">
        <v>-0.34339910000000001</v>
      </c>
      <c r="Z2885">
        <v>-5.8266169999999999E-2</v>
      </c>
      <c r="AA2885">
        <v>0.9373804</v>
      </c>
      <c r="AB2885">
        <v>29</v>
      </c>
      <c r="AC2885">
        <v>3.5480999999999998</v>
      </c>
      <c r="AD2885">
        <v>-1.1111769822538</v>
      </c>
      <c r="AE2885">
        <v>12.594709999999999</v>
      </c>
      <c r="AF2885">
        <v>-4.5405774656100801</v>
      </c>
      <c r="AG2885">
        <v>-1.1111769822538</v>
      </c>
      <c r="AH2885">
        <v>12.1719316053209</v>
      </c>
      <c r="AI2885">
        <v>94.8887626813395</v>
      </c>
      <c r="AJ2885">
        <v>110.457362401525</v>
      </c>
      <c r="AK2885">
        <v>13.038691537562601</v>
      </c>
    </row>
    <row r="2886" spans="1:37" x14ac:dyDescent="0.2">
      <c r="A2886" t="str">
        <f>"20200111150648042"</f>
        <v>20200111150648042</v>
      </c>
      <c r="B2886" t="str">
        <f>"1578726408039675"</f>
        <v>1578726408039675</v>
      </c>
      <c r="C2886" t="s">
        <v>37</v>
      </c>
      <c r="D2886">
        <v>5.1725659999999998</v>
      </c>
      <c r="E2886">
        <v>0.40462769999999998</v>
      </c>
      <c r="F2886" t="s">
        <v>39</v>
      </c>
      <c r="G2886">
        <v>-187.9006</v>
      </c>
      <c r="H2886" s="1">
        <v>-7.9436389999999999E-7</v>
      </c>
      <c r="I2886">
        <v>-39.659089999999999</v>
      </c>
      <c r="J2886">
        <v>-191.04990000000001</v>
      </c>
      <c r="K2886">
        <v>1.1109500000000001</v>
      </c>
      <c r="L2886">
        <v>-51.654879999999999</v>
      </c>
      <c r="M2886">
        <v>0.58265210000000001</v>
      </c>
      <c r="N2886">
        <v>0</v>
      </c>
      <c r="O2886">
        <v>0.8126158</v>
      </c>
      <c r="P2886">
        <v>0.46598899999999999</v>
      </c>
      <c r="Q2886">
        <v>0.13357249999999901</v>
      </c>
      <c r="R2886">
        <v>0.87465009999999999</v>
      </c>
      <c r="S2886">
        <v>0.82449340000000004</v>
      </c>
      <c r="T2886">
        <v>-0.2769298</v>
      </c>
      <c r="U2886">
        <v>3.0480040000000002</v>
      </c>
      <c r="V2886">
        <v>-0.13368629999999901</v>
      </c>
      <c r="W2886">
        <v>0.14396519999999999</v>
      </c>
      <c r="X2886">
        <v>0.98051109999999897</v>
      </c>
      <c r="Y2886">
        <v>-0.35081000000000001</v>
      </c>
      <c r="Z2886">
        <v>-6.1813449999999999E-2</v>
      </c>
      <c r="AA2886">
        <v>0.93440429999999997</v>
      </c>
      <c r="AB2886">
        <v>29</v>
      </c>
      <c r="AC2886">
        <v>3.14930000000001</v>
      </c>
      <c r="AD2886">
        <v>-1.1109507943639001</v>
      </c>
      <c r="AE2886">
        <v>11.99579</v>
      </c>
      <c r="AF2886">
        <v>-4.3953150094342304</v>
      </c>
      <c r="AG2886">
        <v>-1.1109507943639001</v>
      </c>
      <c r="AH2886">
        <v>11.4917033420896</v>
      </c>
      <c r="AI2886">
        <v>95.159526816482199</v>
      </c>
      <c r="AJ2886">
        <v>110.93071506036701</v>
      </c>
      <c r="AK2886">
        <v>12.3536331256132</v>
      </c>
    </row>
    <row r="2887" spans="1:37" x14ac:dyDescent="0.2">
      <c r="A2887" t="str">
        <f>"20200111150648065"</f>
        <v>20200111150648065</v>
      </c>
      <c r="B2887" t="str">
        <f>"1578726408059178"</f>
        <v>1578726408059178</v>
      </c>
      <c r="C2887" t="s">
        <v>37</v>
      </c>
      <c r="D2887">
        <v>5.1946089999999998</v>
      </c>
      <c r="E2887">
        <v>0.40449990000000002</v>
      </c>
      <c r="F2887" t="s">
        <v>39</v>
      </c>
      <c r="G2887">
        <v>-188.0334</v>
      </c>
      <c r="H2887" s="1">
        <v>-7.1474239999999998E-7</v>
      </c>
      <c r="I2887">
        <v>-39.78922</v>
      </c>
      <c r="J2887">
        <v>-190.89060000000001</v>
      </c>
      <c r="K2887">
        <v>1.1107049999999901</v>
      </c>
      <c r="L2887">
        <v>-51.415770000000002</v>
      </c>
      <c r="M2887">
        <v>0.57500019999999996</v>
      </c>
      <c r="N2887">
        <v>0</v>
      </c>
      <c r="O2887">
        <v>0.81804860000000001</v>
      </c>
      <c r="P2887">
        <v>0.455621</v>
      </c>
      <c r="Q2887">
        <v>0.1315838</v>
      </c>
      <c r="R2887">
        <v>0.88039489999999998</v>
      </c>
      <c r="S2887">
        <v>0.77774049999999995</v>
      </c>
      <c r="T2887">
        <v>-0.28643679999999999</v>
      </c>
      <c r="U2887">
        <v>3.059326</v>
      </c>
      <c r="V2887">
        <v>-0.13612630000000001</v>
      </c>
      <c r="W2887">
        <v>0.14197129999999999</v>
      </c>
      <c r="X2887">
        <v>0.98046610000000001</v>
      </c>
      <c r="Y2887">
        <v>-0.3562863</v>
      </c>
      <c r="Z2887">
        <v>-6.4397209999999996E-2</v>
      </c>
      <c r="AA2887">
        <v>0.93215509999999902</v>
      </c>
      <c r="AB2887">
        <v>29</v>
      </c>
      <c r="AC2887">
        <v>2.8572000000000002</v>
      </c>
      <c r="AD2887">
        <v>-1.11070571474239</v>
      </c>
      <c r="AE2887">
        <v>11.62655</v>
      </c>
      <c r="AF2887">
        <v>-4.3112077846019501</v>
      </c>
      <c r="AG2887">
        <v>-1.11070571474239</v>
      </c>
      <c r="AH2887">
        <v>11.0597423607766</v>
      </c>
      <c r="AI2887">
        <v>95.345602444862706</v>
      </c>
      <c r="AJ2887">
        <v>111.296377246059</v>
      </c>
      <c r="AK2887">
        <v>11.9221676231099</v>
      </c>
    </row>
    <row r="2888" spans="1:37" x14ac:dyDescent="0.2">
      <c r="A2888" t="str">
        <f>"20200111150648088"</f>
        <v>20200111150648088</v>
      </c>
      <c r="B2888" t="str">
        <f>"1578726408079673"</f>
        <v>1578726408079673</v>
      </c>
      <c r="C2888" t="s">
        <v>37</v>
      </c>
      <c r="D2888">
        <v>5.1816370000000003</v>
      </c>
      <c r="E2888">
        <v>0.40448979999999901</v>
      </c>
      <c r="F2888" t="s">
        <v>39</v>
      </c>
      <c r="G2888">
        <v>-188.0609</v>
      </c>
      <c r="H2888" s="1">
        <v>-7.529023E-7</v>
      </c>
      <c r="I2888">
        <v>-39.655650000000001</v>
      </c>
      <c r="J2888">
        <v>-190.7268</v>
      </c>
      <c r="K2888">
        <v>1.110412</v>
      </c>
      <c r="L2888">
        <v>-51.165619999999997</v>
      </c>
      <c r="M2888">
        <v>0.56731750000000003</v>
      </c>
      <c r="N2888">
        <v>0</v>
      </c>
      <c r="O2888">
        <v>0.82339580000000001</v>
      </c>
      <c r="P2888">
        <v>0.4409709</v>
      </c>
      <c r="Q2888">
        <v>0.13005939999999999</v>
      </c>
      <c r="R2888">
        <v>0.88804799999999995</v>
      </c>
      <c r="S2888">
        <v>0.73840329999999998</v>
      </c>
      <c r="T2888">
        <v>-0.28983140000000002</v>
      </c>
      <c r="U2888">
        <v>3.0687259999999998</v>
      </c>
      <c r="V2888">
        <v>-0.14320569999999999</v>
      </c>
      <c r="W2888">
        <v>0.1403615</v>
      </c>
      <c r="X2888">
        <v>0.97968909999999998</v>
      </c>
      <c r="Y2888">
        <v>-0.3594965</v>
      </c>
      <c r="Z2888">
        <v>-6.5686659999999994E-2</v>
      </c>
      <c r="AA2888">
        <v>0.93083159999999898</v>
      </c>
      <c r="AB2888">
        <v>29</v>
      </c>
      <c r="AC2888">
        <v>2.6658999999999899</v>
      </c>
      <c r="AD2888">
        <v>-1.1104127529023</v>
      </c>
      <c r="AE2888">
        <v>11.509969999999999</v>
      </c>
      <c r="AF2888">
        <v>-4.2971274456290596</v>
      </c>
      <c r="AG2888">
        <v>-1.1104127529023</v>
      </c>
      <c r="AH2888">
        <v>10.894374206175801</v>
      </c>
      <c r="AI2888">
        <v>95.416372128391401</v>
      </c>
      <c r="AJ2888">
        <v>111.526034114859</v>
      </c>
      <c r="AK2888">
        <v>11.763745581657799</v>
      </c>
    </row>
    <row r="2889" spans="1:37" x14ac:dyDescent="0.2">
      <c r="A2889" t="str">
        <f>"20200111150648109"</f>
        <v>20200111150648109</v>
      </c>
      <c r="B2889" t="str">
        <f>"1578726408099193"</f>
        <v>1578726408099193</v>
      </c>
      <c r="C2889" t="s">
        <v>37</v>
      </c>
      <c r="D2889">
        <v>5.1434470000000001</v>
      </c>
      <c r="E2889">
        <v>0.40542509999999998</v>
      </c>
      <c r="F2889" t="s">
        <v>39</v>
      </c>
      <c r="G2889">
        <v>-188.12299999999999</v>
      </c>
      <c r="H2889" s="1">
        <v>-7.85019E-7</v>
      </c>
      <c r="I2889">
        <v>-39.512679999999897</v>
      </c>
      <c r="J2889">
        <v>-190.5712</v>
      </c>
      <c r="K2889">
        <v>1.110125</v>
      </c>
      <c r="L2889">
        <v>-50.923949999999998</v>
      </c>
      <c r="M2889">
        <v>0.56021189999999998</v>
      </c>
      <c r="N2889">
        <v>0</v>
      </c>
      <c r="O2889">
        <v>0.82824730000000002</v>
      </c>
      <c r="P2889">
        <v>0.431174</v>
      </c>
      <c r="Q2889">
        <v>0.13015289999999999</v>
      </c>
      <c r="R2889">
        <v>0.89283219999999996</v>
      </c>
      <c r="S2889">
        <v>0.68809509999999996</v>
      </c>
      <c r="T2889">
        <v>-0.2934465</v>
      </c>
      <c r="U2889">
        <v>3.0794980000000001</v>
      </c>
      <c r="V2889">
        <v>-0.1454529</v>
      </c>
      <c r="W2889">
        <v>0.1404677</v>
      </c>
      <c r="X2889">
        <v>0.97934279999999996</v>
      </c>
      <c r="Y2889">
        <v>-0.36664000000000002</v>
      </c>
      <c r="Z2889">
        <v>-6.6882830000000004E-2</v>
      </c>
      <c r="AA2889">
        <v>0.92795569999999905</v>
      </c>
      <c r="AB2889">
        <v>29</v>
      </c>
      <c r="AC2889">
        <v>2.4482000000000101</v>
      </c>
      <c r="AD2889">
        <v>-1.1101257850190001</v>
      </c>
      <c r="AE2889">
        <v>11.41127</v>
      </c>
      <c r="AF2889">
        <v>-4.32624112096914</v>
      </c>
      <c r="AG2889">
        <v>-1.1101257850190001</v>
      </c>
      <c r="AH2889">
        <v>10.72672814413</v>
      </c>
      <c r="AI2889">
        <v>95.482422072031</v>
      </c>
      <c r="AJ2889">
        <v>111.96491714296501</v>
      </c>
      <c r="AK2889">
        <v>11.619442248808699</v>
      </c>
    </row>
    <row r="2890" spans="1:37" x14ac:dyDescent="0.2">
      <c r="A2890" t="str">
        <f>"20200111150648134"</f>
        <v>20200111150648134</v>
      </c>
      <c r="B2890" t="str">
        <f>"1578726408129450"</f>
        <v>1578726408129450</v>
      </c>
      <c r="C2890" t="s">
        <v>37</v>
      </c>
      <c r="D2890">
        <v>5.3610899999999999</v>
      </c>
      <c r="E2890">
        <v>0.40587329999999999</v>
      </c>
      <c r="F2890" t="s">
        <v>39</v>
      </c>
      <c r="G2890">
        <v>-188.1335</v>
      </c>
      <c r="H2890" s="1">
        <v>-7.6706690000000003E-7</v>
      </c>
      <c r="I2890">
        <v>-39.557189999999999</v>
      </c>
      <c r="J2890">
        <v>-190.41159999999999</v>
      </c>
      <c r="K2890">
        <v>1.109831</v>
      </c>
      <c r="L2890">
        <v>-50.671840000000003</v>
      </c>
      <c r="M2890">
        <v>0.55311489999999996</v>
      </c>
      <c r="N2890">
        <v>0</v>
      </c>
      <c r="O2890">
        <v>0.83300419999999997</v>
      </c>
      <c r="P2890">
        <v>0.42461959999999999</v>
      </c>
      <c r="Q2890">
        <v>0.12726869999999901</v>
      </c>
      <c r="R2890">
        <v>0.89638209999999996</v>
      </c>
      <c r="S2890">
        <v>0.66149899999999995</v>
      </c>
      <c r="T2890">
        <v>-0.30124859999999998</v>
      </c>
      <c r="U2890">
        <v>3.0845340000000001</v>
      </c>
      <c r="V2890">
        <v>-0.14434169999999999</v>
      </c>
      <c r="W2890">
        <v>0.13766619999999999</v>
      </c>
      <c r="X2890">
        <v>0.97990480000000002</v>
      </c>
      <c r="Y2890">
        <v>-0.36668059999999902</v>
      </c>
      <c r="Z2890">
        <v>-6.9242070000000003E-2</v>
      </c>
      <c r="AA2890">
        <v>0.927766599999999</v>
      </c>
      <c r="AB2890">
        <v>29</v>
      </c>
      <c r="AC2890">
        <v>2.27809999999999</v>
      </c>
      <c r="AD2890">
        <v>-1.10983176706689</v>
      </c>
      <c r="AE2890">
        <v>11.1146499999999</v>
      </c>
      <c r="AF2890">
        <v>-4.2100836827159096</v>
      </c>
      <c r="AG2890">
        <v>-1.10983176706689</v>
      </c>
      <c r="AH2890">
        <v>10.4197811222542</v>
      </c>
      <c r="AI2890">
        <v>95.639985287169694</v>
      </c>
      <c r="AJ2890">
        <v>112.00103448212801</v>
      </c>
      <c r="AK2890">
        <v>11.2928459567262</v>
      </c>
    </row>
    <row r="2891" spans="1:37" x14ac:dyDescent="0.2">
      <c r="A2891" t="str">
        <f>"20200111150648155"</f>
        <v>20200111150648155</v>
      </c>
      <c r="B2891" t="str">
        <f>"1578726408149477"</f>
        <v>1578726408149477</v>
      </c>
      <c r="C2891" t="s">
        <v>37</v>
      </c>
      <c r="D2891">
        <v>5.2607470000000003</v>
      </c>
      <c r="E2891">
        <v>0.43360470000000001</v>
      </c>
      <c r="F2891" t="s">
        <v>39</v>
      </c>
      <c r="G2891">
        <v>-188.12649999999999</v>
      </c>
      <c r="H2891" s="1">
        <v>-7.4163229999999998E-7</v>
      </c>
      <c r="I2891">
        <v>-39.637459999999997</v>
      </c>
      <c r="J2891">
        <v>-190.2672</v>
      </c>
      <c r="K2891">
        <v>1.109607</v>
      </c>
      <c r="L2891">
        <v>-50.440089999999998</v>
      </c>
      <c r="M2891">
        <v>0.54683909999999902</v>
      </c>
      <c r="N2891">
        <v>0</v>
      </c>
      <c r="O2891">
        <v>0.837138099999999</v>
      </c>
      <c r="P2891">
        <v>0.41991099999999998</v>
      </c>
      <c r="Q2891">
        <v>0.12656609999999999</v>
      </c>
      <c r="R2891">
        <v>0.89869669999999902</v>
      </c>
      <c r="S2891">
        <v>0.63949579999999995</v>
      </c>
      <c r="T2891">
        <v>-0.31058429999999998</v>
      </c>
      <c r="U2891">
        <v>3.087952</v>
      </c>
      <c r="V2891">
        <v>-0.1420786</v>
      </c>
      <c r="W2891">
        <v>0.1370479</v>
      </c>
      <c r="X2891">
        <v>0.98032219999999903</v>
      </c>
      <c r="Y2891">
        <v>-0.36626589999999998</v>
      </c>
      <c r="Z2891">
        <v>-7.1930339999999995E-2</v>
      </c>
      <c r="AA2891">
        <v>0.92772589999999999</v>
      </c>
      <c r="AB2891">
        <v>29</v>
      </c>
      <c r="AC2891">
        <v>2.1406999999999998</v>
      </c>
      <c r="AD2891">
        <v>-1.1096077416323</v>
      </c>
      <c r="AE2891">
        <v>10.802630000000001</v>
      </c>
      <c r="AF2891">
        <v>-4.0742206768275402</v>
      </c>
      <c r="AG2891">
        <v>-1.1096077416323</v>
      </c>
      <c r="AH2891">
        <v>10.1121054055205</v>
      </c>
      <c r="AI2891">
        <v>95.8115549109244</v>
      </c>
      <c r="AJ2891">
        <v>111.944765895937</v>
      </c>
      <c r="AK2891">
        <v>10.958338341013899</v>
      </c>
    </row>
    <row r="2892" spans="1:37" x14ac:dyDescent="0.2">
      <c r="A2892" t="str">
        <f>"20200111150648176"</f>
        <v>20200111150648176</v>
      </c>
      <c r="B2892" t="str">
        <f>"1578726408169973"</f>
        <v>1578726408169973</v>
      </c>
      <c r="C2892" t="s">
        <v>37</v>
      </c>
      <c r="D2892">
        <v>5.2746620000000002</v>
      </c>
      <c r="E2892">
        <v>0.435305199999999</v>
      </c>
      <c r="F2892" t="s">
        <v>85</v>
      </c>
      <c r="G2892">
        <v>-187.6045</v>
      </c>
      <c r="H2892" s="1">
        <v>-7.3437879999999902E-6</v>
      </c>
      <c r="I2892">
        <v>-40.727919999999997</v>
      </c>
      <c r="J2892">
        <v>-190.12260000000001</v>
      </c>
      <c r="K2892">
        <v>1.1094299999999999</v>
      </c>
      <c r="L2892">
        <v>-50.204470000000001</v>
      </c>
      <c r="M2892">
        <v>0.54063499999999998</v>
      </c>
      <c r="N2892">
        <v>0</v>
      </c>
      <c r="O2892">
        <v>0.84115859999999998</v>
      </c>
      <c r="P2892">
        <v>0.41493419999999998</v>
      </c>
      <c r="Q2892">
        <v>0.1275483</v>
      </c>
      <c r="R2892">
        <v>0.90086679999999997</v>
      </c>
      <c r="S2892">
        <v>0.82301329999999995</v>
      </c>
      <c r="T2892">
        <v>-0.34296909999999903</v>
      </c>
      <c r="U2892">
        <v>3.0019230000000001</v>
      </c>
      <c r="V2892">
        <v>-0.14012729999999901</v>
      </c>
      <c r="W2892">
        <v>0.13809070000000001</v>
      </c>
      <c r="X2892">
        <v>0.98045669999999996</v>
      </c>
      <c r="Y2892">
        <v>-0.30001409999999901</v>
      </c>
      <c r="Z2892">
        <v>-8.3099770000000003E-2</v>
      </c>
      <c r="AA2892">
        <v>0.95030829999999999</v>
      </c>
      <c r="AB2892">
        <v>29</v>
      </c>
      <c r="AC2892">
        <v>2.5181</v>
      </c>
      <c r="AD2892">
        <v>-1.1094373437880001</v>
      </c>
      <c r="AE2892">
        <v>9.4765499999999907</v>
      </c>
      <c r="AF2892">
        <v>-2.9674930047495902</v>
      </c>
      <c r="AG2892">
        <v>-1.1094373437880001</v>
      </c>
      <c r="AH2892">
        <v>9.2154537566718595</v>
      </c>
      <c r="AI2892">
        <v>96.537239812837001</v>
      </c>
      <c r="AJ2892">
        <v>107.849217049914</v>
      </c>
      <c r="AK2892">
        <v>9.7448167706933706</v>
      </c>
    </row>
    <row r="2893" spans="1:37" x14ac:dyDescent="0.2">
      <c r="A2893" t="str">
        <f>"20200111150648200"</f>
        <v>20200111150648200</v>
      </c>
      <c r="B2893" t="str">
        <f>"1578726408189493"</f>
        <v>1578726408189493</v>
      </c>
      <c r="C2893" t="s">
        <v>37</v>
      </c>
      <c r="D2893">
        <v>5.2369440000000003</v>
      </c>
      <c r="E2893">
        <v>0.4360366</v>
      </c>
      <c r="F2893" t="s">
        <v>85</v>
      </c>
      <c r="G2893">
        <v>-187.52809999999999</v>
      </c>
      <c r="H2893" s="1">
        <v>-7.3561949999999996E-6</v>
      </c>
      <c r="I2893">
        <v>-40.66516</v>
      </c>
      <c r="J2893">
        <v>-189.96799999999999</v>
      </c>
      <c r="K2893">
        <v>1.109307</v>
      </c>
      <c r="L2893">
        <v>-49.948360000000001</v>
      </c>
      <c r="M2893">
        <v>0.53404059999999998</v>
      </c>
      <c r="N2893">
        <v>0</v>
      </c>
      <c r="O2893">
        <v>0.84536119999999904</v>
      </c>
      <c r="P2893">
        <v>0.41012409999999999</v>
      </c>
      <c r="Q2893">
        <v>0.12905559999999999</v>
      </c>
      <c r="R2893">
        <v>0.90285269999999995</v>
      </c>
      <c r="S2893">
        <v>0.81686400000000003</v>
      </c>
      <c r="T2893">
        <v>-0.34929199999999999</v>
      </c>
      <c r="U2893">
        <v>3.0033259999999999</v>
      </c>
      <c r="V2893">
        <v>-0.13754459999999999</v>
      </c>
      <c r="W2893">
        <v>0.139653799999999</v>
      </c>
      <c r="X2893">
        <v>0.98060099999999994</v>
      </c>
      <c r="Y2893">
        <v>-0.29452669999999997</v>
      </c>
      <c r="Z2893">
        <v>-8.5377949999999994E-2</v>
      </c>
      <c r="AA2893">
        <v>0.95182169999999899</v>
      </c>
      <c r="AB2893">
        <v>29</v>
      </c>
      <c r="AC2893">
        <v>2.43989999999999</v>
      </c>
      <c r="AD2893">
        <v>-1.1093143561950001</v>
      </c>
      <c r="AE2893">
        <v>9.2832000000000008</v>
      </c>
      <c r="AF2893">
        <v>-2.8570862304246498</v>
      </c>
      <c r="AG2893">
        <v>-1.1093143561950001</v>
      </c>
      <c r="AH2893">
        <v>9.0307952050939608</v>
      </c>
      <c r="AI2893">
        <v>96.679794229273696</v>
      </c>
      <c r="AJ2893">
        <v>107.55588701674699</v>
      </c>
      <c r="AK2893">
        <v>9.5367070892048709</v>
      </c>
    </row>
    <row r="2894" spans="1:37" x14ac:dyDescent="0.2">
      <c r="A2894" t="str">
        <f>"20200111150648222"</f>
        <v>20200111150648222</v>
      </c>
      <c r="B2894" t="str">
        <f>"1578726408219749"</f>
        <v>1578726408219749</v>
      </c>
      <c r="C2894" t="s">
        <v>37</v>
      </c>
      <c r="D2894">
        <v>5.2419409999999997</v>
      </c>
      <c r="E2894">
        <v>0.4377992</v>
      </c>
      <c r="F2894" t="s">
        <v>39</v>
      </c>
      <c r="G2894">
        <v>-187.39619999999999</v>
      </c>
      <c r="H2894" s="1">
        <v>-7.0318019999999901E-7</v>
      </c>
      <c r="I2894">
        <v>-40.321429999999999</v>
      </c>
      <c r="J2894">
        <v>-189.8193</v>
      </c>
      <c r="K2894">
        <v>1.1092379999999999</v>
      </c>
      <c r="L2894">
        <v>-49.69791</v>
      </c>
      <c r="M2894">
        <v>0.52768029999999999</v>
      </c>
      <c r="N2894">
        <v>0</v>
      </c>
      <c r="O2894">
        <v>0.84934619999999905</v>
      </c>
      <c r="P2894">
        <v>0.40634209999999998</v>
      </c>
      <c r="Q2894">
        <v>0.13304759999999999</v>
      </c>
      <c r="R2894">
        <v>0.90398250000000002</v>
      </c>
      <c r="S2894">
        <v>0.80340579999999995</v>
      </c>
      <c r="T2894">
        <v>-0.346539599999999</v>
      </c>
      <c r="U2894">
        <v>3.00738499999999</v>
      </c>
      <c r="V2894">
        <v>-0.13400519999999999</v>
      </c>
      <c r="W2894">
        <v>0.14369949999999901</v>
      </c>
      <c r="X2894">
        <v>0.98050649999999995</v>
      </c>
      <c r="Y2894">
        <v>-0.29164409999999902</v>
      </c>
      <c r="Z2894">
        <v>-8.5336999999999996E-2</v>
      </c>
      <c r="AA2894">
        <v>0.95271260000000002</v>
      </c>
      <c r="AB2894">
        <v>29</v>
      </c>
      <c r="AC2894">
        <v>2.4230999999999998</v>
      </c>
      <c r="AD2894">
        <v>-1.1092387031802</v>
      </c>
      <c r="AE2894">
        <v>9.3764800000000008</v>
      </c>
      <c r="AF2894">
        <v>-2.8525487141849202</v>
      </c>
      <c r="AG2894">
        <v>-1.1092387031802</v>
      </c>
      <c r="AH2894">
        <v>9.1235698519615802</v>
      </c>
      <c r="AI2894">
        <v>96.618997623104903</v>
      </c>
      <c r="AJ2894">
        <v>107.36222360612</v>
      </c>
      <c r="AK2894">
        <v>9.62325160800928</v>
      </c>
    </row>
    <row r="2895" spans="1:37" x14ac:dyDescent="0.2">
      <c r="A2895" t="str">
        <f>"20200111150648243"</f>
        <v>20200111150648243</v>
      </c>
      <c r="B2895" t="str">
        <f>"1578726408239269"</f>
        <v>1578726408239269</v>
      </c>
      <c r="C2895" t="s">
        <v>37</v>
      </c>
      <c r="D2895">
        <v>5.2853110000000001</v>
      </c>
      <c r="E2895">
        <v>0.43906049999999902</v>
      </c>
      <c r="F2895" t="s">
        <v>39</v>
      </c>
      <c r="G2895">
        <v>-187.2217</v>
      </c>
      <c r="H2895" s="1">
        <v>-8.7299249999999995E-7</v>
      </c>
      <c r="I2895">
        <v>-39.958849999999998</v>
      </c>
      <c r="J2895">
        <v>-189.68369999999999</v>
      </c>
      <c r="K2895">
        <v>1.1092040000000001</v>
      </c>
      <c r="L2895">
        <v>-49.465910000000001</v>
      </c>
      <c r="M2895">
        <v>0.52182299999999904</v>
      </c>
      <c r="N2895">
        <v>0</v>
      </c>
      <c r="O2895">
        <v>0.85295769999999904</v>
      </c>
      <c r="P2895">
        <v>0.40332089999999998</v>
      </c>
      <c r="Q2895">
        <v>0.13623070000000001</v>
      </c>
      <c r="R2895">
        <v>0.90486100000000003</v>
      </c>
      <c r="S2895">
        <v>0.80238339999999997</v>
      </c>
      <c r="T2895">
        <v>-0.34264699999999998</v>
      </c>
      <c r="U2895">
        <v>3.0084230000000001</v>
      </c>
      <c r="V2895">
        <v>-0.13030610000000001</v>
      </c>
      <c r="W2895">
        <v>0.14693210000000001</v>
      </c>
      <c r="X2895">
        <v>0.98052600000000001</v>
      </c>
      <c r="Y2895">
        <v>-0.28543170000000001</v>
      </c>
      <c r="Z2895">
        <v>-8.5047800000000007E-2</v>
      </c>
      <c r="AA2895">
        <v>0.95461799999999997</v>
      </c>
      <c r="AB2895">
        <v>29</v>
      </c>
      <c r="AC2895">
        <v>2.4619999999999802</v>
      </c>
      <c r="AD2895">
        <v>-1.1092048729924999</v>
      </c>
      <c r="AE2895">
        <v>9.5070599999999992</v>
      </c>
      <c r="AF2895">
        <v>-2.8252145964035602</v>
      </c>
      <c r="AG2895">
        <v>-1.1092048729924999</v>
      </c>
      <c r="AH2895">
        <v>9.2762827940017996</v>
      </c>
      <c r="AI2895">
        <v>96.525514783123</v>
      </c>
      <c r="AJ2895">
        <v>106.938807546056</v>
      </c>
      <c r="AK2895">
        <v>9.7602046822951394</v>
      </c>
    </row>
    <row r="2896" spans="1:37" x14ac:dyDescent="0.2">
      <c r="A2896" t="str">
        <f>"20200111150648266"</f>
        <v>20200111150648266</v>
      </c>
      <c r="B2896" t="str">
        <f>"1578726408259766"</f>
        <v>1578726408259766</v>
      </c>
      <c r="C2896" t="s">
        <v>37</v>
      </c>
      <c r="D2896">
        <v>5.2936120000000004</v>
      </c>
      <c r="E2896">
        <v>0.43998769999999998</v>
      </c>
      <c r="F2896" t="s">
        <v>39</v>
      </c>
      <c r="G2896">
        <v>-187.03149999999999</v>
      </c>
      <c r="H2896" s="1">
        <v>-1.07396E-6</v>
      </c>
      <c r="I2896">
        <v>-39.517020000000002</v>
      </c>
      <c r="J2896">
        <v>-189.53899999999999</v>
      </c>
      <c r="K2896">
        <v>1.1091819999999999</v>
      </c>
      <c r="L2896">
        <v>-49.214289999999998</v>
      </c>
      <c r="M2896">
        <v>0.51547159999999903</v>
      </c>
      <c r="N2896">
        <v>0</v>
      </c>
      <c r="O2896">
        <v>0.85681130000000005</v>
      </c>
      <c r="P2896">
        <v>0.39878550000000001</v>
      </c>
      <c r="Q2896">
        <v>0.13833609999999999</v>
      </c>
      <c r="R2896">
        <v>0.90655019999999997</v>
      </c>
      <c r="S2896">
        <v>0.80200199999999999</v>
      </c>
      <c r="T2896">
        <v>-0.33541349999999998</v>
      </c>
      <c r="U2896">
        <v>3.0084529999999998</v>
      </c>
      <c r="V2896">
        <v>-0.1277799</v>
      </c>
      <c r="W2896">
        <v>0.14906700000000001</v>
      </c>
      <c r="X2896">
        <v>0.98053630000000003</v>
      </c>
      <c r="Y2896">
        <v>-0.27839229999999998</v>
      </c>
      <c r="Z2896">
        <v>-8.3990540000000002E-2</v>
      </c>
      <c r="AA2896">
        <v>0.95678799999999997</v>
      </c>
      <c r="AB2896">
        <v>29</v>
      </c>
      <c r="AC2896">
        <v>2.5075000000000198</v>
      </c>
      <c r="AD2896">
        <v>-1.1091830739599999</v>
      </c>
      <c r="AE2896">
        <v>9.6972699999999996</v>
      </c>
      <c r="AF2896">
        <v>-2.81591413793709</v>
      </c>
      <c r="AG2896">
        <v>-1.1091830739599999</v>
      </c>
      <c r="AH2896">
        <v>9.4857360010842005</v>
      </c>
      <c r="AI2896">
        <v>96.395968208651794</v>
      </c>
      <c r="AJ2896">
        <v>106.53392895168599</v>
      </c>
      <c r="AK2896">
        <v>9.9568492509457194</v>
      </c>
    </row>
    <row r="2897" spans="1:37" x14ac:dyDescent="0.2">
      <c r="A2897" t="str">
        <f>"20200111150648290"</f>
        <v>20200111150648290</v>
      </c>
      <c r="B2897" t="str">
        <f>"1578726408279285"</f>
        <v>1578726408279285</v>
      </c>
      <c r="C2897" t="s">
        <v>37</v>
      </c>
      <c r="D2897">
        <v>5.2961980000000004</v>
      </c>
      <c r="E2897">
        <v>0.44073489999999999</v>
      </c>
      <c r="F2897" t="s">
        <v>39</v>
      </c>
      <c r="G2897">
        <v>-186.86949999999999</v>
      </c>
      <c r="H2897" s="1">
        <v>-1.2554530000000001E-6</v>
      </c>
      <c r="I2897">
        <v>-39.11036</v>
      </c>
      <c r="J2897">
        <v>-189.38800000000001</v>
      </c>
      <c r="K2897">
        <v>1.109162</v>
      </c>
      <c r="L2897">
        <v>-48.946959999999997</v>
      </c>
      <c r="M2897">
        <v>0.50870309999999996</v>
      </c>
      <c r="N2897">
        <v>0</v>
      </c>
      <c r="O2897">
        <v>0.86084729999999998</v>
      </c>
      <c r="P2897">
        <v>0.39317059999999998</v>
      </c>
      <c r="Q2897">
        <v>0.1390807</v>
      </c>
      <c r="R2897">
        <v>0.90888579999999997</v>
      </c>
      <c r="S2897">
        <v>0.79522709999999996</v>
      </c>
      <c r="T2897">
        <v>-0.33041409999999999</v>
      </c>
      <c r="U2897">
        <v>3.0098569999999998</v>
      </c>
      <c r="V2897">
        <v>-0.12605839999999999</v>
      </c>
      <c r="W2897">
        <v>0.1498284</v>
      </c>
      <c r="X2897">
        <v>0.98064300000000004</v>
      </c>
      <c r="Y2897">
        <v>-0.2729261</v>
      </c>
      <c r="Z2897">
        <v>-8.3443370000000003E-2</v>
      </c>
      <c r="AA2897">
        <v>0.95840939999999997</v>
      </c>
      <c r="AB2897">
        <v>29</v>
      </c>
      <c r="AC2897">
        <v>2.5185000000000102</v>
      </c>
      <c r="AD2897">
        <v>-1.109163255453</v>
      </c>
      <c r="AE2897">
        <v>9.83659999999999</v>
      </c>
      <c r="AF2897">
        <v>-2.80265402251865</v>
      </c>
      <c r="AG2897">
        <v>-1.109163255453</v>
      </c>
      <c r="AH2897">
        <v>9.6348084927069308</v>
      </c>
      <c r="AI2897">
        <v>96.3077932024256</v>
      </c>
      <c r="AJ2897">
        <v>106.219100663338</v>
      </c>
      <c r="AK2897">
        <v>10.0952784700732</v>
      </c>
    </row>
    <row r="2898" spans="1:37" x14ac:dyDescent="0.2">
      <c r="A2898" t="str">
        <f>"20200111150648312"</f>
        <v>20200111150648312</v>
      </c>
      <c r="B2898" t="str">
        <f>"1578726408309542"</f>
        <v>1578726408309542</v>
      </c>
      <c r="C2898" t="s">
        <v>37</v>
      </c>
      <c r="D2898">
        <v>5.30016</v>
      </c>
      <c r="E2898">
        <v>0.44489820000000002</v>
      </c>
      <c r="F2898" t="s">
        <v>39</v>
      </c>
      <c r="G2898">
        <v>-186.74260000000001</v>
      </c>
      <c r="H2898" s="1">
        <v>-1.405863E-6</v>
      </c>
      <c r="I2898">
        <v>-38.767609999999998</v>
      </c>
      <c r="J2898">
        <v>-189.2492</v>
      </c>
      <c r="K2898">
        <v>1.1091439999999999</v>
      </c>
      <c r="L2898">
        <v>-48.696750000000002</v>
      </c>
      <c r="M2898">
        <v>0.50234069999999997</v>
      </c>
      <c r="N2898">
        <v>0</v>
      </c>
      <c r="O2898">
        <v>0.86457569999999995</v>
      </c>
      <c r="P2898">
        <v>0.38739679999999999</v>
      </c>
      <c r="Q2898">
        <v>0.13836599999999999</v>
      </c>
      <c r="R2898">
        <v>0.91147060000000002</v>
      </c>
      <c r="S2898">
        <v>0.7828522</v>
      </c>
      <c r="T2898">
        <v>-0.32822959999999901</v>
      </c>
      <c r="U2898">
        <v>3.0123289999999998</v>
      </c>
      <c r="V2898">
        <v>-0.12508379999999999</v>
      </c>
      <c r="W2898">
        <v>0.14912310000000001</v>
      </c>
      <c r="X2898">
        <v>0.98087530000000001</v>
      </c>
      <c r="Y2898">
        <v>-0.269706</v>
      </c>
      <c r="Z2898">
        <v>-8.348949E-2</v>
      </c>
      <c r="AA2898">
        <v>0.95931650000000002</v>
      </c>
      <c r="AB2898">
        <v>29</v>
      </c>
      <c r="AC2898">
        <v>2.5065999999999899</v>
      </c>
      <c r="AD2898">
        <v>-1.1091454058629999</v>
      </c>
      <c r="AE2898">
        <v>9.9291400000000003</v>
      </c>
      <c r="AF2898">
        <v>-2.7881878899290999</v>
      </c>
      <c r="AG2898">
        <v>-1.1091454058629999</v>
      </c>
      <c r="AH2898">
        <v>9.7303181777301102</v>
      </c>
      <c r="AI2898">
        <v>96.253444757326506</v>
      </c>
      <c r="AJ2898">
        <v>105.989465940203</v>
      </c>
      <c r="AK2898">
        <v>10.182499058716299</v>
      </c>
    </row>
    <row r="2899" spans="1:37" x14ac:dyDescent="0.2">
      <c r="A2899" t="str">
        <f>"20200111150648334"</f>
        <v>20200111150648334</v>
      </c>
      <c r="B2899" t="str">
        <f>"1578726408329061"</f>
        <v>1578726408329061</v>
      </c>
      <c r="C2899" t="s">
        <v>37</v>
      </c>
      <c r="D2899">
        <v>5.3673580000000003</v>
      </c>
      <c r="E2899">
        <v>0.44666809999999901</v>
      </c>
      <c r="F2899" t="s">
        <v>39</v>
      </c>
      <c r="G2899">
        <v>-185.1892</v>
      </c>
      <c r="H2899" s="1">
        <v>-3.8852359999999998E-6</v>
      </c>
      <c r="I2899">
        <v>-33.299840000000003</v>
      </c>
      <c r="J2899">
        <v>-189.11670000000001</v>
      </c>
      <c r="K2899">
        <v>1.1091200000000001</v>
      </c>
      <c r="L2899">
        <v>-48.453519999999997</v>
      </c>
      <c r="M2899">
        <v>0.49613499999999999</v>
      </c>
      <c r="N2899">
        <v>0</v>
      </c>
      <c r="O2899">
        <v>0.86815180000000003</v>
      </c>
      <c r="P2899">
        <v>0.38177680000000003</v>
      </c>
      <c r="Q2899">
        <v>0.13812720000000001</v>
      </c>
      <c r="R2899">
        <v>0.91387489999999905</v>
      </c>
      <c r="S2899">
        <v>0.78819269999999997</v>
      </c>
      <c r="T2899">
        <v>-0.21532419999999999</v>
      </c>
      <c r="U2899">
        <v>2.9890750000000001</v>
      </c>
      <c r="V2899">
        <v>-0.12410589999999901</v>
      </c>
      <c r="W2899">
        <v>0.14889349999999901</v>
      </c>
      <c r="X2899">
        <v>0.98103439999999997</v>
      </c>
      <c r="Y2899">
        <v>-0.25883469999999997</v>
      </c>
      <c r="Z2899">
        <v>-5.5804819999999998E-2</v>
      </c>
      <c r="AA2899">
        <v>0.96430830000000001</v>
      </c>
      <c r="AB2899">
        <v>29</v>
      </c>
      <c r="AC2899">
        <v>3.9275000000000002</v>
      </c>
      <c r="AD2899">
        <v>-1.1091238852359999</v>
      </c>
      <c r="AE2899">
        <v>15.15368</v>
      </c>
      <c r="AF2899">
        <v>-4.0884155762920003</v>
      </c>
      <c r="AG2899">
        <v>-1.1091238852359999</v>
      </c>
      <c r="AH2899">
        <v>15.0300439979322</v>
      </c>
      <c r="AI2899">
        <v>94.072952534653496</v>
      </c>
      <c r="AJ2899">
        <v>105.217191392902</v>
      </c>
      <c r="AK2899">
        <v>15.615617832703499</v>
      </c>
    </row>
    <row r="2900" spans="1:37" x14ac:dyDescent="0.2">
      <c r="A2900" t="str">
        <f>"20200111150648356"</f>
        <v>20200111150648356</v>
      </c>
      <c r="B2900" t="str">
        <f>"1578726408349090"</f>
        <v>1578726408349090</v>
      </c>
      <c r="C2900" t="s">
        <v>37</v>
      </c>
      <c r="D2900">
        <v>5.2914830000000004</v>
      </c>
      <c r="E2900">
        <v>0.44676379999999999</v>
      </c>
      <c r="F2900" t="s">
        <v>85</v>
      </c>
      <c r="G2900">
        <v>-187.0643</v>
      </c>
      <c r="H2900" s="1">
        <v>-7.3123899999999896E-6</v>
      </c>
      <c r="I2900">
        <v>-40.640169999999998</v>
      </c>
      <c r="J2900">
        <v>-188.98320000000001</v>
      </c>
      <c r="K2900">
        <v>1.1090949999999999</v>
      </c>
      <c r="L2900">
        <v>-48.204039999999999</v>
      </c>
      <c r="M2900">
        <v>0.48975269999999999</v>
      </c>
      <c r="N2900">
        <v>0</v>
      </c>
      <c r="O2900">
        <v>0.8717684</v>
      </c>
      <c r="P2900">
        <v>0.37676890000000002</v>
      </c>
      <c r="Q2900">
        <v>0.1369476</v>
      </c>
      <c r="R2900">
        <v>0.91612800000000005</v>
      </c>
      <c r="S2900">
        <v>0.79237369999999996</v>
      </c>
      <c r="T2900">
        <v>-0.42818899999999999</v>
      </c>
      <c r="U2900">
        <v>3.0164179999999998</v>
      </c>
      <c r="V2900">
        <v>-0.12234059999999999</v>
      </c>
      <c r="W2900">
        <v>0.1477377</v>
      </c>
      <c r="X2900">
        <v>0.98143080000000005</v>
      </c>
      <c r="Y2900">
        <v>-0.25390449999999998</v>
      </c>
      <c r="Z2900">
        <v>-0.11008759999999999</v>
      </c>
      <c r="AA2900">
        <v>0.96094389999999996</v>
      </c>
      <c r="AB2900">
        <v>29</v>
      </c>
      <c r="AC2900">
        <v>1.9189000000000001</v>
      </c>
      <c r="AD2900">
        <v>-1.1091023123899999</v>
      </c>
      <c r="AE2900">
        <v>7.5638699999999996</v>
      </c>
      <c r="AF2900">
        <v>-1.9915239152984101</v>
      </c>
      <c r="AG2900">
        <v>-1.1091023123899999</v>
      </c>
      <c r="AH2900">
        <v>7.38515483747224</v>
      </c>
      <c r="AI2900">
        <v>98.250403776687406</v>
      </c>
      <c r="AJ2900">
        <v>105.091728080827</v>
      </c>
      <c r="AK2900">
        <v>7.7289577187350504</v>
      </c>
    </row>
    <row r="2901" spans="1:37" x14ac:dyDescent="0.2">
      <c r="A2901" t="str">
        <f>"20200111150648381"</f>
        <v>20200111150648381</v>
      </c>
      <c r="B2901" t="str">
        <f>"1578726408369584"</f>
        <v>1578726408369584</v>
      </c>
      <c r="C2901" t="s">
        <v>37</v>
      </c>
      <c r="D2901">
        <v>5.3274549999999996</v>
      </c>
      <c r="E2901">
        <v>0.44579799999999897</v>
      </c>
      <c r="F2901" t="s">
        <v>39</v>
      </c>
      <c r="G2901">
        <v>-186.9135</v>
      </c>
      <c r="H2901" s="1">
        <v>-9.0013859999999896E-7</v>
      </c>
      <c r="I2901">
        <v>-40.120080000000002</v>
      </c>
      <c r="J2901">
        <v>-188.8357</v>
      </c>
      <c r="K2901">
        <v>1.1090949999999999</v>
      </c>
      <c r="L2901">
        <v>-47.923340000000003</v>
      </c>
      <c r="M2901">
        <v>0.48255809999999999</v>
      </c>
      <c r="N2901">
        <v>0</v>
      </c>
      <c r="O2901">
        <v>0.87577150000000004</v>
      </c>
      <c r="P2901">
        <v>0.3715232</v>
      </c>
      <c r="Q2901">
        <v>0.13678470000000001</v>
      </c>
      <c r="R2901">
        <v>0.918292199999999</v>
      </c>
      <c r="S2901">
        <v>0.77285769999999998</v>
      </c>
      <c r="T2901">
        <v>-0.41416209999999998</v>
      </c>
      <c r="U2901">
        <v>3.0187379999999999</v>
      </c>
      <c r="V2901">
        <v>-0.11987349999999999</v>
      </c>
      <c r="W2901">
        <v>0.1476075</v>
      </c>
      <c r="X2901">
        <v>0.98175469999999898</v>
      </c>
      <c r="Y2901">
        <v>-0.2518533</v>
      </c>
      <c r="Z2901">
        <v>-0.10734389999999901</v>
      </c>
      <c r="AA2901">
        <v>0.96179369999999997</v>
      </c>
      <c r="AB2901">
        <v>29</v>
      </c>
      <c r="AC2901">
        <v>1.9221999999999999</v>
      </c>
      <c r="AD2901">
        <v>-1.1090959001386</v>
      </c>
      <c r="AE2901">
        <v>7.8032599999999999</v>
      </c>
      <c r="AF2901">
        <v>-2.0433691501857898</v>
      </c>
      <c r="AG2901">
        <v>-1.1090959001386</v>
      </c>
      <c r="AH2901">
        <v>7.6170017725572201</v>
      </c>
      <c r="AI2901">
        <v>98.005312193128702</v>
      </c>
      <c r="AJ2901">
        <v>105.01684009785799</v>
      </c>
      <c r="AK2901">
        <v>7.96392913094882</v>
      </c>
    </row>
    <row r="2902" spans="1:37" x14ac:dyDescent="0.2">
      <c r="A2902" t="str">
        <f>"20200111150648403"</f>
        <v>20200111150648403</v>
      </c>
      <c r="B2902" t="str">
        <f>"1578726408399841"</f>
        <v>1578726408399841</v>
      </c>
      <c r="C2902" t="s">
        <v>37</v>
      </c>
      <c r="D2902">
        <v>5.281428</v>
      </c>
      <c r="E2902">
        <v>0.44632040000000001</v>
      </c>
      <c r="F2902" t="s">
        <v>39</v>
      </c>
      <c r="G2902">
        <v>-186.59630000000001</v>
      </c>
      <c r="H2902" s="1">
        <v>-1.4193899999999899E-6</v>
      </c>
      <c r="I2902">
        <v>-38.84225</v>
      </c>
      <c r="J2902">
        <v>-188.70189999999999</v>
      </c>
      <c r="K2902">
        <v>1.10911</v>
      </c>
      <c r="L2902">
        <v>-47.663849999999996</v>
      </c>
      <c r="M2902">
        <v>0.47589890000000001</v>
      </c>
      <c r="N2902">
        <v>0</v>
      </c>
      <c r="O2902">
        <v>0.87940799999999997</v>
      </c>
      <c r="P2902">
        <v>0.36716739999999998</v>
      </c>
      <c r="Q2902">
        <v>0.14061270000000001</v>
      </c>
      <c r="R2902">
        <v>0.91946519999999998</v>
      </c>
      <c r="S2902">
        <v>0.74485780000000001</v>
      </c>
      <c r="T2902">
        <v>-0.36890209999999901</v>
      </c>
      <c r="U2902">
        <v>3.020508</v>
      </c>
      <c r="V2902">
        <v>-0.1168481</v>
      </c>
      <c r="W2902">
        <v>0.15147079999999999</v>
      </c>
      <c r="X2902">
        <v>0.98153099999999904</v>
      </c>
      <c r="Y2902">
        <v>-0.25273249999999903</v>
      </c>
      <c r="Z2902">
        <v>-9.6425289999999997E-2</v>
      </c>
      <c r="AA2902">
        <v>0.96271929999999994</v>
      </c>
      <c r="AB2902">
        <v>29</v>
      </c>
      <c r="AC2902">
        <v>2.1055999999999799</v>
      </c>
      <c r="AD2902">
        <v>-1.10911141939</v>
      </c>
      <c r="AE2902">
        <v>8.8215999999999894</v>
      </c>
      <c r="AF2902">
        <v>-2.31211988641487</v>
      </c>
      <c r="AG2902">
        <v>-1.10911141939</v>
      </c>
      <c r="AH2902">
        <v>8.6314618358981807</v>
      </c>
      <c r="AI2902">
        <v>97.075387393565407</v>
      </c>
      <c r="AJ2902">
        <v>104.995829673892</v>
      </c>
      <c r="AK2902">
        <v>9.0043411715873596</v>
      </c>
    </row>
    <row r="2903" spans="1:37" x14ac:dyDescent="0.2">
      <c r="A2903" t="str">
        <f>"20200111150648429"</f>
        <v>20200111150648429</v>
      </c>
      <c r="B2903" t="str">
        <f>"1578726408419360"</f>
        <v>1578726408419360</v>
      </c>
      <c r="C2903" t="s">
        <v>37</v>
      </c>
      <c r="D2903">
        <v>5.3653379999999897</v>
      </c>
      <c r="E2903">
        <v>0.44973980000000002</v>
      </c>
      <c r="F2903" t="s">
        <v>39</v>
      </c>
      <c r="G2903">
        <v>-186.4254</v>
      </c>
      <c r="H2903" s="1">
        <v>-1.6553919999999901E-6</v>
      </c>
      <c r="I2903">
        <v>-38.282350000000001</v>
      </c>
      <c r="J2903">
        <v>-188.55420000000001</v>
      </c>
      <c r="K2903">
        <v>1.1091139999999999</v>
      </c>
      <c r="L2903">
        <v>-47.371829999999903</v>
      </c>
      <c r="M2903">
        <v>0.4684005</v>
      </c>
      <c r="N2903">
        <v>0</v>
      </c>
      <c r="O2903">
        <v>0.88342480000000001</v>
      </c>
      <c r="P2903">
        <v>0.36216199999999998</v>
      </c>
      <c r="Q2903">
        <v>0.14186009999999999</v>
      </c>
      <c r="R2903">
        <v>0.92125699999999999</v>
      </c>
      <c r="S2903">
        <v>0.733886699999999</v>
      </c>
      <c r="T2903">
        <v>-0.3575528</v>
      </c>
      <c r="U2903">
        <v>3.024384</v>
      </c>
      <c r="V2903">
        <v>-0.11375539999999899</v>
      </c>
      <c r="W2903">
        <v>0.15275739999999999</v>
      </c>
      <c r="X2903">
        <v>0.98169490000000004</v>
      </c>
      <c r="Y2903">
        <v>-0.24802109999999999</v>
      </c>
      <c r="Z2903">
        <v>-9.4159320000000005E-2</v>
      </c>
      <c r="AA2903">
        <v>0.96416780000000002</v>
      </c>
      <c r="AB2903">
        <v>29</v>
      </c>
      <c r="AC2903">
        <v>2.1288000000000098</v>
      </c>
      <c r="AD2903">
        <v>-1.1091156553919901</v>
      </c>
      <c r="AE2903">
        <v>9.0894799999999893</v>
      </c>
      <c r="AF2903">
        <v>-2.3439886852561802</v>
      </c>
      <c r="AG2903">
        <v>-1.1091156553919901</v>
      </c>
      <c r="AH2903">
        <v>8.9020787065571891</v>
      </c>
      <c r="AI2903">
        <v>96.870108200430295</v>
      </c>
      <c r="AJ2903">
        <v>104.751606790632</v>
      </c>
      <c r="AK2903">
        <v>9.2720777494250797</v>
      </c>
    </row>
    <row r="2904" spans="1:37" x14ac:dyDescent="0.2">
      <c r="A2904" t="str">
        <f>"20200111150648449"</f>
        <v>20200111150648449</v>
      </c>
      <c r="B2904" t="str">
        <f>"1578726408439857"</f>
        <v>1578726408439857</v>
      </c>
      <c r="C2904" t="s">
        <v>37</v>
      </c>
      <c r="D2904">
        <v>5.2649400000000002</v>
      </c>
      <c r="E2904">
        <v>0.45845169999999902</v>
      </c>
      <c r="F2904" t="s">
        <v>39</v>
      </c>
      <c r="G2904">
        <v>-186.19550000000001</v>
      </c>
      <c r="H2904" s="1">
        <v>-1.8902929999999999E-6</v>
      </c>
      <c r="I2904">
        <v>-37.771839999999997</v>
      </c>
      <c r="J2904">
        <v>-188.43989999999999</v>
      </c>
      <c r="K2904">
        <v>1.109108</v>
      </c>
      <c r="L2904">
        <v>-47.141570000000002</v>
      </c>
      <c r="M2904">
        <v>0.46248669999999997</v>
      </c>
      <c r="N2904">
        <v>0</v>
      </c>
      <c r="O2904">
        <v>0.88653519999999897</v>
      </c>
      <c r="P2904">
        <v>0.35917659999999901</v>
      </c>
      <c r="Q2904">
        <v>0.1408122</v>
      </c>
      <c r="R2904">
        <v>0.92258549999999995</v>
      </c>
      <c r="S2904">
        <v>0.74163819999999903</v>
      </c>
      <c r="T2904">
        <v>-0.34874299999999903</v>
      </c>
      <c r="U2904">
        <v>3.0185550000000001</v>
      </c>
      <c r="V2904">
        <v>-0.11042629999999901</v>
      </c>
      <c r="W2904">
        <v>0.1517588</v>
      </c>
      <c r="X2904">
        <v>0.98222980000000004</v>
      </c>
      <c r="Y2904">
        <v>-0.23873620000000001</v>
      </c>
      <c r="Z2904">
        <v>-9.2657370000000003E-2</v>
      </c>
      <c r="AA2904">
        <v>0.96665380000000001</v>
      </c>
      <c r="AB2904">
        <v>29</v>
      </c>
      <c r="AC2904">
        <v>2.2443999999999802</v>
      </c>
      <c r="AD2904">
        <v>-1.1091098902929999</v>
      </c>
      <c r="AE2904">
        <v>9.3697299999999899</v>
      </c>
      <c r="AF2904">
        <v>-2.3131720746923601</v>
      </c>
      <c r="AG2904">
        <v>-1.1091098902929999</v>
      </c>
      <c r="AH2904">
        <v>9.2231345041207895</v>
      </c>
      <c r="AI2904">
        <v>96.652949251778494</v>
      </c>
      <c r="AJ2904">
        <v>104.07943379344999</v>
      </c>
      <c r="AK2904">
        <v>9.5732491807633302</v>
      </c>
    </row>
    <row r="2905" spans="1:37" x14ac:dyDescent="0.2">
      <c r="A2905" t="str">
        <f>"20200111150648470"</f>
        <v>20200111150648470</v>
      </c>
      <c r="B2905" t="str">
        <f>"1578726408459377"</f>
        <v>1578726408459377</v>
      </c>
      <c r="C2905" t="s">
        <v>37</v>
      </c>
      <c r="D2905">
        <v>5.2603059999999999</v>
      </c>
      <c r="E2905">
        <v>0.50738709999999998</v>
      </c>
      <c r="F2905" t="s">
        <v>39</v>
      </c>
      <c r="G2905">
        <v>-185.86619999999999</v>
      </c>
      <c r="H2905" s="1">
        <v>-2.0879150000000002E-6</v>
      </c>
      <c r="I2905">
        <v>-37.44858</v>
      </c>
      <c r="J2905">
        <v>-188.3245</v>
      </c>
      <c r="K2905">
        <v>1.109092</v>
      </c>
      <c r="L2905">
        <v>-46.904820000000001</v>
      </c>
      <c r="M2905">
        <v>0.45640649999999899</v>
      </c>
      <c r="N2905">
        <v>0</v>
      </c>
      <c r="O2905">
        <v>0.88968069999999899</v>
      </c>
      <c r="P2905">
        <v>0.35508519999999999</v>
      </c>
      <c r="Q2905">
        <v>0.13773659999999999</v>
      </c>
      <c r="R2905">
        <v>0.92463139999999999</v>
      </c>
      <c r="S2905">
        <v>0.79510499999999995</v>
      </c>
      <c r="T2905">
        <v>-0.34263959999999999</v>
      </c>
      <c r="U2905">
        <v>2.9944759999999899</v>
      </c>
      <c r="V2905">
        <v>-0.1082163</v>
      </c>
      <c r="W2905">
        <v>0.14871760000000001</v>
      </c>
      <c r="X2905">
        <v>0.98294059999999905</v>
      </c>
      <c r="Y2905">
        <v>-0.21401819999999999</v>
      </c>
      <c r="Z2905">
        <v>-9.2418890000000004E-2</v>
      </c>
      <c r="AA2905">
        <v>0.97244789999999903</v>
      </c>
      <c r="AB2905">
        <v>29</v>
      </c>
      <c r="AC2905">
        <v>2.4582999999999999</v>
      </c>
      <c r="AD2905">
        <v>-1.109094087915</v>
      </c>
      <c r="AE2905">
        <v>9.4562399999999993</v>
      </c>
      <c r="AF2905">
        <v>-2.1018755651249399</v>
      </c>
      <c r="AG2905">
        <v>-1.109094087915</v>
      </c>
      <c r="AH2905">
        <v>9.4144782228996693</v>
      </c>
      <c r="AI2905">
        <v>96.558874427979305</v>
      </c>
      <c r="AJ2905">
        <v>102.58545251030201</v>
      </c>
      <c r="AK2905">
        <v>9.7098079690882404</v>
      </c>
    </row>
    <row r="2906" spans="1:37" x14ac:dyDescent="0.2">
      <c r="A2906" t="str">
        <f>"20200111150648491"</f>
        <v>20200111150648491</v>
      </c>
      <c r="B2906" t="str">
        <f>"1578726408479873"</f>
        <v>1578726408479873</v>
      </c>
      <c r="C2906" t="s">
        <v>37</v>
      </c>
      <c r="D2906">
        <v>5.1647559999999997</v>
      </c>
      <c r="E2906">
        <v>0.50781369999999904</v>
      </c>
      <c r="F2906" t="s">
        <v>91</v>
      </c>
      <c r="G2906">
        <v>-167.99860000000001</v>
      </c>
      <c r="H2906">
        <v>10.811199999999999</v>
      </c>
      <c r="I2906">
        <v>2.9191639999999999</v>
      </c>
      <c r="J2906">
        <v>-188.20400000000001</v>
      </c>
      <c r="K2906">
        <v>1.109065</v>
      </c>
      <c r="L2906">
        <v>-46.653320000000001</v>
      </c>
      <c r="M2906">
        <v>0.4499457</v>
      </c>
      <c r="N2906">
        <v>0</v>
      </c>
      <c r="O2906">
        <v>0.89296569999999997</v>
      </c>
      <c r="P2906">
        <v>0.35078280000000001</v>
      </c>
      <c r="Q2906">
        <v>0.13280420000000001</v>
      </c>
      <c r="R2906">
        <v>0.92699219999999904</v>
      </c>
      <c r="S2906">
        <v>1.1163479999999999</v>
      </c>
      <c r="T2906">
        <v>0.53286230000000001</v>
      </c>
      <c r="U2906">
        <v>2.73645</v>
      </c>
      <c r="V2906">
        <v>-0.10591099999999901</v>
      </c>
      <c r="W2906">
        <v>0.1438255</v>
      </c>
      <c r="X2906">
        <v>0.98391930000000005</v>
      </c>
      <c r="Y2906">
        <v>-8.4444720000000001E-2</v>
      </c>
      <c r="Z2906">
        <v>0.1553146</v>
      </c>
      <c r="AA2906">
        <v>0.98424920000000005</v>
      </c>
      <c r="AB2906">
        <v>29</v>
      </c>
      <c r="AC2906">
        <v>20.205400000000001</v>
      </c>
      <c r="AD2906">
        <v>9.7021350000000002</v>
      </c>
      <c r="AE2906">
        <v>49.572484000000003</v>
      </c>
      <c r="AF2906">
        <v>-4.1269783568783698</v>
      </c>
      <c r="AG2906">
        <v>9.7021350000000002</v>
      </c>
      <c r="AH2906">
        <v>51.665078746638201</v>
      </c>
      <c r="AI2906">
        <v>79.397351025834396</v>
      </c>
      <c r="AJ2906">
        <v>94.567058422854899</v>
      </c>
      <c r="AK2906">
        <v>52.729913102646897</v>
      </c>
    </row>
    <row r="2907" spans="1:37" x14ac:dyDescent="0.2">
      <c r="A2907" t="str">
        <f>"20200111150648515"</f>
        <v>20200111150648515</v>
      </c>
      <c r="B2907" t="str">
        <f>"1578726408509153"</f>
        <v>1578726408509153</v>
      </c>
      <c r="C2907" t="s">
        <v>37</v>
      </c>
      <c r="D2907">
        <v>5.165089</v>
      </c>
      <c r="E2907">
        <v>0.50750390000000001</v>
      </c>
      <c r="F2907" t="s">
        <v>39</v>
      </c>
      <c r="G2907">
        <v>-184.88630000000001</v>
      </c>
      <c r="H2907" s="1">
        <v>-2.0599200000000001E-6</v>
      </c>
      <c r="I2907">
        <v>-38.29701</v>
      </c>
      <c r="J2907">
        <v>-188.07480000000001</v>
      </c>
      <c r="K2907">
        <v>1.1090420000000001</v>
      </c>
      <c r="L2907">
        <v>-46.378169999999997</v>
      </c>
      <c r="M2907">
        <v>0.44287729999999997</v>
      </c>
      <c r="N2907">
        <v>0</v>
      </c>
      <c r="O2907">
        <v>0.89649239999999997</v>
      </c>
      <c r="P2907">
        <v>0.34630429999999901</v>
      </c>
      <c r="Q2907">
        <v>0.13235250000000001</v>
      </c>
      <c r="R2907">
        <v>0.92873899999999998</v>
      </c>
      <c r="S2907">
        <v>1.135834</v>
      </c>
      <c r="T2907">
        <v>-0.3796967</v>
      </c>
      <c r="U2907">
        <v>2.86084</v>
      </c>
      <c r="V2907">
        <v>-0.1029027</v>
      </c>
      <c r="W2907">
        <v>0.1434164</v>
      </c>
      <c r="X2907">
        <v>0.98429809999999995</v>
      </c>
      <c r="Y2907">
        <v>-8.3199270000000006E-2</v>
      </c>
      <c r="Z2907">
        <v>-0.1075777</v>
      </c>
      <c r="AA2907">
        <v>0.99070930000000001</v>
      </c>
      <c r="AB2907">
        <v>29</v>
      </c>
      <c r="AC2907">
        <v>3.1884999999999999</v>
      </c>
      <c r="AD2907">
        <v>-1.10904405992</v>
      </c>
      <c r="AE2907">
        <v>8.0811600000000006</v>
      </c>
      <c r="AF2907">
        <v>-0.708999613595373</v>
      </c>
      <c r="AG2907">
        <v>-1.10904405992</v>
      </c>
      <c r="AH2907">
        <v>8.5186792627827401</v>
      </c>
      <c r="AI2907">
        <v>97.392323561729498</v>
      </c>
      <c r="AJ2907">
        <v>94.757694701332994</v>
      </c>
      <c r="AK2907">
        <v>8.6197770018189495</v>
      </c>
    </row>
    <row r="2908" spans="1:37" x14ac:dyDescent="0.2">
      <c r="A2908" t="str">
        <f>"20200111150648535"</f>
        <v>20200111150648535</v>
      </c>
      <c r="B2908" t="str">
        <f>"1578726408529650"</f>
        <v>1578726408529650</v>
      </c>
      <c r="C2908" t="s">
        <v>37</v>
      </c>
      <c r="D2908">
        <v>5.1105349999999996</v>
      </c>
      <c r="E2908">
        <v>0.50671679999999997</v>
      </c>
      <c r="F2908" t="s">
        <v>38</v>
      </c>
      <c r="G2908">
        <v>-187.7355</v>
      </c>
      <c r="H2908">
        <v>0.99516039999999995</v>
      </c>
      <c r="I2908">
        <v>-45.509700000000002</v>
      </c>
      <c r="J2908">
        <v>-187.97020000000001</v>
      </c>
      <c r="K2908">
        <v>1.1090519999999999</v>
      </c>
      <c r="L2908">
        <v>-46.151179999999997</v>
      </c>
      <c r="M2908">
        <v>0.43704460000000001</v>
      </c>
      <c r="N2908">
        <v>0</v>
      </c>
      <c r="O2908">
        <v>0.89935030000000005</v>
      </c>
      <c r="P2908">
        <v>0.34349299999999999</v>
      </c>
      <c r="Q2908">
        <v>0.13516529999999999</v>
      </c>
      <c r="R2908">
        <v>0.92937769999999997</v>
      </c>
      <c r="S2908">
        <v>1.1197969999999999</v>
      </c>
      <c r="T2908">
        <v>-0.37591459999999999</v>
      </c>
      <c r="U2908">
        <v>2.8662109999999998</v>
      </c>
      <c r="V2908">
        <v>-9.9343169999999995E-2</v>
      </c>
      <c r="W2908">
        <v>0.1462765</v>
      </c>
      <c r="X2908">
        <v>0.98424290000000003</v>
      </c>
      <c r="Y2908">
        <v>-8.2127149999999996E-2</v>
      </c>
      <c r="Z2908">
        <v>-0.1069536</v>
      </c>
      <c r="AA2908">
        <v>0.99086629999999998</v>
      </c>
      <c r="AB2908">
        <v>29</v>
      </c>
      <c r="AC2908">
        <v>0.23470000000000299</v>
      </c>
      <c r="AD2908">
        <v>-0.1138916</v>
      </c>
      <c r="AE2908">
        <v>0.64147999999999405</v>
      </c>
      <c r="AF2908">
        <v>-6.7409401605504293E-2</v>
      </c>
      <c r="AG2908">
        <v>-0.1138916</v>
      </c>
      <c r="AH2908">
        <v>0.66116347667592001</v>
      </c>
      <c r="AI2908">
        <v>99.724372351041396</v>
      </c>
      <c r="AJ2908">
        <v>95.821516854872797</v>
      </c>
      <c r="AK2908">
        <v>0.67427922025342202</v>
      </c>
    </row>
    <row r="2909" spans="1:37" x14ac:dyDescent="0.2">
      <c r="A2909" t="str">
        <f>"20200111150648558"</f>
        <v>20200111150648558</v>
      </c>
      <c r="B2909" t="str">
        <f>"1578726408549169"</f>
        <v>1578726408549169</v>
      </c>
      <c r="C2909" t="s">
        <v>37</v>
      </c>
      <c r="D2909">
        <v>5.16568</v>
      </c>
      <c r="E2909">
        <v>0.50821689999999997</v>
      </c>
      <c r="F2909" t="s">
        <v>38</v>
      </c>
      <c r="G2909">
        <v>-187.6311</v>
      </c>
      <c r="H2909">
        <v>0.99778459999999902</v>
      </c>
      <c r="I2909">
        <v>-45.272849999999998</v>
      </c>
      <c r="J2909">
        <v>-187.84180000000001</v>
      </c>
      <c r="K2909">
        <v>1.1090519999999999</v>
      </c>
      <c r="L2909">
        <v>-45.866880000000002</v>
      </c>
      <c r="M2909">
        <v>0.42973889999999998</v>
      </c>
      <c r="N2909">
        <v>0</v>
      </c>
      <c r="O2909">
        <v>0.90286409999999995</v>
      </c>
      <c r="P2909">
        <v>0.33804400000000001</v>
      </c>
      <c r="Q2909">
        <v>0.142165299999999</v>
      </c>
      <c r="R2909">
        <v>0.93033080000000001</v>
      </c>
      <c r="S2909">
        <v>1.108109</v>
      </c>
      <c r="T2909">
        <v>-0.36392379999999902</v>
      </c>
      <c r="U2909">
        <v>2.8713380000000002</v>
      </c>
      <c r="V2909">
        <v>-9.6773780000000004E-2</v>
      </c>
      <c r="W2909">
        <v>0.15329979999999899</v>
      </c>
      <c r="X2909">
        <v>0.98342969999999896</v>
      </c>
      <c r="Y2909">
        <v>-7.8022350000000004E-2</v>
      </c>
      <c r="Z2909">
        <v>-0.1041178</v>
      </c>
      <c r="AA2909">
        <v>0.99149989999999999</v>
      </c>
      <c r="AB2909">
        <v>29</v>
      </c>
      <c r="AC2909">
        <v>0.210700000000002</v>
      </c>
      <c r="AD2909">
        <v>-0.1112674</v>
      </c>
      <c r="AE2909">
        <v>0.59403000000000294</v>
      </c>
      <c r="AF2909">
        <v>-6.3083622971721806E-2</v>
      </c>
      <c r="AG2909">
        <v>-0.1112674</v>
      </c>
      <c r="AH2909">
        <v>0.60797771658754896</v>
      </c>
      <c r="AI2909">
        <v>100.316872377038</v>
      </c>
      <c r="AJ2909">
        <v>95.923798405897699</v>
      </c>
      <c r="AK2909">
        <v>0.62128647309997698</v>
      </c>
    </row>
    <row r="2910" spans="1:37" x14ac:dyDescent="0.2">
      <c r="A2910" t="str">
        <f>"20200111150648581"</f>
        <v>20200111150648581</v>
      </c>
      <c r="B2910" t="str">
        <f>"1578726408569664"</f>
        <v>1578726408569664</v>
      </c>
      <c r="C2910" t="s">
        <v>37</v>
      </c>
      <c r="D2910">
        <v>5.0616399999999997</v>
      </c>
      <c r="E2910">
        <v>0.50920469999999995</v>
      </c>
      <c r="F2910" t="s">
        <v>39</v>
      </c>
      <c r="G2910">
        <v>-184.14830000000001</v>
      </c>
      <c r="H2910" s="1">
        <v>-2.956095E-6</v>
      </c>
      <c r="I2910">
        <v>-36.240589999999997</v>
      </c>
      <c r="J2910">
        <v>-187.72640000000001</v>
      </c>
      <c r="K2910">
        <v>1.109048</v>
      </c>
      <c r="L2910">
        <v>-45.606050000000003</v>
      </c>
      <c r="M2910">
        <v>0.42303400000000002</v>
      </c>
      <c r="N2910">
        <v>0</v>
      </c>
      <c r="O2910">
        <v>0.90602510000000003</v>
      </c>
      <c r="P2910">
        <v>0.3308644</v>
      </c>
      <c r="Q2910">
        <v>0.133510299999999</v>
      </c>
      <c r="R2910">
        <v>0.93418619999999997</v>
      </c>
      <c r="S2910">
        <v>1.10292099999999</v>
      </c>
      <c r="T2910">
        <v>-0.33117559999999902</v>
      </c>
      <c r="U2910">
        <v>2.87451199999999</v>
      </c>
      <c r="V2910">
        <v>-9.7480860000000003E-2</v>
      </c>
      <c r="W2910">
        <v>0.14464649999999901</v>
      </c>
      <c r="X2910">
        <v>0.98466989999999999</v>
      </c>
      <c r="Y2910">
        <v>-7.2200609999999998E-2</v>
      </c>
      <c r="Z2910">
        <v>-9.5315360000000002E-2</v>
      </c>
      <c r="AA2910">
        <v>0.99282530000000002</v>
      </c>
      <c r="AB2910">
        <v>29</v>
      </c>
      <c r="AC2910">
        <v>3.5781000000000001</v>
      </c>
      <c r="AD2910">
        <v>-1.1090509560949999</v>
      </c>
      <c r="AE2910">
        <v>9.3654600000000006</v>
      </c>
      <c r="AF2910">
        <v>-0.71141195580152505</v>
      </c>
      <c r="AG2910">
        <v>-1.1090509560949999</v>
      </c>
      <c r="AH2910">
        <v>9.8789156365556394</v>
      </c>
      <c r="AI2910">
        <v>96.389050894502404</v>
      </c>
      <c r="AJ2910">
        <v>94.118939962342694</v>
      </c>
      <c r="AK2910">
        <v>9.9663973003415904</v>
      </c>
    </row>
    <row r="2911" spans="1:37" x14ac:dyDescent="0.2">
      <c r="A2911" t="str">
        <f>"20200111150648605"</f>
        <v>20200111150648605</v>
      </c>
      <c r="B2911" t="str">
        <f>"1578726408598945"</f>
        <v>1578726408598945</v>
      </c>
      <c r="C2911" t="s">
        <v>37</v>
      </c>
      <c r="D2911">
        <v>5.5397080000000001</v>
      </c>
      <c r="E2911">
        <v>0.51009529999999903</v>
      </c>
      <c r="F2911" t="s">
        <v>38</v>
      </c>
      <c r="G2911">
        <v>-187.4213</v>
      </c>
      <c r="H2911">
        <v>1.009377</v>
      </c>
      <c r="I2911">
        <v>-44.798629999999903</v>
      </c>
      <c r="J2911">
        <v>-187.6044</v>
      </c>
      <c r="K2911">
        <v>1.1090530000000001</v>
      </c>
      <c r="L2911">
        <v>-45.324709999999897</v>
      </c>
      <c r="M2911">
        <v>0.41579319999999997</v>
      </c>
      <c r="N2911">
        <v>0</v>
      </c>
      <c r="O2911">
        <v>0.90937080000000003</v>
      </c>
      <c r="P2911">
        <v>0.32046140000000001</v>
      </c>
      <c r="Q2911">
        <v>0.13689319999999999</v>
      </c>
      <c r="R2911">
        <v>0.93731779999999998</v>
      </c>
      <c r="S2911">
        <v>1.0868229999999901</v>
      </c>
      <c r="T2911">
        <v>-0.355346</v>
      </c>
      <c r="U2911">
        <v>2.8771969999999998</v>
      </c>
      <c r="V2911">
        <v>-0.10041989999999899</v>
      </c>
      <c r="W2911">
        <v>0.14797539999999901</v>
      </c>
      <c r="X2911">
        <v>0.98387959999999997</v>
      </c>
      <c r="Y2911">
        <v>-6.9687239999999998E-2</v>
      </c>
      <c r="Z2911">
        <v>-0.1027691</v>
      </c>
      <c r="AA2911">
        <v>0.99226119999999995</v>
      </c>
      <c r="AB2911">
        <v>29</v>
      </c>
      <c r="AC2911">
        <v>0.18309999999999599</v>
      </c>
      <c r="AD2911">
        <v>-9.9676000000000098E-2</v>
      </c>
      <c r="AE2911">
        <v>0.52607999999999999</v>
      </c>
      <c r="AF2911">
        <v>-5.0618108001895402E-2</v>
      </c>
      <c r="AG2911">
        <v>-9.9676000000000098E-2</v>
      </c>
      <c r="AH2911">
        <v>0.53737154699042</v>
      </c>
      <c r="AI2911">
        <v>100.462967439533</v>
      </c>
      <c r="AJ2911">
        <v>95.381140238373106</v>
      </c>
      <c r="AK2911">
        <v>0.54887674148989796</v>
      </c>
    </row>
    <row r="2912" spans="1:37" x14ac:dyDescent="0.2">
      <c r="A2912" t="str">
        <f>"20200111150648626"</f>
        <v>20200111150648626</v>
      </c>
      <c r="B2912" t="str">
        <f>"1578726408619441"</f>
        <v>1578726408619441</v>
      </c>
      <c r="C2912" t="s">
        <v>37</v>
      </c>
      <c r="D2912">
        <v>5.2866660000000003</v>
      </c>
      <c r="E2912">
        <v>0.52097179999999998</v>
      </c>
      <c r="F2912" t="s">
        <v>39</v>
      </c>
      <c r="G2912">
        <v>-184.1369</v>
      </c>
      <c r="H2912" s="1">
        <v>-3.0774349999999999E-6</v>
      </c>
      <c r="I2912">
        <v>-35.892959999999903</v>
      </c>
      <c r="J2912">
        <v>-187.4992</v>
      </c>
      <c r="K2912">
        <v>1.1090679999999999</v>
      </c>
      <c r="L2912">
        <v>-45.076999999999998</v>
      </c>
      <c r="M2912">
        <v>0.40939599999999998</v>
      </c>
      <c r="N2912">
        <v>0</v>
      </c>
      <c r="O2912">
        <v>0.91226879999999999</v>
      </c>
      <c r="P2912">
        <v>0.31167590000000001</v>
      </c>
      <c r="Q2912">
        <v>0.135765</v>
      </c>
      <c r="R2912">
        <v>0.94043929999999998</v>
      </c>
      <c r="S2912">
        <v>1.061493</v>
      </c>
      <c r="T2912">
        <v>-0.33951049999999999</v>
      </c>
      <c r="U2912">
        <v>2.8872990000000001</v>
      </c>
      <c r="V2912">
        <v>-0.102775399999999</v>
      </c>
      <c r="W2912">
        <v>0.146809</v>
      </c>
      <c r="X2912">
        <v>0.98381109999999905</v>
      </c>
      <c r="Y2912">
        <v>-7.1305339999999995E-2</v>
      </c>
      <c r="Z2912">
        <v>-9.8526089999999997E-2</v>
      </c>
      <c r="AA2912">
        <v>0.99257649999999997</v>
      </c>
      <c r="AB2912">
        <v>29</v>
      </c>
      <c r="AC2912">
        <v>3.3622999999999998</v>
      </c>
      <c r="AD2912">
        <v>-1.1090710774349899</v>
      </c>
      <c r="AE2912">
        <v>9.1840399999999995</v>
      </c>
      <c r="AF2912">
        <v>-0.68384945177798095</v>
      </c>
      <c r="AG2912">
        <v>-1.1090710774349899</v>
      </c>
      <c r="AH2912">
        <v>9.6317483956901206</v>
      </c>
      <c r="AI2912">
        <v>96.552183309823505</v>
      </c>
      <c r="AJ2912">
        <v>94.061157624105505</v>
      </c>
      <c r="AK2912">
        <v>9.7194786838275995</v>
      </c>
    </row>
    <row r="2913" spans="1:37" x14ac:dyDescent="0.2">
      <c r="A2913" t="str">
        <f>"20200111150648647"</f>
        <v>20200111150648647</v>
      </c>
      <c r="B2913" t="str">
        <f>"1578726408638960"</f>
        <v>1578726408638960</v>
      </c>
      <c r="C2913" t="s">
        <v>37</v>
      </c>
      <c r="D2913">
        <v>5.3491849999999896</v>
      </c>
      <c r="E2913">
        <v>0.50803350000000003</v>
      </c>
      <c r="F2913" t="s">
        <v>91</v>
      </c>
      <c r="G2913">
        <v>-169.0676</v>
      </c>
      <c r="H2913">
        <v>12.649789999999999</v>
      </c>
      <c r="I2913">
        <v>1.2613700000000001</v>
      </c>
      <c r="J2913">
        <v>-187.39330000000001</v>
      </c>
      <c r="K2913">
        <v>1.1090879999999901</v>
      </c>
      <c r="L2913">
        <v>-44.822629999999997</v>
      </c>
      <c r="M2913">
        <v>0.40277929999999901</v>
      </c>
      <c r="N2913">
        <v>0</v>
      </c>
      <c r="O2913">
        <v>0.91520939999999995</v>
      </c>
      <c r="P2913">
        <v>0.3029192</v>
      </c>
      <c r="Q2913">
        <v>0.1332207</v>
      </c>
      <c r="R2913">
        <v>0.94365889999999997</v>
      </c>
      <c r="S2913">
        <v>1.0865629999999999</v>
      </c>
      <c r="T2913">
        <v>0.68033549999999998</v>
      </c>
      <c r="U2913">
        <v>2.7316889999999998</v>
      </c>
      <c r="V2913">
        <v>-0.104920899999999</v>
      </c>
      <c r="W2913">
        <v>0.14422939999999901</v>
      </c>
      <c r="X2913">
        <v>0.98396620000000001</v>
      </c>
      <c r="Y2913">
        <v>-4.4571840000000001E-2</v>
      </c>
      <c r="Z2913">
        <v>0.20474529999999999</v>
      </c>
      <c r="AA2913">
        <v>0.9778</v>
      </c>
      <c r="AB2913">
        <v>29</v>
      </c>
      <c r="AC2913">
        <v>18.325700000000001</v>
      </c>
      <c r="AD2913">
        <v>11.540702</v>
      </c>
      <c r="AE2913">
        <v>46.083999999999897</v>
      </c>
      <c r="AF2913">
        <v>-1.69802258977066</v>
      </c>
      <c r="AG2913">
        <v>11.540702</v>
      </c>
      <c r="AH2913">
        <v>47.015755467846198</v>
      </c>
      <c r="AI2913">
        <v>76.217234587479695</v>
      </c>
      <c r="AJ2913">
        <v>92.068397276061205</v>
      </c>
      <c r="AK2913">
        <v>48.441225682062203</v>
      </c>
    </row>
    <row r="2914" spans="1:37" x14ac:dyDescent="0.2">
      <c r="A2914" t="str">
        <f>"20200111150648670"</f>
        <v>20200111150648670</v>
      </c>
      <c r="B2914" t="str">
        <f>"1578726408659457"</f>
        <v>1578726408659457</v>
      </c>
      <c r="C2914" t="s">
        <v>37</v>
      </c>
      <c r="D2914">
        <v>5.1641899999999996</v>
      </c>
      <c r="E2914">
        <v>0.5016273</v>
      </c>
      <c r="F2914" t="s">
        <v>39</v>
      </c>
      <c r="G2914">
        <v>-184.14429999999999</v>
      </c>
      <c r="H2914" s="1">
        <v>-3.3001099999999998E-6</v>
      </c>
      <c r="I2914">
        <v>-35.23283</v>
      </c>
      <c r="J2914">
        <v>-187.2842</v>
      </c>
      <c r="K2914">
        <v>1.109159</v>
      </c>
      <c r="L2914">
        <v>-44.554629999999896</v>
      </c>
      <c r="M2914">
        <v>0.39571859999999998</v>
      </c>
      <c r="N2914">
        <v>0</v>
      </c>
      <c r="O2914">
        <v>0.918284199999999</v>
      </c>
      <c r="P2914">
        <v>0.29271039999999998</v>
      </c>
      <c r="Q2914">
        <v>0.13250120000000001</v>
      </c>
      <c r="R2914">
        <v>0.94697629999999999</v>
      </c>
      <c r="S2914">
        <v>0.98596189999999995</v>
      </c>
      <c r="T2914">
        <v>-0.33656529999999901</v>
      </c>
      <c r="U2914">
        <v>2.910126</v>
      </c>
      <c r="V2914">
        <v>-0.1080251</v>
      </c>
      <c r="W2914">
        <v>0.14345079999999999</v>
      </c>
      <c r="X2914">
        <v>0.98374409999999901</v>
      </c>
      <c r="Y2914">
        <v>-8.1820879999999999E-2</v>
      </c>
      <c r="Z2914">
        <v>-9.8272059999999994E-2</v>
      </c>
      <c r="AA2914">
        <v>0.99179030000000001</v>
      </c>
      <c r="AB2914">
        <v>29</v>
      </c>
      <c r="AC2914">
        <v>3.1399000000000101</v>
      </c>
      <c r="AD2914">
        <v>-1.1091623001099999</v>
      </c>
      <c r="AE2914">
        <v>9.3217999999999908</v>
      </c>
      <c r="AF2914">
        <v>-0.79543986718431803</v>
      </c>
      <c r="AG2914">
        <v>-1.1091623001099999</v>
      </c>
      <c r="AH2914">
        <v>9.6802822866405496</v>
      </c>
      <c r="AI2914">
        <v>96.514652091420999</v>
      </c>
      <c r="AJ2914">
        <v>94.6975060316297</v>
      </c>
      <c r="AK2914">
        <v>9.7760334870201007</v>
      </c>
    </row>
    <row r="2915" spans="1:37" x14ac:dyDescent="0.2">
      <c r="A2915" t="str">
        <f>"20200111150648694"</f>
        <v>20200111150648694</v>
      </c>
      <c r="B2915" t="str">
        <f>"1578726408689713"</f>
        <v>1578726408689713</v>
      </c>
      <c r="C2915" t="s">
        <v>37</v>
      </c>
      <c r="D2915">
        <v>5.2379749999999996</v>
      </c>
      <c r="E2915">
        <v>0.42879420000000001</v>
      </c>
      <c r="F2915" t="s">
        <v>62</v>
      </c>
      <c r="G2915">
        <v>-165.6301</v>
      </c>
      <c r="H2915">
        <v>0.41019259999999902</v>
      </c>
      <c r="I2915">
        <v>25.184899999999999</v>
      </c>
      <c r="J2915">
        <v>-187.17420000000001</v>
      </c>
      <c r="K2915">
        <v>1.109294</v>
      </c>
      <c r="L2915">
        <v>-44.27805</v>
      </c>
      <c r="M2915">
        <v>0.38828020000000002</v>
      </c>
      <c r="N2915">
        <v>0</v>
      </c>
      <c r="O2915">
        <v>0.921454</v>
      </c>
      <c r="P2915">
        <v>0.28373290000000001</v>
      </c>
      <c r="Q2915">
        <v>0.1360693</v>
      </c>
      <c r="R2915">
        <v>0.94920009999999999</v>
      </c>
      <c r="S2915">
        <v>0.89866639999999998</v>
      </c>
      <c r="T2915">
        <v>-2.9007789999999999E-2</v>
      </c>
      <c r="U2915">
        <v>2.8942570000000001</v>
      </c>
      <c r="V2915">
        <v>-0.1092771</v>
      </c>
      <c r="W2915">
        <v>0.14697550000000001</v>
      </c>
      <c r="X2915">
        <v>0.98308530000000005</v>
      </c>
      <c r="Y2915">
        <v>-9.7593310000000003E-2</v>
      </c>
      <c r="Z2915">
        <v>-8.6384619999999995E-3</v>
      </c>
      <c r="AA2915">
        <v>0.99518890000000004</v>
      </c>
      <c r="AB2915">
        <v>29</v>
      </c>
      <c r="AC2915">
        <v>21.5441</v>
      </c>
      <c r="AD2915">
        <v>-0.69910139999999998</v>
      </c>
      <c r="AE2915">
        <v>69.462950000000006</v>
      </c>
      <c r="AF2915">
        <v>-7.1191063775166903</v>
      </c>
      <c r="AG2915">
        <v>-0.69910139999999998</v>
      </c>
      <c r="AH2915">
        <v>72.371200361956099</v>
      </c>
      <c r="AI2915">
        <v>90.550798209945398</v>
      </c>
      <c r="AJ2915">
        <v>95.618072737128003</v>
      </c>
      <c r="AK2915">
        <v>72.723868572926406</v>
      </c>
    </row>
    <row r="2916" spans="1:37" x14ac:dyDescent="0.2">
      <c r="A2916" t="str">
        <f>"20200111150648717"</f>
        <v>20200111150648717</v>
      </c>
      <c r="B2916" t="str">
        <f>"1578726408709233"</f>
        <v>1578726408709233</v>
      </c>
      <c r="C2916" t="s">
        <v>37</v>
      </c>
      <c r="D2916">
        <v>5.215071</v>
      </c>
      <c r="E2916">
        <v>0.42412050000000001</v>
      </c>
      <c r="F2916" t="s">
        <v>106</v>
      </c>
      <c r="G2916">
        <v>-173.2107</v>
      </c>
      <c r="H2916">
        <v>5.1213519999999999</v>
      </c>
      <c r="I2916">
        <v>92.473339999999993</v>
      </c>
      <c r="J2916">
        <v>-187.06829999999999</v>
      </c>
      <c r="K2916">
        <v>1.1094539999999999</v>
      </c>
      <c r="L2916">
        <v>-44.004179999999998</v>
      </c>
      <c r="M2916">
        <v>0.38070379999999998</v>
      </c>
      <c r="N2916">
        <v>0</v>
      </c>
      <c r="O2916">
        <v>0.92460980000000004</v>
      </c>
      <c r="P2916">
        <v>0.27692899999999998</v>
      </c>
      <c r="Q2916">
        <v>0.13760600000000001</v>
      </c>
      <c r="R2916">
        <v>0.95098629999999995</v>
      </c>
      <c r="S2916">
        <v>0.31188959999999999</v>
      </c>
      <c r="T2916">
        <v>8.9613680000000001E-2</v>
      </c>
      <c r="U2916">
        <v>3.0544739999999999</v>
      </c>
      <c r="V2916">
        <v>-0.10823720000000001</v>
      </c>
      <c r="W2916">
        <v>0.14850260000000001</v>
      </c>
      <c r="X2916">
        <v>0.98297080000000003</v>
      </c>
      <c r="Y2916">
        <v>-0.28486659999999903</v>
      </c>
      <c r="Z2916">
        <v>2.5362010000000001E-2</v>
      </c>
      <c r="AA2916">
        <v>0.95823159999999896</v>
      </c>
      <c r="AB2916">
        <v>29</v>
      </c>
      <c r="AC2916">
        <v>13.8575999999999</v>
      </c>
      <c r="AD2916">
        <v>4.0118980000000004</v>
      </c>
      <c r="AE2916">
        <v>136.47752</v>
      </c>
      <c r="AF2916">
        <v>-39.114340946330501</v>
      </c>
      <c r="AG2916">
        <v>4.0118980000000004</v>
      </c>
      <c r="AH2916">
        <v>131.36234421130899</v>
      </c>
      <c r="AI2916">
        <v>88.323392499312206</v>
      </c>
      <c r="AJ2916">
        <v>106.581381970699</v>
      </c>
      <c r="AK2916">
        <v>137.12072224838499</v>
      </c>
    </row>
    <row r="2917" spans="1:37" x14ac:dyDescent="0.2">
      <c r="A2917" t="str">
        <f>"20200111150648736"</f>
        <v>20200111150648736</v>
      </c>
      <c r="B2917" t="str">
        <f>"1578726408729728"</f>
        <v>1578726408729728</v>
      </c>
      <c r="C2917" t="s">
        <v>37</v>
      </c>
      <c r="D2917">
        <v>5.0706249999999997</v>
      </c>
      <c r="E2917">
        <v>0.4215853</v>
      </c>
      <c r="F2917" t="s">
        <v>39</v>
      </c>
      <c r="G2917">
        <v>-176.9263</v>
      </c>
      <c r="H2917">
        <v>7.998661E-2</v>
      </c>
      <c r="I2917">
        <v>78.461789999999993</v>
      </c>
      <c r="J2917">
        <v>-186.9777</v>
      </c>
      <c r="K2917">
        <v>1.1095979999999901</v>
      </c>
      <c r="L2917">
        <v>-43.764279999999999</v>
      </c>
      <c r="M2917">
        <v>0.37390759999999901</v>
      </c>
      <c r="N2917">
        <v>0</v>
      </c>
      <c r="O2917">
        <v>0.9273787</v>
      </c>
      <c r="P2917">
        <v>0.2729087</v>
      </c>
      <c r="Q2917">
        <v>0.13681379999999899</v>
      </c>
      <c r="R2917">
        <v>0.95226189999999999</v>
      </c>
      <c r="S2917">
        <v>0.25540160000000001</v>
      </c>
      <c r="T2917">
        <v>-2.5924679999999999E-2</v>
      </c>
      <c r="U2917">
        <v>3.084015</v>
      </c>
      <c r="V2917">
        <v>-0.10525229999999999</v>
      </c>
      <c r="W2917">
        <v>0.1477415</v>
      </c>
      <c r="X2917">
        <v>0.98340959999999999</v>
      </c>
      <c r="Y2917">
        <v>-0.29611949999999998</v>
      </c>
      <c r="Z2917">
        <v>-7.2950130000000004E-3</v>
      </c>
      <c r="AA2917">
        <v>0.9551231</v>
      </c>
      <c r="AB2917">
        <v>29</v>
      </c>
      <c r="AC2917">
        <v>10.051399999999999</v>
      </c>
      <c r="AD2917">
        <v>-1.0296113899999999</v>
      </c>
      <c r="AE2917">
        <v>122.22607000000001</v>
      </c>
      <c r="AF2917">
        <v>-36.380182453236003</v>
      </c>
      <c r="AG2917">
        <v>-1.0296113899999999</v>
      </c>
      <c r="AH2917">
        <v>117.109372721337</v>
      </c>
      <c r="AI2917">
        <v>90.481048596258503</v>
      </c>
      <c r="AJ2917">
        <v>107.257476527587</v>
      </c>
      <c r="AK2917">
        <v>122.634346551568</v>
      </c>
    </row>
    <row r="2918" spans="1:37" x14ac:dyDescent="0.2">
      <c r="A2918" t="str">
        <f>"20200111150648760"</f>
        <v>20200111150648760</v>
      </c>
      <c r="B2918" t="str">
        <f>"1578726408749249"</f>
        <v>1578726408749249</v>
      </c>
      <c r="C2918" t="s">
        <v>37</v>
      </c>
      <c r="D2918">
        <v>5.19712</v>
      </c>
      <c r="E2918">
        <v>0.4207166</v>
      </c>
      <c r="F2918" t="s">
        <v>39</v>
      </c>
      <c r="G2918">
        <v>-184.2467</v>
      </c>
      <c r="H2918" s="1">
        <v>-2.9537189999999899E-6</v>
      </c>
      <c r="I2918">
        <v>-6.170598</v>
      </c>
      <c r="J2918">
        <v>-186.8708</v>
      </c>
      <c r="K2918">
        <v>1.109799</v>
      </c>
      <c r="L2918">
        <v>-43.473019999999998</v>
      </c>
      <c r="M2918">
        <v>0.3653865</v>
      </c>
      <c r="N2918">
        <v>0</v>
      </c>
      <c r="O2918">
        <v>0.9307687</v>
      </c>
      <c r="P2918">
        <v>0.26547520000000002</v>
      </c>
      <c r="Q2918">
        <v>0.13818710000000001</v>
      </c>
      <c r="R2918">
        <v>0.95416309999999904</v>
      </c>
      <c r="S2918">
        <v>0.2251282</v>
      </c>
      <c r="T2918">
        <v>-9.1469759999999997E-2</v>
      </c>
      <c r="U2918">
        <v>3.09903</v>
      </c>
      <c r="V2918">
        <v>-0.1039176</v>
      </c>
      <c r="W2918">
        <v>0.14910899999999999</v>
      </c>
      <c r="X2918">
        <v>0.98334519999999903</v>
      </c>
      <c r="Y2918">
        <v>-0.29703459999999998</v>
      </c>
      <c r="Z2918">
        <v>-2.5757059999999998E-2</v>
      </c>
      <c r="AA2918">
        <v>0.95451929999999996</v>
      </c>
      <c r="AB2918">
        <v>29</v>
      </c>
      <c r="AC2918">
        <v>2.6240999999999901</v>
      </c>
      <c r="AD2918">
        <v>-1.109801953719</v>
      </c>
      <c r="AE2918">
        <v>37.302422</v>
      </c>
      <c r="AF2918">
        <v>-11.178433551697999</v>
      </c>
      <c r="AG2918">
        <v>-1.109801953719</v>
      </c>
      <c r="AH2918">
        <v>35.65023339535</v>
      </c>
      <c r="AI2918">
        <v>91.701428965225503</v>
      </c>
      <c r="AJ2918">
        <v>107.409259635236</v>
      </c>
      <c r="AK2918">
        <v>37.378177833986797</v>
      </c>
    </row>
    <row r="2919" spans="1:37" x14ac:dyDescent="0.2">
      <c r="A2919" t="str">
        <f>"20200111150648784"</f>
        <v>20200111150648784</v>
      </c>
      <c r="B2919" t="str">
        <f>"1578726408779505"</f>
        <v>1578726408779505</v>
      </c>
      <c r="C2919" t="s">
        <v>37</v>
      </c>
      <c r="D2919">
        <v>5.1351699999999996</v>
      </c>
      <c r="E2919">
        <v>0.42090100000000003</v>
      </c>
      <c r="F2919" t="s">
        <v>39</v>
      </c>
      <c r="G2919">
        <v>-185.03049999999999</v>
      </c>
      <c r="H2919" s="1">
        <v>-3.429909E-6</v>
      </c>
      <c r="I2919">
        <v>-14.42681</v>
      </c>
      <c r="J2919">
        <v>-186.77289999999999</v>
      </c>
      <c r="K2919">
        <v>1.1100110000000001</v>
      </c>
      <c r="L2919">
        <v>-43.197940000000003</v>
      </c>
      <c r="M2919">
        <v>0.3570218</v>
      </c>
      <c r="N2919">
        <v>0</v>
      </c>
      <c r="O2919">
        <v>0.93400879999999997</v>
      </c>
      <c r="P2919">
        <v>0.25755739999999999</v>
      </c>
      <c r="Q2919">
        <v>0.13982510000000001</v>
      </c>
      <c r="R2919">
        <v>0.95609270000000002</v>
      </c>
      <c r="S2919">
        <v>0.1968231</v>
      </c>
      <c r="T2919">
        <v>-0.1186951</v>
      </c>
      <c r="U2919">
        <v>3.1065369999999999</v>
      </c>
      <c r="V2919">
        <v>-0.103265</v>
      </c>
      <c r="W2919">
        <v>0.15072929999999901</v>
      </c>
      <c r="X2919">
        <v>0.98316680000000001</v>
      </c>
      <c r="Y2919">
        <v>-0.29730529999999999</v>
      </c>
      <c r="Z2919">
        <v>-3.3524190000000002E-2</v>
      </c>
      <c r="AA2919">
        <v>0.95419370000000003</v>
      </c>
      <c r="AB2919">
        <v>29</v>
      </c>
      <c r="AC2919">
        <v>1.7423999999999999</v>
      </c>
      <c r="AD2919">
        <v>-1.110014429909</v>
      </c>
      <c r="AE2919">
        <v>28.771129999999999</v>
      </c>
      <c r="AF2919">
        <v>-8.6324060603661295</v>
      </c>
      <c r="AG2919">
        <v>-1.110014429909</v>
      </c>
      <c r="AH2919">
        <v>27.456085880332498</v>
      </c>
      <c r="AI2919">
        <v>92.208654550445502</v>
      </c>
      <c r="AJ2919">
        <v>107.45355153042399</v>
      </c>
      <c r="AK2919">
        <v>28.802555759755901</v>
      </c>
    </row>
    <row r="2920" spans="1:37" x14ac:dyDescent="0.2">
      <c r="A2920" t="str">
        <f>"20200111150648804"</f>
        <v>20200111150648804</v>
      </c>
      <c r="B2920" t="str">
        <f>"1578726408799025"</f>
        <v>1578726408799025</v>
      </c>
      <c r="C2920" t="s">
        <v>37</v>
      </c>
      <c r="D2920">
        <v>5.1453540000000002</v>
      </c>
      <c r="E2920">
        <v>0.42145260000000001</v>
      </c>
      <c r="F2920" t="s">
        <v>39</v>
      </c>
      <c r="G2920">
        <v>-185.435</v>
      </c>
      <c r="H2920" s="1">
        <v>-1.6239619999999901E-6</v>
      </c>
      <c r="I2920">
        <v>-19.149090000000001</v>
      </c>
      <c r="J2920">
        <v>-186.6866</v>
      </c>
      <c r="K2920">
        <v>1.110222</v>
      </c>
      <c r="L2920">
        <v>-42.947850000000003</v>
      </c>
      <c r="M2920">
        <v>0.34911110000000001</v>
      </c>
      <c r="N2920">
        <v>0</v>
      </c>
      <c r="O2920">
        <v>0.93699390000000005</v>
      </c>
      <c r="P2920">
        <v>0.249386</v>
      </c>
      <c r="Q2920">
        <v>0.13969679999999901</v>
      </c>
      <c r="R2920">
        <v>0.95827530000000005</v>
      </c>
      <c r="S2920">
        <v>0.1731415</v>
      </c>
      <c r="T2920">
        <v>-0.14364489999999999</v>
      </c>
      <c r="U2920">
        <v>3.1121219999999998</v>
      </c>
      <c r="V2920">
        <v>-0.1034311</v>
      </c>
      <c r="W2920">
        <v>0.15057379999999901</v>
      </c>
      <c r="X2920">
        <v>0.98317319999999997</v>
      </c>
      <c r="Y2920">
        <v>-0.29658809999999902</v>
      </c>
      <c r="Z2920">
        <v>-4.0702670000000003E-2</v>
      </c>
      <c r="AA2920">
        <v>0.95413769999999998</v>
      </c>
      <c r="AB2920">
        <v>29</v>
      </c>
      <c r="AC2920">
        <v>1.2515999999999901</v>
      </c>
      <c r="AD2920">
        <v>-1.110223623962</v>
      </c>
      <c r="AE2920">
        <v>23.798760000000001</v>
      </c>
      <c r="AF2920">
        <v>-7.1208004309007897</v>
      </c>
      <c r="AG2920">
        <v>-1.110223623962</v>
      </c>
      <c r="AH2920">
        <v>22.688862694145001</v>
      </c>
      <c r="AI2920">
        <v>92.6730388780026</v>
      </c>
      <c r="AJ2920">
        <v>107.424237344815</v>
      </c>
      <c r="AK2920">
        <v>23.8059422335199</v>
      </c>
    </row>
    <row r="2921" spans="1:37" x14ac:dyDescent="0.2">
      <c r="A2921" t="str">
        <f>"20200111150648826"</f>
        <v>20200111150648826</v>
      </c>
      <c r="B2921" t="str">
        <f>"1578726408819521"</f>
        <v>1578726408819521</v>
      </c>
      <c r="C2921" t="s">
        <v>37</v>
      </c>
      <c r="D2921">
        <v>5.2170940000000003</v>
      </c>
      <c r="E2921">
        <v>0.42200649999999901</v>
      </c>
      <c r="F2921" t="s">
        <v>39</v>
      </c>
      <c r="G2921">
        <v>-185.58619999999999</v>
      </c>
      <c r="H2921" s="1">
        <v>-1.2608639999999999E-6</v>
      </c>
      <c r="I2921">
        <v>-20.097819999999999</v>
      </c>
      <c r="J2921">
        <v>-186.59790000000001</v>
      </c>
      <c r="K2921">
        <v>1.1104849999999999</v>
      </c>
      <c r="L2921">
        <v>-42.682099999999998</v>
      </c>
      <c r="M2921">
        <v>0.34036090000000002</v>
      </c>
      <c r="N2921">
        <v>0</v>
      </c>
      <c r="O2921">
        <v>0.94020720000000002</v>
      </c>
      <c r="P2921">
        <v>0.23914749999999901</v>
      </c>
      <c r="Q2921">
        <v>0.141429799999999</v>
      </c>
      <c r="R2921">
        <v>0.96062800000000004</v>
      </c>
      <c r="S2921">
        <v>0.1499481</v>
      </c>
      <c r="T2921">
        <v>-0.15128549999999999</v>
      </c>
      <c r="U2921">
        <v>3.11367799999999</v>
      </c>
      <c r="V2921">
        <v>-0.1047999</v>
      </c>
      <c r="W2921">
        <v>0.15225179999999999</v>
      </c>
      <c r="X2921">
        <v>0.98276969999999997</v>
      </c>
      <c r="Y2921">
        <v>-0.294803599999999</v>
      </c>
      <c r="Z2921">
        <v>-4.3093890000000003E-2</v>
      </c>
      <c r="AA2921">
        <v>0.95458569999999998</v>
      </c>
      <c r="AB2921">
        <v>29</v>
      </c>
      <c r="AC2921">
        <v>1.01170000000001</v>
      </c>
      <c r="AD2921">
        <v>-1.110486260864</v>
      </c>
      <c r="AE2921">
        <v>22.58428</v>
      </c>
      <c r="AF2921">
        <v>-6.7199389031059802</v>
      </c>
      <c r="AG2921">
        <v>-1.110486260864</v>
      </c>
      <c r="AH2921">
        <v>21.5280793323866</v>
      </c>
      <c r="AI2921">
        <v>92.818968882868305</v>
      </c>
      <c r="AJ2921">
        <v>107.33562958554199</v>
      </c>
      <c r="AK2921">
        <v>22.579835215044799</v>
      </c>
    </row>
    <row r="2922" spans="1:37" x14ac:dyDescent="0.2">
      <c r="A2922" t="str">
        <f>"20200111150648850"</f>
        <v>20200111150648850</v>
      </c>
      <c r="B2922" t="str">
        <f>"1578726408839041"</f>
        <v>1578726408839041</v>
      </c>
      <c r="C2922" t="s">
        <v>37</v>
      </c>
      <c r="D2922">
        <v>5.1385839999999998</v>
      </c>
      <c r="E2922">
        <v>0.42229229999999901</v>
      </c>
      <c r="F2922" t="s">
        <v>39</v>
      </c>
      <c r="G2922">
        <v>-185.71180000000001</v>
      </c>
      <c r="H2922" s="1">
        <v>-1.305015E-6</v>
      </c>
      <c r="I2922">
        <v>-19.86994</v>
      </c>
      <c r="J2922">
        <v>-186.5042</v>
      </c>
      <c r="K2922">
        <v>1.110808</v>
      </c>
      <c r="L2922">
        <v>-42.391269999999999</v>
      </c>
      <c r="M2922">
        <v>0.33037539999999999</v>
      </c>
      <c r="N2922">
        <v>0</v>
      </c>
      <c r="O2922">
        <v>0.94376159999999998</v>
      </c>
      <c r="P2922">
        <v>0.22711300000000001</v>
      </c>
      <c r="Q2922">
        <v>0.14341470000000001</v>
      </c>
      <c r="R2922">
        <v>0.96325070000000002</v>
      </c>
      <c r="S2922">
        <v>0.121002199999999</v>
      </c>
      <c r="T2922">
        <v>-0.1516438</v>
      </c>
      <c r="U2922">
        <v>3.1151430000000002</v>
      </c>
      <c r="V2922">
        <v>-0.10673439999999999</v>
      </c>
      <c r="W2922">
        <v>0.15416669999999999</v>
      </c>
      <c r="X2922">
        <v>0.98226290000000005</v>
      </c>
      <c r="Y2922">
        <v>-0.29354970000000002</v>
      </c>
      <c r="Z2922">
        <v>-4.3449370000000001E-2</v>
      </c>
      <c r="AA2922">
        <v>0.95495589999999997</v>
      </c>
      <c r="AB2922">
        <v>29</v>
      </c>
      <c r="AC2922">
        <v>0.792399999999986</v>
      </c>
      <c r="AD2922">
        <v>-1.1108093050150001</v>
      </c>
      <c r="AE2922">
        <v>22.521329999999999</v>
      </c>
      <c r="AF2922">
        <v>-6.6769896162610003</v>
      </c>
      <c r="AG2922">
        <v>-1.1108093050150001</v>
      </c>
      <c r="AH2922">
        <v>21.4661869632614</v>
      </c>
      <c r="AI2922">
        <v>92.828787416944905</v>
      </c>
      <c r="AJ2922">
        <v>107.278140805794</v>
      </c>
      <c r="AK2922">
        <v>22.508071227660999</v>
      </c>
    </row>
    <row r="2923" spans="1:37" x14ac:dyDescent="0.2">
      <c r="A2923" t="str">
        <f>"20200111150648874"</f>
        <v>20200111150648874</v>
      </c>
      <c r="B2923" t="str">
        <f>"1578726408869297"</f>
        <v>1578726408869297</v>
      </c>
      <c r="C2923" t="s">
        <v>37</v>
      </c>
      <c r="D2923">
        <v>5.1529109999999996</v>
      </c>
      <c r="E2923">
        <v>0.42277879999999901</v>
      </c>
      <c r="F2923" t="s">
        <v>39</v>
      </c>
      <c r="G2923">
        <v>-185.88550000000001</v>
      </c>
      <c r="H2923" s="1">
        <v>-1.3814889999999999E-6</v>
      </c>
      <c r="I2923">
        <v>-19.509329999999999</v>
      </c>
      <c r="J2923">
        <v>-186.4204</v>
      </c>
      <c r="K2923">
        <v>1.1111180000000001</v>
      </c>
      <c r="L2923">
        <v>-42.120150000000002</v>
      </c>
      <c r="M2923">
        <v>0.32065729999999998</v>
      </c>
      <c r="N2923">
        <v>0</v>
      </c>
      <c r="O2923">
        <v>0.94710689999999997</v>
      </c>
      <c r="P2923">
        <v>0.21659110000000001</v>
      </c>
      <c r="Q2923">
        <v>0.14411669999999999</v>
      </c>
      <c r="R2923">
        <v>0.96556649999999999</v>
      </c>
      <c r="S2923">
        <v>8.4274290000000002E-2</v>
      </c>
      <c r="T2923">
        <v>-0.15132019999999999</v>
      </c>
      <c r="U2923">
        <v>3.1170960000000001</v>
      </c>
      <c r="V2923">
        <v>-0.10744819999999999</v>
      </c>
      <c r="W2923">
        <v>0.1548272</v>
      </c>
      <c r="X2923">
        <v>0.98208119999999999</v>
      </c>
      <c r="Y2923">
        <v>-0.29498649999999998</v>
      </c>
      <c r="Z2923">
        <v>-4.3567389999999998E-2</v>
      </c>
      <c r="AA2923">
        <v>0.95450759999999901</v>
      </c>
      <c r="AB2923">
        <v>29</v>
      </c>
      <c r="AC2923">
        <v>0.53489999999999305</v>
      </c>
      <c r="AD2923">
        <v>-1.1111193814889999</v>
      </c>
      <c r="AE2923">
        <v>22.61082</v>
      </c>
      <c r="AF2923">
        <v>-6.7280435066602298</v>
      </c>
      <c r="AG2923">
        <v>-1.1111193814889999</v>
      </c>
      <c r="AH2923">
        <v>21.5362129309636</v>
      </c>
      <c r="AI2923">
        <v>92.819302951617303</v>
      </c>
      <c r="AJ2923">
        <v>107.34912118578001</v>
      </c>
      <c r="AK2923">
        <v>22.5900337121315</v>
      </c>
    </row>
    <row r="2924" spans="1:37" x14ac:dyDescent="0.2">
      <c r="A2924" t="str">
        <f>"20200111150648897"</f>
        <v>20200111150648897</v>
      </c>
      <c r="B2924" t="str">
        <f>"1578726408889793"</f>
        <v>1578726408889793</v>
      </c>
      <c r="C2924" t="s">
        <v>37</v>
      </c>
      <c r="D2924">
        <v>5.1933119999999997</v>
      </c>
      <c r="E2924">
        <v>0.4235911</v>
      </c>
      <c r="F2924" t="s">
        <v>39</v>
      </c>
      <c r="G2924">
        <v>-186.03380000000001</v>
      </c>
      <c r="H2924" s="1">
        <v>-1.2592510000000001E-6</v>
      </c>
      <c r="I2924">
        <v>-19.752610000000001</v>
      </c>
      <c r="J2924">
        <v>-186.33359999999999</v>
      </c>
      <c r="K2924">
        <v>1.1114469999999901</v>
      </c>
      <c r="L2924">
        <v>-41.825159999999997</v>
      </c>
      <c r="M2924">
        <v>0.30962259999999903</v>
      </c>
      <c r="N2924">
        <v>0</v>
      </c>
      <c r="O2924">
        <v>0.95077069999999997</v>
      </c>
      <c r="P2924">
        <v>0.20629020000000001</v>
      </c>
      <c r="Q2924">
        <v>0.14384839999999999</v>
      </c>
      <c r="R2924">
        <v>0.96785949999999998</v>
      </c>
      <c r="S2924">
        <v>5.3894039999999997E-2</v>
      </c>
      <c r="T2924">
        <v>-0.1548889</v>
      </c>
      <c r="U2924">
        <v>3.1180110000000001</v>
      </c>
      <c r="V2924">
        <v>-0.1066188</v>
      </c>
      <c r="W2924">
        <v>0.15455350000000001</v>
      </c>
      <c r="X2924">
        <v>0.982214699999999</v>
      </c>
      <c r="Y2924">
        <v>-0.29317949999999998</v>
      </c>
      <c r="Z2924">
        <v>-4.4868039999999998E-2</v>
      </c>
      <c r="AA2924">
        <v>0.95500399999999996</v>
      </c>
      <c r="AB2924">
        <v>29</v>
      </c>
      <c r="AC2924">
        <v>0.29979999999997597</v>
      </c>
      <c r="AD2924">
        <v>-1.11144825925099</v>
      </c>
      <c r="AE2924">
        <v>22.07255</v>
      </c>
      <c r="AF2924">
        <v>-6.5331104552159598</v>
      </c>
      <c r="AG2924">
        <v>-1.11144825925099</v>
      </c>
      <c r="AH2924">
        <v>21.027233296884901</v>
      </c>
      <c r="AI2924">
        <v>92.889684648428002</v>
      </c>
      <c r="AJ2924">
        <v>107.259893065699</v>
      </c>
      <c r="AK2924">
        <v>22.046799984911001</v>
      </c>
    </row>
    <row r="2925" spans="1:37" x14ac:dyDescent="0.2">
      <c r="A2925" t="str">
        <f>"20200111150648919"</f>
        <v>20200111150648919</v>
      </c>
      <c r="B2925" t="str">
        <f>"1578726408909313"</f>
        <v>1578726408909313</v>
      </c>
      <c r="C2925" t="s">
        <v>37</v>
      </c>
      <c r="D2925">
        <v>5.1542820000000003</v>
      </c>
      <c r="E2925">
        <v>0.42411599999999999</v>
      </c>
      <c r="F2925" t="s">
        <v>39</v>
      </c>
      <c r="G2925">
        <v>-186.13800000000001</v>
      </c>
      <c r="H2925" s="1">
        <v>-1.2887389999999899E-6</v>
      </c>
      <c r="I2925">
        <v>-19.584479999999999</v>
      </c>
      <c r="J2925">
        <v>-186.25880000000001</v>
      </c>
      <c r="K2925">
        <v>1.111713</v>
      </c>
      <c r="L2925">
        <v>-41.559750000000001</v>
      </c>
      <c r="M2925">
        <v>0.29937540000000001</v>
      </c>
      <c r="N2925">
        <v>0</v>
      </c>
      <c r="O2925">
        <v>0.95404619999999996</v>
      </c>
      <c r="P2925">
        <v>0.1991386</v>
      </c>
      <c r="Q2925">
        <v>0.1461962</v>
      </c>
      <c r="R2925">
        <v>0.96900489999999995</v>
      </c>
      <c r="S2925">
        <v>2.7404789999999998E-2</v>
      </c>
      <c r="T2925">
        <v>-0.15576499999999999</v>
      </c>
      <c r="U2925">
        <v>3.116943</v>
      </c>
      <c r="V2925">
        <v>-0.1033366</v>
      </c>
      <c r="W2925">
        <v>0.15695479999999901</v>
      </c>
      <c r="X2925">
        <v>0.98218459999999996</v>
      </c>
      <c r="Y2925">
        <v>-0.29100199999999998</v>
      </c>
      <c r="Z2925">
        <v>-4.5399080000000001E-2</v>
      </c>
      <c r="AA2925">
        <v>0.95564470000000001</v>
      </c>
      <c r="AB2925">
        <v>29</v>
      </c>
      <c r="AC2925">
        <v>0.120800000000002</v>
      </c>
      <c r="AD2925">
        <v>-1.1117142887389999</v>
      </c>
      <c r="AE2925">
        <v>21.975269999999998</v>
      </c>
      <c r="AF2925">
        <v>-6.4476557842491902</v>
      </c>
      <c r="AG2925">
        <v>-1.1117142887389999</v>
      </c>
      <c r="AH2925">
        <v>20.949760340660099</v>
      </c>
      <c r="AI2925">
        <v>92.903441632293607</v>
      </c>
      <c r="AJ2925">
        <v>107.106665532297</v>
      </c>
      <c r="AK2925">
        <v>21.947679424099601</v>
      </c>
    </row>
    <row r="2926" spans="1:37" x14ac:dyDescent="0.2">
      <c r="A2926" t="str">
        <f>"20200111150648939"</f>
        <v>20200111150648939</v>
      </c>
      <c r="B2926" t="str">
        <f>"1578726408929810"</f>
        <v>1578726408929810</v>
      </c>
      <c r="C2926" t="s">
        <v>37</v>
      </c>
      <c r="D2926">
        <v>5.1603159999999999</v>
      </c>
      <c r="E2926">
        <v>0.42477559999999898</v>
      </c>
      <c r="F2926" t="s">
        <v>39</v>
      </c>
      <c r="G2926">
        <v>-186.203</v>
      </c>
      <c r="H2926" s="1">
        <v>-1.566763E-6</v>
      </c>
      <c r="I2926">
        <v>-18.71668</v>
      </c>
      <c r="J2926">
        <v>-186.18979999999999</v>
      </c>
      <c r="K2926">
        <v>1.1119410000000001</v>
      </c>
      <c r="L2926">
        <v>-41.303379999999997</v>
      </c>
      <c r="M2926">
        <v>0.28920050000000003</v>
      </c>
      <c r="N2926">
        <v>0</v>
      </c>
      <c r="O2926">
        <v>0.957179</v>
      </c>
      <c r="P2926">
        <v>0.19324249999999901</v>
      </c>
      <c r="Q2926">
        <v>0.14864369999999999</v>
      </c>
      <c r="R2926">
        <v>0.96982599999999997</v>
      </c>
      <c r="S2926">
        <v>7.6141359999999996E-3</v>
      </c>
      <c r="T2926">
        <v>-0.1517115</v>
      </c>
      <c r="U2926">
        <v>3.1173099999999998</v>
      </c>
      <c r="V2926">
        <v>-9.8871890000000004E-2</v>
      </c>
      <c r="W2926">
        <v>0.159488299999999</v>
      </c>
      <c r="X2926">
        <v>0.98223609999999995</v>
      </c>
      <c r="Y2926">
        <v>-0.28688150000000001</v>
      </c>
      <c r="Z2926">
        <v>-4.4473510000000001E-2</v>
      </c>
      <c r="AA2926">
        <v>0.95693320000000004</v>
      </c>
      <c r="AB2926">
        <v>29</v>
      </c>
      <c r="AC2926">
        <v>-1.32000000000118E-2</v>
      </c>
      <c r="AD2926">
        <v>-1.1119425667630001</v>
      </c>
      <c r="AE2926">
        <v>22.5867</v>
      </c>
      <c r="AF2926">
        <v>-6.5294560392638097</v>
      </c>
      <c r="AG2926">
        <v>-1.1119425667630001</v>
      </c>
      <c r="AH2926">
        <v>21.565285139567798</v>
      </c>
      <c r="AI2926">
        <v>92.825213201885902</v>
      </c>
      <c r="AJ2926">
        <v>106.845065592113</v>
      </c>
      <c r="AK2926">
        <v>22.5595154112698</v>
      </c>
    </row>
    <row r="2927" spans="1:37" x14ac:dyDescent="0.2">
      <c r="A2927" t="str">
        <f>"20200111150648962"</f>
        <v>20200111150648962</v>
      </c>
      <c r="B2927" t="str">
        <f>"1578726408959088"</f>
        <v>1578726408959088</v>
      </c>
      <c r="C2927" t="s">
        <v>37</v>
      </c>
      <c r="D2927">
        <v>5.2183580000000003</v>
      </c>
      <c r="E2927">
        <v>0.42554599999999998</v>
      </c>
      <c r="F2927" t="s">
        <v>39</v>
      </c>
      <c r="G2927">
        <v>-186.24770000000001</v>
      </c>
      <c r="H2927" s="1">
        <v>-1.8838479999999999E-6</v>
      </c>
      <c r="I2927">
        <v>-17.75001</v>
      </c>
      <c r="J2927">
        <v>-186.1215</v>
      </c>
      <c r="K2927">
        <v>1.11216</v>
      </c>
      <c r="L2927">
        <v>-41.037320000000001</v>
      </c>
      <c r="M2927">
        <v>0.27836569999999999</v>
      </c>
      <c r="N2927">
        <v>0</v>
      </c>
      <c r="O2927">
        <v>0.96038519999999905</v>
      </c>
      <c r="P2927">
        <v>0.18503639999999999</v>
      </c>
      <c r="Q2927">
        <v>0.15123329999999999</v>
      </c>
      <c r="R2927">
        <v>0.97102520000000003</v>
      </c>
      <c r="S2927">
        <v>-7.6599119999999996E-3</v>
      </c>
      <c r="T2927">
        <v>-0.147171</v>
      </c>
      <c r="U2927">
        <v>3.1174009999999899</v>
      </c>
      <c r="V2927">
        <v>-9.6098520000000007E-2</v>
      </c>
      <c r="W2927">
        <v>0.16213229999999901</v>
      </c>
      <c r="X2927">
        <v>0.98207849999999997</v>
      </c>
      <c r="Y2927">
        <v>-0.2807402</v>
      </c>
      <c r="Z2927">
        <v>-4.341308E-2</v>
      </c>
      <c r="AA2927">
        <v>0.95880140000000003</v>
      </c>
      <c r="AB2927">
        <v>29</v>
      </c>
      <c r="AC2927">
        <v>-0.126200000000011</v>
      </c>
      <c r="AD2927">
        <v>-1.1121618838480001</v>
      </c>
      <c r="AE2927">
        <v>23.287310000000002</v>
      </c>
      <c r="AF2927">
        <v>-6.5891312003437097</v>
      </c>
      <c r="AG2927">
        <v>-1.1121618838480001</v>
      </c>
      <c r="AH2927">
        <v>22.280770028580498</v>
      </c>
      <c r="AI2927">
        <v>92.740456961485293</v>
      </c>
      <c r="AJ2927">
        <v>106.474621431982</v>
      </c>
      <c r="AK2927">
        <v>23.261261081414201</v>
      </c>
    </row>
    <row r="2928" spans="1:37" x14ac:dyDescent="0.2">
      <c r="A2928" t="str">
        <f>"20200111150648985"</f>
        <v>20200111150648985</v>
      </c>
      <c r="B2928" t="str">
        <f>"1578726408979585"</f>
        <v>1578726408979585</v>
      </c>
      <c r="C2928" t="s">
        <v>37</v>
      </c>
      <c r="D2928">
        <v>5.1948879999999997</v>
      </c>
      <c r="E2928">
        <v>0.42615049999999999</v>
      </c>
      <c r="F2928" t="s">
        <v>39</v>
      </c>
      <c r="G2928">
        <v>-186.3278</v>
      </c>
      <c r="H2928" s="1">
        <v>-2.0874000000000001E-6</v>
      </c>
      <c r="I2928">
        <v>-17.089200000000002</v>
      </c>
      <c r="J2928">
        <v>-186.05119999999999</v>
      </c>
      <c r="K2928">
        <v>1.112376</v>
      </c>
      <c r="L2928">
        <v>-40.748259999999902</v>
      </c>
      <c r="M2928">
        <v>0.26630920000000002</v>
      </c>
      <c r="N2928">
        <v>0</v>
      </c>
      <c r="O2928">
        <v>0.96379729999999997</v>
      </c>
      <c r="P2928">
        <v>0.1744734</v>
      </c>
      <c r="Q2928">
        <v>0.15379870000000001</v>
      </c>
      <c r="R2928">
        <v>0.97257649999999995</v>
      </c>
      <c r="S2928">
        <v>-2.6855469999999999E-2</v>
      </c>
      <c r="T2928">
        <v>-0.14476359999999999</v>
      </c>
      <c r="U2928">
        <v>3.1171880000000001</v>
      </c>
      <c r="V2928">
        <v>-9.4495399999999993E-2</v>
      </c>
      <c r="W2928">
        <v>0.16473189999999999</v>
      </c>
      <c r="X2928">
        <v>0.98180149999999999</v>
      </c>
      <c r="Y2928">
        <v>-0.27461249999999998</v>
      </c>
      <c r="Z2928">
        <v>-4.2984469999999997E-2</v>
      </c>
      <c r="AA2928">
        <v>0.96059369999999999</v>
      </c>
      <c r="AB2928">
        <v>29</v>
      </c>
      <c r="AC2928">
        <v>-0.27660000000000201</v>
      </c>
      <c r="AD2928">
        <v>-1.1123780874</v>
      </c>
      <c r="AE2928">
        <v>23.65906</v>
      </c>
      <c r="AF2928">
        <v>-6.5532989364112</v>
      </c>
      <c r="AG2928">
        <v>-1.1123780874</v>
      </c>
      <c r="AH2928">
        <v>22.680725551095001</v>
      </c>
      <c r="AI2928">
        <v>92.697650442606502</v>
      </c>
      <c r="AJ2928">
        <v>106.115958089101</v>
      </c>
      <c r="AK2928">
        <v>23.6346868708555</v>
      </c>
    </row>
    <row r="2929" spans="1:37" x14ac:dyDescent="0.2">
      <c r="A2929" t="str">
        <f>"20200111150649006"</f>
        <v>20200111150649006</v>
      </c>
      <c r="B2929" t="str">
        <f>"1578726408999104"</f>
        <v>1578726408999104</v>
      </c>
      <c r="C2929" t="s">
        <v>37</v>
      </c>
      <c r="D2929">
        <v>5.1573500000000001</v>
      </c>
      <c r="E2929">
        <v>0.42679489999999998</v>
      </c>
      <c r="F2929" t="s">
        <v>39</v>
      </c>
      <c r="G2929">
        <v>-186.49610000000001</v>
      </c>
      <c r="H2929" s="1">
        <v>-2.5591099999999899E-6</v>
      </c>
      <c r="I2929">
        <v>-15.850679999999899</v>
      </c>
      <c r="J2929">
        <v>-185.98990000000001</v>
      </c>
      <c r="K2929">
        <v>1.1125510000000001</v>
      </c>
      <c r="L2929">
        <v>-40.48169</v>
      </c>
      <c r="M2929">
        <v>0.25495679999999998</v>
      </c>
      <c r="N2929">
        <v>0</v>
      </c>
      <c r="O2929">
        <v>0.96686179999999999</v>
      </c>
      <c r="P2929">
        <v>0.16494710000000001</v>
      </c>
      <c r="Q2929">
        <v>0.15370490000000001</v>
      </c>
      <c r="R2929">
        <v>0.97425219999999901</v>
      </c>
      <c r="S2929">
        <v>-5.569458E-2</v>
      </c>
      <c r="T2929">
        <v>-0.13924439999999999</v>
      </c>
      <c r="U2929">
        <v>3.1166079999999998</v>
      </c>
      <c r="V2929">
        <v>-9.2629370000000003E-2</v>
      </c>
      <c r="W2929">
        <v>0.16468720000000001</v>
      </c>
      <c r="X2929">
        <v>0.98198669999999999</v>
      </c>
      <c r="Y2929">
        <v>-0.2721944</v>
      </c>
      <c r="Z2929">
        <v>-4.1573739999999998E-2</v>
      </c>
      <c r="AA2929">
        <v>0.96134379999999997</v>
      </c>
      <c r="AB2929">
        <v>29</v>
      </c>
      <c r="AC2929">
        <v>-0.50620000000000598</v>
      </c>
      <c r="AD2929">
        <v>-1.11255355911</v>
      </c>
      <c r="AE2929">
        <v>24.63101</v>
      </c>
      <c r="AF2929">
        <v>-6.75608421158688</v>
      </c>
      <c r="AG2929">
        <v>-1.11255355911</v>
      </c>
      <c r="AH2929">
        <v>23.639590089811801</v>
      </c>
      <c r="AI2929">
        <v>92.590945368495397</v>
      </c>
      <c r="AJ2929">
        <v>105.949688316077</v>
      </c>
      <c r="AK2929">
        <v>24.611230544413502</v>
      </c>
    </row>
    <row r="2930" spans="1:37" x14ac:dyDescent="0.2">
      <c r="A2930" t="str">
        <f>"20200111150649029"</f>
        <v>20200111150649029</v>
      </c>
      <c r="B2930" t="str">
        <f>"1578726409019600"</f>
        <v>1578726409019600</v>
      </c>
      <c r="C2930" t="s">
        <v>37</v>
      </c>
      <c r="D2930">
        <v>5.2002800000000002</v>
      </c>
      <c r="E2930">
        <v>0.42738100000000001</v>
      </c>
      <c r="F2930" t="s">
        <v>39</v>
      </c>
      <c r="G2930">
        <v>-186.62970000000001</v>
      </c>
      <c r="H2930" s="1">
        <v>-2.416629E-6</v>
      </c>
      <c r="I2930">
        <v>-16.127569999999999</v>
      </c>
      <c r="J2930">
        <v>-185.9298</v>
      </c>
      <c r="K2930">
        <v>1.1127049999999901</v>
      </c>
      <c r="L2930">
        <v>-40.204159999999902</v>
      </c>
      <c r="M2930">
        <v>0.2429385</v>
      </c>
      <c r="N2930">
        <v>0</v>
      </c>
      <c r="O2930">
        <v>0.96995069999999906</v>
      </c>
      <c r="P2930">
        <v>0.15376310000000001</v>
      </c>
      <c r="Q2930">
        <v>0.15137129999999999</v>
      </c>
      <c r="R2930">
        <v>0.97644439999999999</v>
      </c>
      <c r="S2930">
        <v>-8.184814E-2</v>
      </c>
      <c r="T2930">
        <v>-0.14232790000000001</v>
      </c>
      <c r="U2930">
        <v>3.1156009999999998</v>
      </c>
      <c r="V2930">
        <v>-9.1806540000000006E-2</v>
      </c>
      <c r="W2930">
        <v>0.16238449999999999</v>
      </c>
      <c r="X2930">
        <v>0.98244739999999997</v>
      </c>
      <c r="Y2930">
        <v>-0.26832119999999998</v>
      </c>
      <c r="Z2930">
        <v>-4.273801E-2</v>
      </c>
      <c r="AA2930">
        <v>0.96238099999999904</v>
      </c>
      <c r="AB2930">
        <v>29</v>
      </c>
      <c r="AC2930">
        <v>-0.69990000000001296</v>
      </c>
      <c r="AD2930">
        <v>-1.1127074166290001</v>
      </c>
      <c r="AE2930">
        <v>24.0765899999999</v>
      </c>
      <c r="AF2930">
        <v>-6.5146727519657297</v>
      </c>
      <c r="AG2930">
        <v>-1.1127074166290001</v>
      </c>
      <c r="AH2930">
        <v>23.135746227747902</v>
      </c>
      <c r="AI2930">
        <v>92.650580918664801</v>
      </c>
      <c r="AJ2930">
        <v>105.726408804844</v>
      </c>
      <c r="AK2930">
        <v>24.061210118673898</v>
      </c>
    </row>
    <row r="2931" spans="1:37" x14ac:dyDescent="0.2">
      <c r="A2931" t="str">
        <f>"20200111150649051"</f>
        <v>20200111150649051</v>
      </c>
      <c r="B2931" t="str">
        <f>"1578726409049857"</f>
        <v>1578726409049857</v>
      </c>
      <c r="C2931" t="s">
        <v>37</v>
      </c>
      <c r="D2931">
        <v>5.2930479999999998</v>
      </c>
      <c r="E2931">
        <v>0.428425</v>
      </c>
      <c r="F2931" t="s">
        <v>39</v>
      </c>
      <c r="G2931">
        <v>-186.7535</v>
      </c>
      <c r="H2931" s="1">
        <v>-1.8097339999999899E-6</v>
      </c>
      <c r="I2931">
        <v>-17.572320000000001</v>
      </c>
      <c r="J2931">
        <v>-185.87360000000001</v>
      </c>
      <c r="K2931">
        <v>1.112825</v>
      </c>
      <c r="L2931">
        <v>-39.927370000000003</v>
      </c>
      <c r="M2931">
        <v>0.23078599999999999</v>
      </c>
      <c r="N2931">
        <v>0</v>
      </c>
      <c r="O2931">
        <v>0.97291329999999998</v>
      </c>
      <c r="P2931">
        <v>0.14274429999999999</v>
      </c>
      <c r="Q2931">
        <v>0.1485013</v>
      </c>
      <c r="R2931">
        <v>0.97855579999999998</v>
      </c>
      <c r="S2931">
        <v>-0.113327</v>
      </c>
      <c r="T2931">
        <v>-0.15309919999999999</v>
      </c>
      <c r="U2931">
        <v>3.113953</v>
      </c>
      <c r="V2931">
        <v>-9.0683319999999998E-2</v>
      </c>
      <c r="W2931">
        <v>0.15955610000000001</v>
      </c>
      <c r="X2931">
        <v>0.98301489999999903</v>
      </c>
      <c r="Y2931">
        <v>-0.26599609999999901</v>
      </c>
      <c r="Z2931">
        <v>-4.6215449999999998E-2</v>
      </c>
      <c r="AA2931">
        <v>0.96286569999999905</v>
      </c>
      <c r="AB2931">
        <v>29</v>
      </c>
      <c r="AC2931">
        <v>-0.87989999999999202</v>
      </c>
      <c r="AD2931">
        <v>-1.1128268097339999</v>
      </c>
      <c r="AE2931">
        <v>22.355049999999999</v>
      </c>
      <c r="AF2931">
        <v>-6.0009854820697202</v>
      </c>
      <c r="AG2931">
        <v>-1.1128268097339999</v>
      </c>
      <c r="AH2931">
        <v>21.495186727884299</v>
      </c>
      <c r="AI2931">
        <v>92.854644627937105</v>
      </c>
      <c r="AJ2931">
        <v>105.598569530636</v>
      </c>
      <c r="AK2931">
        <v>22.344871060963499</v>
      </c>
    </row>
    <row r="2932" spans="1:37" x14ac:dyDescent="0.2">
      <c r="A2932" t="str">
        <f>"20200111150649075"</f>
        <v>20200111150649075</v>
      </c>
      <c r="B2932" t="str">
        <f>"1578726409069379"</f>
        <v>1578726409069379</v>
      </c>
      <c r="C2932" t="s">
        <v>37</v>
      </c>
      <c r="D2932">
        <v>5.1667249999999996</v>
      </c>
      <c r="E2932">
        <v>0.42883349999999998</v>
      </c>
      <c r="F2932" t="s">
        <v>39</v>
      </c>
      <c r="G2932">
        <v>-186.81659999999999</v>
      </c>
      <c r="H2932" s="1">
        <v>-1.266115E-6</v>
      </c>
      <c r="I2932">
        <v>-19.120429999999999</v>
      </c>
      <c r="J2932">
        <v>-185.82</v>
      </c>
      <c r="K2932">
        <v>1.112924</v>
      </c>
      <c r="L2932">
        <v>-39.643650000000001</v>
      </c>
      <c r="M2932">
        <v>0.2181911</v>
      </c>
      <c r="N2932">
        <v>0</v>
      </c>
      <c r="O2932">
        <v>0.97581459999999998</v>
      </c>
      <c r="P2932">
        <v>0.13014289999999901</v>
      </c>
      <c r="Q2932">
        <v>0.14531289999999999</v>
      </c>
      <c r="R2932">
        <v>0.98078889999999996</v>
      </c>
      <c r="S2932">
        <v>-0.1410217</v>
      </c>
      <c r="T2932">
        <v>-0.1664176</v>
      </c>
      <c r="U2932">
        <v>3.1115719999999998</v>
      </c>
      <c r="V2932">
        <v>-9.0698509999999996E-2</v>
      </c>
      <c r="W2932">
        <v>0.15638350000000001</v>
      </c>
      <c r="X2932">
        <v>0.98352320000000004</v>
      </c>
      <c r="Y2932">
        <v>-0.26210630000000001</v>
      </c>
      <c r="Z2932">
        <v>-5.0514660000000003E-2</v>
      </c>
      <c r="AA2932">
        <v>0.96371600000000002</v>
      </c>
      <c r="AB2932">
        <v>29</v>
      </c>
      <c r="AC2932">
        <v>-0.99660000000000004</v>
      </c>
      <c r="AD2932">
        <v>-1.112925266115</v>
      </c>
      <c r="AE2932">
        <v>20.523219999999998</v>
      </c>
      <c r="AF2932">
        <v>-5.4350225117776496</v>
      </c>
      <c r="AG2932">
        <v>-1.112925266115</v>
      </c>
      <c r="AH2932">
        <v>19.753226429379101</v>
      </c>
      <c r="AI2932">
        <v>93.109404892521297</v>
      </c>
      <c r="AJ2932">
        <v>105.384031434891</v>
      </c>
      <c r="AK2932">
        <v>20.517505372773901</v>
      </c>
    </row>
    <row r="2933" spans="1:37" x14ac:dyDescent="0.2">
      <c r="A2933" t="str">
        <f>"20200111150649095"</f>
        <v>20200111150649095</v>
      </c>
      <c r="B2933" t="str">
        <f>"1578726409089873"</f>
        <v>1578726409089873</v>
      </c>
      <c r="C2933" t="s">
        <v>37</v>
      </c>
      <c r="D2933">
        <v>5.047364</v>
      </c>
      <c r="E2933">
        <v>0.4284965</v>
      </c>
      <c r="F2933" t="s">
        <v>39</v>
      </c>
      <c r="G2933">
        <v>-186.93520000000001</v>
      </c>
      <c r="H2933" s="1">
        <v>-8.5162460000000001E-7</v>
      </c>
      <c r="I2933">
        <v>-20.245629999999998</v>
      </c>
      <c r="J2933">
        <v>-185.77359999999999</v>
      </c>
      <c r="K2933">
        <v>1.1129959999999901</v>
      </c>
      <c r="L2933">
        <v>-39.379329999999896</v>
      </c>
      <c r="M2933">
        <v>0.20636639999999901</v>
      </c>
      <c r="N2933">
        <v>0</v>
      </c>
      <c r="O2933">
        <v>0.97838320000000001</v>
      </c>
      <c r="P2933">
        <v>0.11663469999999999</v>
      </c>
      <c r="Q2933">
        <v>0.1444232</v>
      </c>
      <c r="R2933">
        <v>0.98261810000000005</v>
      </c>
      <c r="S2933">
        <v>-0.1787415</v>
      </c>
      <c r="T2933">
        <v>-0.17836830000000001</v>
      </c>
      <c r="U2933">
        <v>3.1089169999999999</v>
      </c>
      <c r="V2933">
        <v>-9.2369789999999993E-2</v>
      </c>
      <c r="W2933">
        <v>0.15546509999999999</v>
      </c>
      <c r="X2933">
        <v>0.98351330000000003</v>
      </c>
      <c r="Y2933">
        <v>-0.26211449999999997</v>
      </c>
      <c r="Z2933">
        <v>-5.438014E-2</v>
      </c>
      <c r="AA2933">
        <v>0.96350340000000001</v>
      </c>
      <c r="AB2933">
        <v>29</v>
      </c>
      <c r="AC2933">
        <v>-1.1616000000000199</v>
      </c>
      <c r="AD2933">
        <v>-1.1129968516245901</v>
      </c>
      <c r="AE2933">
        <v>19.133700000000001</v>
      </c>
      <c r="AF2933">
        <v>-5.06841151974269</v>
      </c>
      <c r="AG2933">
        <v>-1.1129968516245901</v>
      </c>
      <c r="AH2933">
        <v>18.4199333174465</v>
      </c>
      <c r="AI2933">
        <v>93.334185745838099</v>
      </c>
      <c r="AJ2933">
        <v>105.38472357207201</v>
      </c>
      <c r="AK2933">
        <v>19.1369146087963</v>
      </c>
    </row>
    <row r="2934" spans="1:37" x14ac:dyDescent="0.2">
      <c r="A2934" t="str">
        <f>"20200111150649120"</f>
        <v>20200111150649120</v>
      </c>
      <c r="B2934" t="str">
        <f>"1578726409109392"</f>
        <v>1578726409109392</v>
      </c>
      <c r="C2934" t="s">
        <v>37</v>
      </c>
      <c r="D2934">
        <v>5.0030669999999997</v>
      </c>
      <c r="E2934">
        <v>0.42811389999999999</v>
      </c>
      <c r="F2934" t="s">
        <v>39</v>
      </c>
      <c r="G2934">
        <v>-187.1317</v>
      </c>
      <c r="H2934" s="1">
        <v>-4.759419E-6</v>
      </c>
      <c r="I2934">
        <v>-20.458909999999999</v>
      </c>
      <c r="J2934">
        <v>-185.72460000000001</v>
      </c>
      <c r="K2934">
        <v>1.113054</v>
      </c>
      <c r="L2934">
        <v>-39.075839999999999</v>
      </c>
      <c r="M2934">
        <v>0.19271369999999999</v>
      </c>
      <c r="N2934">
        <v>0</v>
      </c>
      <c r="O2934">
        <v>0.98116340000000002</v>
      </c>
      <c r="P2934">
        <v>0.10270599999999901</v>
      </c>
      <c r="Q2934">
        <v>0.14607429999999999</v>
      </c>
      <c r="R2934">
        <v>0.98392769999999996</v>
      </c>
      <c r="S2934">
        <v>-0.2229614</v>
      </c>
      <c r="T2934">
        <v>-0.18273420000000001</v>
      </c>
      <c r="U2934">
        <v>3.1063839999999998</v>
      </c>
      <c r="V2934">
        <v>-9.2613020000000004E-2</v>
      </c>
      <c r="W2934">
        <v>0.15712010000000001</v>
      </c>
      <c r="X2934">
        <v>0.98322739999999997</v>
      </c>
      <c r="Y2934">
        <v>-0.26236509999999902</v>
      </c>
      <c r="Z2934">
        <v>-5.5968820000000002E-2</v>
      </c>
      <c r="AA2934">
        <v>0.96334419999999898</v>
      </c>
      <c r="AB2934">
        <v>29</v>
      </c>
      <c r="AC2934">
        <v>-1.40709999999998</v>
      </c>
      <c r="AD2934">
        <v>-1.113058759419</v>
      </c>
      <c r="AE2934">
        <v>18.61693</v>
      </c>
      <c r="AF2934">
        <v>-4.9511815633768101</v>
      </c>
      <c r="AG2934">
        <v>-1.113058759419</v>
      </c>
      <c r="AH2934">
        <v>17.932963008276499</v>
      </c>
      <c r="AI2934">
        <v>93.423885010506595</v>
      </c>
      <c r="AJ2934">
        <v>105.43450378655</v>
      </c>
      <c r="AK2934">
        <v>18.6371741670151</v>
      </c>
    </row>
    <row r="2935" spans="1:37" x14ac:dyDescent="0.2">
      <c r="A2935" t="str">
        <f>"20200111150649142"</f>
        <v>20200111150649142</v>
      </c>
      <c r="B2935" t="str">
        <f>"1578726409139649"</f>
        <v>1578726409139649</v>
      </c>
      <c r="C2935" t="s">
        <v>37</v>
      </c>
      <c r="D2935">
        <v>4.980829</v>
      </c>
      <c r="E2935">
        <v>0.42755320000000002</v>
      </c>
      <c r="F2935" t="s">
        <v>39</v>
      </c>
      <c r="G2935">
        <v>-187.4177</v>
      </c>
      <c r="H2935" s="1">
        <v>-9.5807489999999999E-7</v>
      </c>
      <c r="I2935">
        <v>-19.555589999999999</v>
      </c>
      <c r="J2935">
        <v>-185.6833</v>
      </c>
      <c r="K2935">
        <v>1.113086</v>
      </c>
      <c r="L2935">
        <v>-38.797420000000002</v>
      </c>
      <c r="M2935">
        <v>0.1801422</v>
      </c>
      <c r="N2935">
        <v>0</v>
      </c>
      <c r="O2935">
        <v>0.9835488</v>
      </c>
      <c r="P2935">
        <v>9.1402699999999906E-2</v>
      </c>
      <c r="Q2935">
        <v>0.1468826</v>
      </c>
      <c r="R2935">
        <v>0.98492190000000002</v>
      </c>
      <c r="S2935">
        <v>-0.26918029999999998</v>
      </c>
      <c r="T2935">
        <v>-0.17695549999999999</v>
      </c>
      <c r="U2935">
        <v>3.1033629999999999</v>
      </c>
      <c r="V2935">
        <v>-9.1329809999999997E-2</v>
      </c>
      <c r="W2935">
        <v>0.157970899999999</v>
      </c>
      <c r="X2935">
        <v>0.98321109999999901</v>
      </c>
      <c r="Y2935">
        <v>-0.2643491</v>
      </c>
      <c r="Z2935">
        <v>-5.4413209999999997E-2</v>
      </c>
      <c r="AA2935">
        <v>0.96289089999999999</v>
      </c>
      <c r="AB2935">
        <v>29</v>
      </c>
      <c r="AC2935">
        <v>-1.7343999999999899</v>
      </c>
      <c r="AD2935">
        <v>-1.1130869580749001</v>
      </c>
      <c r="AE2935">
        <v>19.24183</v>
      </c>
      <c r="AF2935">
        <v>-5.1554868013351998</v>
      </c>
      <c r="AG2935">
        <v>-1.1130869580749001</v>
      </c>
      <c r="AH2935">
        <v>18.5529372073152</v>
      </c>
      <c r="AI2935">
        <v>93.308296262510794</v>
      </c>
      <c r="AJ2935">
        <v>105.52953848828299</v>
      </c>
      <c r="AK2935">
        <v>19.288065889392801</v>
      </c>
    </row>
    <row r="2936" spans="1:37" x14ac:dyDescent="0.2">
      <c r="A2936" t="str">
        <f>"20200111150649163"</f>
        <v>20200111150649163</v>
      </c>
      <c r="B2936" t="str">
        <f>"1578726409159169"</f>
        <v>1578726409159169</v>
      </c>
      <c r="C2936" t="s">
        <v>37</v>
      </c>
      <c r="D2936">
        <v>5.07057</v>
      </c>
      <c r="E2936">
        <v>0.42751620000000001</v>
      </c>
      <c r="F2936" t="s">
        <v>39</v>
      </c>
      <c r="G2936">
        <v>-187.6977</v>
      </c>
      <c r="H2936" s="1">
        <v>-1.193437E-6</v>
      </c>
      <c r="I2936">
        <v>-18.64508</v>
      </c>
      <c r="J2936">
        <v>-185.64869999999999</v>
      </c>
      <c r="K2936">
        <v>1.1131040000000001</v>
      </c>
      <c r="L2936">
        <v>-38.543120000000002</v>
      </c>
      <c r="M2936">
        <v>0.1686347</v>
      </c>
      <c r="N2936">
        <v>0</v>
      </c>
      <c r="O2936">
        <v>0.98558679999999999</v>
      </c>
      <c r="P2936">
        <v>8.2288769999999997E-2</v>
      </c>
      <c r="Q2936">
        <v>0.146376799999999</v>
      </c>
      <c r="R2936">
        <v>0.98580040000000002</v>
      </c>
      <c r="S2936">
        <v>-0.30989070000000002</v>
      </c>
      <c r="T2936">
        <v>-0.17123650000000001</v>
      </c>
      <c r="U2936">
        <v>3.1002200000000002</v>
      </c>
      <c r="V2936">
        <v>-8.8938669999999997E-2</v>
      </c>
      <c r="W2936">
        <v>0.15753729999999999</v>
      </c>
      <c r="X2936">
        <v>0.98349979999999904</v>
      </c>
      <c r="Y2936">
        <v>-0.26570549999999998</v>
      </c>
      <c r="Z2936">
        <v>-5.2839110000000002E-2</v>
      </c>
      <c r="AA2936">
        <v>0.96260509999999999</v>
      </c>
      <c r="AB2936">
        <v>29</v>
      </c>
      <c r="AC2936">
        <v>-2.0489999999999999</v>
      </c>
      <c r="AD2936">
        <v>-1.113105193437</v>
      </c>
      <c r="AE2936">
        <v>19.898040000000002</v>
      </c>
      <c r="AF2936">
        <v>-5.3588601509910996</v>
      </c>
      <c r="AG2936">
        <v>-1.113105193437</v>
      </c>
      <c r="AH2936">
        <v>19.207979351255901</v>
      </c>
      <c r="AI2936">
        <v>93.194849074665896</v>
      </c>
      <c r="AJ2936">
        <v>105.588642666414</v>
      </c>
      <c r="AK2936">
        <v>19.972552567156001</v>
      </c>
    </row>
    <row r="2937" spans="1:37" x14ac:dyDescent="0.2">
      <c r="A2937" t="str">
        <f>"20200111150649188"</f>
        <v>20200111150649188</v>
      </c>
      <c r="B2937" t="str">
        <f>"1578726409179665"</f>
        <v>1578726409179665</v>
      </c>
      <c r="C2937" t="s">
        <v>37</v>
      </c>
      <c r="D2937">
        <v>4.8531079999999998</v>
      </c>
      <c r="E2937">
        <v>0.42749319999999902</v>
      </c>
      <c r="F2937" t="s">
        <v>39</v>
      </c>
      <c r="G2937">
        <v>-187.84119999999999</v>
      </c>
      <c r="H2937" s="1">
        <v>-1.1866649999999899E-6</v>
      </c>
      <c r="I2937">
        <v>-18.55275</v>
      </c>
      <c r="J2937">
        <v>-185.61019999999999</v>
      </c>
      <c r="K2937">
        <v>1.113119</v>
      </c>
      <c r="L2937">
        <v>-38.22974</v>
      </c>
      <c r="M2937">
        <v>0.15443309999999999</v>
      </c>
      <c r="N2937">
        <v>0</v>
      </c>
      <c r="O2937">
        <v>0.98791149999999905</v>
      </c>
      <c r="P2937">
        <v>7.2047459999999994E-2</v>
      </c>
      <c r="Q2937">
        <v>0.14462259999999999</v>
      </c>
      <c r="R2937">
        <v>0.98686039999999997</v>
      </c>
      <c r="S2937">
        <v>-0.33969120000000003</v>
      </c>
      <c r="T2937">
        <v>-0.17245669999999999</v>
      </c>
      <c r="U2937">
        <v>3.0971679999999999</v>
      </c>
      <c r="V2937">
        <v>-8.4996130000000003E-2</v>
      </c>
      <c r="W2937">
        <v>0.15589739999999999</v>
      </c>
      <c r="X2937">
        <v>0.98410959999999903</v>
      </c>
      <c r="Y2937">
        <v>-0.26108049999999999</v>
      </c>
      <c r="Z2937">
        <v>-5.3468679999999998E-2</v>
      </c>
      <c r="AA2937">
        <v>0.96383509999999994</v>
      </c>
      <c r="AB2937">
        <v>29</v>
      </c>
      <c r="AC2937">
        <v>-2.2309999999999901</v>
      </c>
      <c r="AD2937">
        <v>-1.113120186665</v>
      </c>
      <c r="AE2937">
        <v>19.67699</v>
      </c>
      <c r="AF2937">
        <v>-5.22677038874924</v>
      </c>
      <c r="AG2937">
        <v>-1.113120186665</v>
      </c>
      <c r="AH2937">
        <v>19.036170560782601</v>
      </c>
      <c r="AI2937">
        <v>93.227324779829402</v>
      </c>
      <c r="AJ2937">
        <v>105.353369032271</v>
      </c>
      <c r="AK2937">
        <v>19.772049839758001</v>
      </c>
    </row>
    <row r="2938" spans="1:37" x14ac:dyDescent="0.2">
      <c r="A2938" t="str">
        <f>"20200111150649207"</f>
        <v>20200111150649207</v>
      </c>
      <c r="B2938" t="str">
        <f>"1578726409199185"</f>
        <v>1578726409199185</v>
      </c>
      <c r="C2938" t="s">
        <v>37</v>
      </c>
      <c r="D2938">
        <v>4.8605479999999996</v>
      </c>
      <c r="E2938">
        <v>0.42749690000000001</v>
      </c>
      <c r="F2938" t="s">
        <v>39</v>
      </c>
      <c r="G2938">
        <v>-187.93940000000001</v>
      </c>
      <c r="H2938" s="1">
        <v>-1.048131E-6</v>
      </c>
      <c r="I2938">
        <v>-18.883099999999999</v>
      </c>
      <c r="J2938">
        <v>-185.58240000000001</v>
      </c>
      <c r="K2938">
        <v>1.113146</v>
      </c>
      <c r="L2938">
        <v>-37.97504</v>
      </c>
      <c r="M2938">
        <v>0.14288480000000001</v>
      </c>
      <c r="N2938">
        <v>0</v>
      </c>
      <c r="O2938">
        <v>0.98964759999999996</v>
      </c>
      <c r="P2938">
        <v>6.5795530000000005E-2</v>
      </c>
      <c r="Q2938">
        <v>0.1457447</v>
      </c>
      <c r="R2938">
        <v>0.98713200000000001</v>
      </c>
      <c r="S2938">
        <v>-0.37239070000000002</v>
      </c>
      <c r="T2938">
        <v>-0.17796909999999999</v>
      </c>
      <c r="U2938">
        <v>3.0932009999999899</v>
      </c>
      <c r="V2938">
        <v>-7.9733419999999999E-2</v>
      </c>
      <c r="W2938">
        <v>0.15715870000000001</v>
      </c>
      <c r="X2938">
        <v>0.98434940000000004</v>
      </c>
      <c r="Y2938">
        <v>-0.25998450000000001</v>
      </c>
      <c r="Z2938">
        <v>-5.5367050000000001E-2</v>
      </c>
      <c r="AA2938">
        <v>0.96402410000000005</v>
      </c>
      <c r="AB2938">
        <v>29</v>
      </c>
      <c r="AC2938">
        <v>-2.3570000000000002</v>
      </c>
      <c r="AD2938">
        <v>-1.113147048131</v>
      </c>
      <c r="AE2938">
        <v>19.091940000000001</v>
      </c>
      <c r="AF2938">
        <v>-5.0441172256391003</v>
      </c>
      <c r="AG2938">
        <v>-1.113147048131</v>
      </c>
      <c r="AH2938">
        <v>18.497262020709499</v>
      </c>
      <c r="AI2938">
        <v>93.322805974397298</v>
      </c>
      <c r="AJ2938">
        <v>105.253415945431</v>
      </c>
      <c r="AK2938">
        <v>19.204971158518699</v>
      </c>
    </row>
    <row r="2939" spans="1:37" x14ac:dyDescent="0.2">
      <c r="A2939" t="str">
        <f>"20200111150649230"</f>
        <v>20200111150649230</v>
      </c>
      <c r="B2939" t="str">
        <f>"1578726409219681"</f>
        <v>1578726409219681</v>
      </c>
      <c r="C2939" t="s">
        <v>37</v>
      </c>
      <c r="D2939">
        <v>4.7891240000000002</v>
      </c>
      <c r="E2939">
        <v>0.42752799999999902</v>
      </c>
      <c r="F2939" t="s">
        <v>39</v>
      </c>
      <c r="G2939">
        <v>-188.1054</v>
      </c>
      <c r="H2939" s="1">
        <v>-1.2892099999999999E-6</v>
      </c>
      <c r="I2939">
        <v>-18.145429999999902</v>
      </c>
      <c r="J2939">
        <v>-185.55520000000001</v>
      </c>
      <c r="K2939">
        <v>1.11317</v>
      </c>
      <c r="L2939">
        <v>-37.695830000000001</v>
      </c>
      <c r="M2939">
        <v>0.1302191</v>
      </c>
      <c r="N2939">
        <v>0</v>
      </c>
      <c r="O2939">
        <v>0.99139339999999998</v>
      </c>
      <c r="P2939">
        <v>5.7617469999999997E-2</v>
      </c>
      <c r="Q2939">
        <v>0.14901329999999999</v>
      </c>
      <c r="R2939">
        <v>0.98715509999999995</v>
      </c>
      <c r="S2939">
        <v>-0.39328000000000002</v>
      </c>
      <c r="T2939">
        <v>-0.173512</v>
      </c>
      <c r="U2939">
        <v>3.0909419999999899</v>
      </c>
      <c r="V2939">
        <v>-7.5310450000000001E-2</v>
      </c>
      <c r="W2939">
        <v>0.160541299999999</v>
      </c>
      <c r="X2939">
        <v>0.98415180000000002</v>
      </c>
      <c r="Y2939">
        <v>-0.2541428</v>
      </c>
      <c r="Z2939">
        <v>-5.4191570000000001E-2</v>
      </c>
      <c r="AA2939">
        <v>0.96564729999999999</v>
      </c>
      <c r="AB2939">
        <v>29</v>
      </c>
      <c r="AC2939">
        <v>-2.5501999999999798</v>
      </c>
      <c r="AD2939">
        <v>-1.1131712892100001</v>
      </c>
      <c r="AE2939">
        <v>19.5504</v>
      </c>
      <c r="AF2939">
        <v>-5.0584240034283203</v>
      </c>
      <c r="AG2939">
        <v>-1.1131712892100001</v>
      </c>
      <c r="AH2939">
        <v>18.991248150839699</v>
      </c>
      <c r="AI2939">
        <v>93.241781237623997</v>
      </c>
      <c r="AJ2939">
        <v>104.914772698427</v>
      </c>
      <c r="AK2939">
        <v>19.684875159480999</v>
      </c>
    </row>
    <row r="2940" spans="1:37" x14ac:dyDescent="0.2">
      <c r="A2940" t="str">
        <f>"20200111150649252"</f>
        <v>20200111150649252</v>
      </c>
      <c r="B2940" t="str">
        <f>"1578726409249937"</f>
        <v>1578726409249937</v>
      </c>
      <c r="C2940" t="s">
        <v>37</v>
      </c>
      <c r="D2940">
        <v>4.6811400000000001</v>
      </c>
      <c r="E2940">
        <v>0.42773519999999998</v>
      </c>
      <c r="F2940" t="s">
        <v>39</v>
      </c>
      <c r="G2940">
        <v>-188.4051</v>
      </c>
      <c r="H2940" s="1">
        <v>-1.8610550000000001E-6</v>
      </c>
      <c r="I2940">
        <v>-16.688510000000001</v>
      </c>
      <c r="J2940">
        <v>-185.53139999999999</v>
      </c>
      <c r="K2940">
        <v>1.1131789999999999</v>
      </c>
      <c r="L2940">
        <v>-37.414059999999999</v>
      </c>
      <c r="M2940">
        <v>0.1174393</v>
      </c>
      <c r="N2940">
        <v>0</v>
      </c>
      <c r="O2940">
        <v>0.99298829999999905</v>
      </c>
      <c r="P2940">
        <v>4.9303670000000001E-2</v>
      </c>
      <c r="Q2940">
        <v>0.15152959999999999</v>
      </c>
      <c r="R2940">
        <v>0.9872223</v>
      </c>
      <c r="S2940">
        <v>-0.41896059999999902</v>
      </c>
      <c r="T2940">
        <v>-0.1636426</v>
      </c>
      <c r="U2940">
        <v>3.0881959999999999</v>
      </c>
      <c r="V2940">
        <v>-7.0929900000000004E-2</v>
      </c>
      <c r="W2940">
        <v>0.1631707</v>
      </c>
      <c r="X2940">
        <v>0.98404480000000005</v>
      </c>
      <c r="Y2940">
        <v>-0.2497064</v>
      </c>
      <c r="Z2940">
        <v>-5.1292200000000003E-2</v>
      </c>
      <c r="AA2940">
        <v>0.96696219999999999</v>
      </c>
      <c r="AB2940">
        <v>29</v>
      </c>
      <c r="AC2940">
        <v>-2.8737000000000101</v>
      </c>
      <c r="AD2940">
        <v>-1.113180861055</v>
      </c>
      <c r="AE2940">
        <v>20.725549999999998</v>
      </c>
      <c r="AF2940">
        <v>-5.2731014137123902</v>
      </c>
      <c r="AG2940">
        <v>-1.113180861055</v>
      </c>
      <c r="AH2940">
        <v>20.187449448421301</v>
      </c>
      <c r="AI2940">
        <v>93.053958698374103</v>
      </c>
      <c r="AJ2940">
        <v>104.638969708698</v>
      </c>
      <c r="AK2940">
        <v>20.894446280800999</v>
      </c>
    </row>
    <row r="2941" spans="1:37" x14ac:dyDescent="0.2">
      <c r="A2941" t="str">
        <f>"20200111150649277"</f>
        <v>20200111150649277</v>
      </c>
      <c r="B2941" t="str">
        <f>"1578726409269457"</f>
        <v>1578726409269457</v>
      </c>
      <c r="C2941" t="s">
        <v>37</v>
      </c>
      <c r="D2941">
        <v>4.6515269999999997</v>
      </c>
      <c r="E2941">
        <v>0.43948209999999999</v>
      </c>
      <c r="F2941" t="s">
        <v>39</v>
      </c>
      <c r="G2941">
        <v>-188.70009999999999</v>
      </c>
      <c r="H2941" s="1">
        <v>-2.3632909999999999E-6</v>
      </c>
      <c r="I2941">
        <v>-15.395829999999901</v>
      </c>
      <c r="J2941">
        <v>-185.5103</v>
      </c>
      <c r="K2941">
        <v>1.1131789999999999</v>
      </c>
      <c r="L2941">
        <v>-37.11121</v>
      </c>
      <c r="M2941">
        <v>0.10370599999999899</v>
      </c>
      <c r="N2941">
        <v>0</v>
      </c>
      <c r="O2941">
        <v>0.99451630000000002</v>
      </c>
      <c r="P2941">
        <v>3.9574390000000001E-2</v>
      </c>
      <c r="Q2941">
        <v>0.14874860000000001</v>
      </c>
      <c r="R2941">
        <v>0.98808280000000004</v>
      </c>
      <c r="S2941">
        <v>-0.44395449999999997</v>
      </c>
      <c r="T2941">
        <v>-0.15596559999999901</v>
      </c>
      <c r="U2941">
        <v>3.0849299999999999</v>
      </c>
      <c r="V2941">
        <v>-6.6996429999999996E-2</v>
      </c>
      <c r="W2941">
        <v>0.160500799999999</v>
      </c>
      <c r="X2941">
        <v>0.9847593</v>
      </c>
      <c r="Y2941">
        <v>-0.244158399999999</v>
      </c>
      <c r="Z2941">
        <v>-4.9067050000000001E-2</v>
      </c>
      <c r="AA2941">
        <v>0.96849319999999905</v>
      </c>
      <c r="AB2941">
        <v>29</v>
      </c>
      <c r="AC2941">
        <v>-3.1897999999999902</v>
      </c>
      <c r="AD2941">
        <v>-1.1131813632909999</v>
      </c>
      <c r="AE2941">
        <v>21.71538</v>
      </c>
      <c r="AF2941">
        <v>-5.4108994507398203</v>
      </c>
      <c r="AG2941">
        <v>-1.1131813632909999</v>
      </c>
      <c r="AH2941">
        <v>21.212871191713202</v>
      </c>
      <c r="AI2941">
        <v>92.910900713729902</v>
      </c>
      <c r="AJ2941">
        <v>104.30965336996999</v>
      </c>
      <c r="AK2941">
        <v>21.920376589142101</v>
      </c>
    </row>
    <row r="2942" spans="1:37" x14ac:dyDescent="0.2">
      <c r="A2942" t="str">
        <f>"20200111150649298"</f>
        <v>20200111150649298</v>
      </c>
      <c r="B2942" t="str">
        <f>"1578726409288977"</f>
        <v>1578726409288977</v>
      </c>
      <c r="C2942" t="s">
        <v>37</v>
      </c>
      <c r="D2942">
        <v>4.7552180000000002</v>
      </c>
      <c r="E2942">
        <v>0.43720519999999902</v>
      </c>
      <c r="F2942" t="s">
        <v>78</v>
      </c>
      <c r="G2942">
        <v>-205.6071</v>
      </c>
      <c r="H2942">
        <v>7.9987959999999997E-2</v>
      </c>
      <c r="I2942">
        <v>125.9092</v>
      </c>
      <c r="J2942">
        <v>-185.4948</v>
      </c>
      <c r="K2942">
        <v>1.113183</v>
      </c>
      <c r="L2942">
        <v>-36.83878</v>
      </c>
      <c r="M2942">
        <v>9.1356469999999995E-2</v>
      </c>
      <c r="N2942">
        <v>0</v>
      </c>
      <c r="O2942">
        <v>0.99572660000000002</v>
      </c>
      <c r="P2942">
        <v>3.2473340000000003E-2</v>
      </c>
      <c r="Q2942">
        <v>0.14126340000000001</v>
      </c>
      <c r="R2942">
        <v>0.98943930000000002</v>
      </c>
      <c r="S2942">
        <v>-0.37651059999999997</v>
      </c>
      <c r="T2942">
        <v>-1.9356729999999999E-2</v>
      </c>
      <c r="U2942">
        <v>3.0541689999999999</v>
      </c>
      <c r="V2942">
        <v>-6.1761209999999997E-2</v>
      </c>
      <c r="W2942">
        <v>0.153165</v>
      </c>
      <c r="X2942">
        <v>0.98626879999999995</v>
      </c>
      <c r="Y2942">
        <v>-0.2125157</v>
      </c>
      <c r="Z2942">
        <v>-6.2019850000000001E-3</v>
      </c>
      <c r="AA2942">
        <v>0.97713799999999995</v>
      </c>
      <c r="AB2942">
        <v>29</v>
      </c>
      <c r="AC2942">
        <v>-20.112300000000001</v>
      </c>
      <c r="AD2942">
        <v>-1.0331950400000001</v>
      </c>
      <c r="AE2942">
        <v>162.74797999999899</v>
      </c>
      <c r="AF2942">
        <v>-34.896232931529603</v>
      </c>
      <c r="AG2942">
        <v>-1.0331950400000001</v>
      </c>
      <c r="AH2942">
        <v>160.22336807000801</v>
      </c>
      <c r="AI2942">
        <v>90.361002038001999</v>
      </c>
      <c r="AJ2942">
        <v>102.286989422315</v>
      </c>
      <c r="AK2942">
        <v>163.98274982600901</v>
      </c>
    </row>
    <row r="2943" spans="1:37" x14ac:dyDescent="0.2">
      <c r="A2943" t="str">
        <f>"20200111150649321"</f>
        <v>20200111150649321</v>
      </c>
      <c r="B2943" t="str">
        <f>"1578726409309473"</f>
        <v>1578726409309473</v>
      </c>
      <c r="C2943" t="s">
        <v>37</v>
      </c>
      <c r="D2943">
        <v>4.540286</v>
      </c>
      <c r="E2943">
        <v>0.43827579999999999</v>
      </c>
      <c r="F2943" t="s">
        <v>39</v>
      </c>
      <c r="G2943">
        <v>-187.29069999999999</v>
      </c>
      <c r="H2943" s="1">
        <v>-3.3300619999999999E-6</v>
      </c>
      <c r="I2943">
        <v>-23.725010000000001</v>
      </c>
      <c r="J2943">
        <v>-185.48230000000001</v>
      </c>
      <c r="K2943">
        <v>1.1131659999999901</v>
      </c>
      <c r="L2943">
        <v>-36.561100000000003</v>
      </c>
      <c r="M2943">
        <v>7.8787159999999995E-2</v>
      </c>
      <c r="N2943">
        <v>0</v>
      </c>
      <c r="O2943">
        <v>0.99679980000000001</v>
      </c>
      <c r="P2943">
        <v>2.7533419999999999E-2</v>
      </c>
      <c r="Q2943">
        <v>0.13903219999999999</v>
      </c>
      <c r="R2943">
        <v>0.98990499999999904</v>
      </c>
      <c r="S2943">
        <v>-0.42225649999999998</v>
      </c>
      <c r="T2943">
        <v>-0.2617275</v>
      </c>
      <c r="U2943">
        <v>3.0832519999999999</v>
      </c>
      <c r="V2943">
        <v>-5.4193669999999999E-2</v>
      </c>
      <c r="W2943">
        <v>0.15113089999999901</v>
      </c>
      <c r="X2943">
        <v>0.98702710000000005</v>
      </c>
      <c r="Y2943">
        <v>-0.21285799999999999</v>
      </c>
      <c r="Z2943">
        <v>-8.2834080000000004E-2</v>
      </c>
      <c r="AA2943">
        <v>0.97356559999999903</v>
      </c>
      <c r="AB2943">
        <v>29</v>
      </c>
      <c r="AC2943">
        <v>-1.80839999999997</v>
      </c>
      <c r="AD2943">
        <v>-1.11316933006199</v>
      </c>
      <c r="AE2943">
        <v>12.83609</v>
      </c>
      <c r="AF2943">
        <v>-2.7935881973544099</v>
      </c>
      <c r="AG2943">
        <v>-1.11316933006199</v>
      </c>
      <c r="AH2943">
        <v>12.561060328529599</v>
      </c>
      <c r="AI2943">
        <v>94.944180826406196</v>
      </c>
      <c r="AJ2943">
        <v>102.53855034685201</v>
      </c>
      <c r="AK2943">
        <v>12.9160178673904</v>
      </c>
    </row>
    <row r="2944" spans="1:37" x14ac:dyDescent="0.2">
      <c r="A2944" t="str">
        <f>"20200111150649343"</f>
        <v>20200111150649343</v>
      </c>
      <c r="B2944" t="str">
        <f>"1578726409339728"</f>
        <v>1578726409339728</v>
      </c>
      <c r="C2944" t="s">
        <v>37</v>
      </c>
      <c r="D2944">
        <v>4.5742149999999997</v>
      </c>
      <c r="E2944">
        <v>0.44005329999999898</v>
      </c>
      <c r="F2944" t="s">
        <v>39</v>
      </c>
      <c r="G2944">
        <v>-187.42140000000001</v>
      </c>
      <c r="H2944" s="1">
        <v>-3.747726E-6</v>
      </c>
      <c r="I2944">
        <v>-22.697379999999999</v>
      </c>
      <c r="J2944">
        <v>-185.47319999999999</v>
      </c>
      <c r="K2944">
        <v>1.1131359999999999</v>
      </c>
      <c r="L2944">
        <v>-36.274569999999997</v>
      </c>
      <c r="M2944">
        <v>6.5867709999999996E-2</v>
      </c>
      <c r="N2944">
        <v>0</v>
      </c>
      <c r="O2944">
        <v>0.99773679999999998</v>
      </c>
      <c r="P2944">
        <v>1.669329E-2</v>
      </c>
      <c r="Q2944">
        <v>0.14383850000000001</v>
      </c>
      <c r="R2944">
        <v>0.98946029999999996</v>
      </c>
      <c r="S2944">
        <v>-0.43040469999999997</v>
      </c>
      <c r="T2944">
        <v>-0.24708559999999999</v>
      </c>
      <c r="U2944">
        <v>3.0772710000000001</v>
      </c>
      <c r="V2944">
        <v>-5.2268740000000001E-2</v>
      </c>
      <c r="W2944">
        <v>0.1559808</v>
      </c>
      <c r="X2944">
        <v>0.98637619999999904</v>
      </c>
      <c r="Y2944">
        <v>-0.20302409999999901</v>
      </c>
      <c r="Z2944">
        <v>-7.8561350000000002E-2</v>
      </c>
      <c r="AA2944">
        <v>0.97601709999999997</v>
      </c>
      <c r="AB2944">
        <v>29</v>
      </c>
      <c r="AC2944">
        <v>-1.9482000000000099</v>
      </c>
      <c r="AD2944">
        <v>-1.1131397477260001</v>
      </c>
      <c r="AE2944">
        <v>13.57719</v>
      </c>
      <c r="AF2944">
        <v>-2.8197772335196198</v>
      </c>
      <c r="AG2944">
        <v>-1.1131397477260001</v>
      </c>
      <c r="AH2944">
        <v>13.3315616708961</v>
      </c>
      <c r="AI2944">
        <v>94.670082367239502</v>
      </c>
      <c r="AJ2944">
        <v>101.94269291645701</v>
      </c>
      <c r="AK2944">
        <v>13.671896734892</v>
      </c>
    </row>
    <row r="2945" spans="1:37" x14ac:dyDescent="0.2">
      <c r="A2945" t="str">
        <f>"20200111150649366"</f>
        <v>20200111150649366</v>
      </c>
      <c r="B2945" t="str">
        <f>"1578726409359251"</f>
        <v>1578726409359251</v>
      </c>
      <c r="C2945" t="s">
        <v>37</v>
      </c>
      <c r="D2945">
        <v>4.5889119999999997</v>
      </c>
      <c r="E2945">
        <v>0.44095779999999901</v>
      </c>
      <c r="F2945" t="s">
        <v>39</v>
      </c>
      <c r="G2945">
        <v>-187.76439999999999</v>
      </c>
      <c r="H2945" s="1">
        <v>-4.6196949999999997E-6</v>
      </c>
      <c r="I2945">
        <v>-20.52299</v>
      </c>
      <c r="J2945">
        <v>-185.46770000000001</v>
      </c>
      <c r="K2945">
        <v>1.1130739999999999</v>
      </c>
      <c r="L2945">
        <v>-35.992220000000003</v>
      </c>
      <c r="M2945">
        <v>5.3233349999999999E-2</v>
      </c>
      <c r="N2945">
        <v>0</v>
      </c>
      <c r="O2945">
        <v>0.99849069999999995</v>
      </c>
      <c r="P2945">
        <v>6.1543860000000004E-4</v>
      </c>
      <c r="Q2945">
        <v>0.1509346</v>
      </c>
      <c r="R2945">
        <v>0.98854359999999997</v>
      </c>
      <c r="S2945">
        <v>-0.44670100000000001</v>
      </c>
      <c r="T2945">
        <v>-0.2170262</v>
      </c>
      <c r="U2945">
        <v>3.0710449999999998</v>
      </c>
      <c r="V2945">
        <v>-5.5903540000000002E-2</v>
      </c>
      <c r="W2945">
        <v>0.16297729999999999</v>
      </c>
      <c r="X2945">
        <v>0.98504480000000005</v>
      </c>
      <c r="Y2945">
        <v>-0.19607289999999999</v>
      </c>
      <c r="Z2945">
        <v>-6.9295410000000002E-2</v>
      </c>
      <c r="AA2945">
        <v>0.97813779999999995</v>
      </c>
      <c r="AB2945">
        <v>29</v>
      </c>
      <c r="AC2945">
        <v>-2.29669999999998</v>
      </c>
      <c r="AD2945">
        <v>-1.113078619695</v>
      </c>
      <c r="AE2945">
        <v>15.46923</v>
      </c>
      <c r="AF2945">
        <v>-3.1012866232477001</v>
      </c>
      <c r="AG2945">
        <v>-1.113078619695</v>
      </c>
      <c r="AH2945">
        <v>15.2477783025025</v>
      </c>
      <c r="AI2945">
        <v>94.091669174138801</v>
      </c>
      <c r="AJ2945">
        <v>101.49672026583301</v>
      </c>
      <c r="AK2945">
        <v>15.599732878976599</v>
      </c>
    </row>
    <row r="2946" spans="1:37" x14ac:dyDescent="0.2">
      <c r="A2946" t="str">
        <f>"20200111150649391"</f>
        <v>20200111150649391</v>
      </c>
      <c r="B2946" t="str">
        <f>"1578726409379745"</f>
        <v>1578726409379745</v>
      </c>
      <c r="C2946" t="s">
        <v>37</v>
      </c>
      <c r="D2946">
        <v>4.471152</v>
      </c>
      <c r="E2946">
        <v>0.4423202</v>
      </c>
      <c r="F2946" t="s">
        <v>39</v>
      </c>
      <c r="G2946">
        <v>-188.1181</v>
      </c>
      <c r="H2946" s="1">
        <v>-8.8229869999999995E-7</v>
      </c>
      <c r="I2946">
        <v>-19.230629999999898</v>
      </c>
      <c r="J2946">
        <v>-185.46549999999999</v>
      </c>
      <c r="K2946">
        <v>1.1129500000000001</v>
      </c>
      <c r="L2946">
        <v>-35.677979999999998</v>
      </c>
      <c r="M2946">
        <v>3.9354590000000002E-2</v>
      </c>
      <c r="N2946">
        <v>0</v>
      </c>
      <c r="O2946">
        <v>0.99913419999999897</v>
      </c>
      <c r="P2946">
        <v>-1.6521899999999999E-2</v>
      </c>
      <c r="Q2946">
        <v>0.15202009999999999</v>
      </c>
      <c r="R2946">
        <v>0.98823930000000004</v>
      </c>
      <c r="S2946">
        <v>-0.48483279999999901</v>
      </c>
      <c r="T2946">
        <v>-0.2036124</v>
      </c>
      <c r="U2946">
        <v>3.0661619999999998</v>
      </c>
      <c r="V2946">
        <v>-5.926998E-2</v>
      </c>
      <c r="W2946">
        <v>0.16397600000000001</v>
      </c>
      <c r="X2946">
        <v>0.9846821</v>
      </c>
      <c r="Y2946">
        <v>-0.19460459999999999</v>
      </c>
      <c r="Z2946">
        <v>-6.5146789999999996E-2</v>
      </c>
      <c r="AA2946">
        <v>0.97871600000000003</v>
      </c>
      <c r="AB2946">
        <v>29</v>
      </c>
      <c r="AC2946">
        <v>-2.6526000000000001</v>
      </c>
      <c r="AD2946">
        <v>-1.1129508822987</v>
      </c>
      <c r="AE2946">
        <v>16.44735</v>
      </c>
      <c r="AF2946">
        <v>-3.2832298994382301</v>
      </c>
      <c r="AG2946">
        <v>-1.1129508822987</v>
      </c>
      <c r="AH2946">
        <v>16.2576497824044</v>
      </c>
      <c r="AI2946">
        <v>93.838928720481803</v>
      </c>
      <c r="AJ2946">
        <v>101.417313286161</v>
      </c>
      <c r="AK2946">
        <v>16.6231595879451</v>
      </c>
    </row>
    <row r="2947" spans="1:37" x14ac:dyDescent="0.2">
      <c r="A2947" t="str">
        <f>"20200111150649436"</f>
        <v>20200111150649436</v>
      </c>
      <c r="B2947" t="str">
        <f>"1578726409429521"</f>
        <v>1578726409429521</v>
      </c>
      <c r="C2947" t="s">
        <v>37</v>
      </c>
      <c r="D2947">
        <v>4.4845969999999999</v>
      </c>
      <c r="E2947">
        <v>0.44584940000000001</v>
      </c>
      <c r="F2947" t="s">
        <v>39</v>
      </c>
      <c r="G2947">
        <v>-188.38099999999901</v>
      </c>
      <c r="H2947" s="1">
        <v>-9.9960949999999902E-7</v>
      </c>
      <c r="I2947">
        <v>-18.706520000000001</v>
      </c>
      <c r="J2947">
        <v>-185.47200000000001</v>
      </c>
      <c r="K2947">
        <v>1.112554</v>
      </c>
      <c r="L2947">
        <v>-35.116489999999999</v>
      </c>
      <c r="M2947">
        <v>1.538205E-2</v>
      </c>
      <c r="N2947">
        <v>0</v>
      </c>
      <c r="O2947">
        <v>0.99979169999999995</v>
      </c>
      <c r="P2947">
        <v>-3.9250069999999998E-2</v>
      </c>
      <c r="Q2947">
        <v>0.14343239999999999</v>
      </c>
      <c r="R2947">
        <v>0.98888149999999997</v>
      </c>
      <c r="S2947">
        <v>-0.52529910000000002</v>
      </c>
      <c r="T2947">
        <v>-0.200521799999999</v>
      </c>
      <c r="U2947">
        <v>3.0577700000000001</v>
      </c>
      <c r="V2947">
        <v>-5.7975039999999999E-2</v>
      </c>
      <c r="W2947">
        <v>0.15541089999999999</v>
      </c>
      <c r="X2947">
        <v>0.9861472</v>
      </c>
      <c r="Y2947">
        <v>-0.18410090000000001</v>
      </c>
      <c r="Z2947">
        <v>-6.4396620000000002E-2</v>
      </c>
      <c r="AA2947">
        <v>0.98079559999999999</v>
      </c>
      <c r="AB2947">
        <v>29</v>
      </c>
      <c r="AC2947">
        <v>-2.9089999999999598</v>
      </c>
      <c r="AD2947">
        <v>-1.1125549996095001</v>
      </c>
      <c r="AE2947">
        <v>16.409969999999898</v>
      </c>
      <c r="AF2947">
        <v>-3.14707266715115</v>
      </c>
      <c r="AG2947">
        <v>-1.1125549996095001</v>
      </c>
      <c r="AH2947">
        <v>16.2906790317864</v>
      </c>
      <c r="AI2947">
        <v>93.836180550565004</v>
      </c>
      <c r="AJ2947">
        <v>100.933849580486</v>
      </c>
      <c r="AK2947">
        <v>16.629133119804301</v>
      </c>
    </row>
    <row r="2948" spans="1:37" x14ac:dyDescent="0.2">
      <c r="A2948" t="str">
        <f>"20200111150649459"</f>
        <v>20200111150649459</v>
      </c>
      <c r="B2948" t="str">
        <f>"1578726409449040"</f>
        <v>1578726409449040</v>
      </c>
      <c r="C2948" t="s">
        <v>37</v>
      </c>
      <c r="D2948">
        <v>4.3893810000000002</v>
      </c>
      <c r="E2948">
        <v>0.44688539999999999</v>
      </c>
      <c r="F2948" t="s">
        <v>39</v>
      </c>
      <c r="G2948">
        <v>-188.2276</v>
      </c>
      <c r="H2948" s="1">
        <v>-5.0999059999999998E-7</v>
      </c>
      <c r="I2948">
        <v>-20.239070000000002</v>
      </c>
      <c r="J2948">
        <v>-185.48050000000001</v>
      </c>
      <c r="K2948">
        <v>1.1123259999999999</v>
      </c>
      <c r="L2948">
        <v>-34.817019999999999</v>
      </c>
      <c r="M2948">
        <v>3.0608609999999998E-3</v>
      </c>
      <c r="N2948">
        <v>0</v>
      </c>
      <c r="O2948">
        <v>0.99990590000000001</v>
      </c>
      <c r="P2948">
        <v>-4.9878600000000002E-2</v>
      </c>
      <c r="Q2948">
        <v>0.14361070000000001</v>
      </c>
      <c r="R2948">
        <v>0.98837649999999999</v>
      </c>
      <c r="S2948">
        <v>-0.56388850000000001</v>
      </c>
      <c r="T2948">
        <v>-0.22766259999999999</v>
      </c>
      <c r="U2948">
        <v>3.04437299999999</v>
      </c>
      <c r="V2948">
        <v>-5.6333479999999998E-2</v>
      </c>
      <c r="W2948">
        <v>0.15560869999999999</v>
      </c>
      <c r="X2948">
        <v>0.98621119999999995</v>
      </c>
      <c r="Y2948">
        <v>-0.18464439999999999</v>
      </c>
      <c r="Z2948">
        <v>-7.3311490000000007E-2</v>
      </c>
      <c r="AA2948">
        <v>0.98006729999999997</v>
      </c>
      <c r="AB2948">
        <v>29</v>
      </c>
      <c r="AC2948">
        <v>-2.7470999999999801</v>
      </c>
      <c r="AD2948">
        <v>-1.1123265099905999</v>
      </c>
      <c r="AE2948">
        <v>14.5779499999999</v>
      </c>
      <c r="AF2948">
        <v>-2.7761039945272499</v>
      </c>
      <c r="AG2948">
        <v>-1.1123265099905999</v>
      </c>
      <c r="AH2948">
        <v>14.488015889296801</v>
      </c>
      <c r="AI2948">
        <v>94.312161942598806</v>
      </c>
      <c r="AJ2948">
        <v>100.847183718566</v>
      </c>
      <c r="AK2948">
        <v>14.79346572179</v>
      </c>
    </row>
    <row r="2949" spans="1:37" x14ac:dyDescent="0.2">
      <c r="A2949" t="str">
        <f>"20200111150649483"</f>
        <v>20200111150649483</v>
      </c>
      <c r="B2949" t="str">
        <f>"1578726409479297"</f>
        <v>1578726409479297</v>
      </c>
      <c r="C2949" t="s">
        <v>37</v>
      </c>
      <c r="D2949">
        <v>4.3591629999999997</v>
      </c>
      <c r="E2949">
        <v>0.449104</v>
      </c>
      <c r="F2949" t="s">
        <v>39</v>
      </c>
      <c r="G2949">
        <v>-188.4485</v>
      </c>
      <c r="H2949" s="1">
        <v>-7.2501699999999999E-7</v>
      </c>
      <c r="I2949">
        <v>-19.434470000000001</v>
      </c>
      <c r="J2949">
        <v>-185.49189999999999</v>
      </c>
      <c r="K2949">
        <v>1.112125</v>
      </c>
      <c r="L2949">
        <v>-34.524349999999998</v>
      </c>
      <c r="M2949">
        <v>-8.6613690000000004E-3</v>
      </c>
      <c r="N2949">
        <v>0</v>
      </c>
      <c r="O2949">
        <v>0.99987380000000003</v>
      </c>
      <c r="P2949">
        <v>-6.0885380000000003E-2</v>
      </c>
      <c r="Q2949">
        <v>0.1476517</v>
      </c>
      <c r="R2949">
        <v>0.98716360000000003</v>
      </c>
      <c r="S2949">
        <v>-0.58610530000000005</v>
      </c>
      <c r="T2949">
        <v>-0.21965380000000001</v>
      </c>
      <c r="U2949">
        <v>3.03762799999999</v>
      </c>
      <c r="V2949">
        <v>-5.5760570000000002E-2</v>
      </c>
      <c r="W2949">
        <v>0.15963849999999999</v>
      </c>
      <c r="X2949">
        <v>0.98559949999999996</v>
      </c>
      <c r="Y2949">
        <v>-0.180465299999999</v>
      </c>
      <c r="Z2949">
        <v>-7.0876320000000007E-2</v>
      </c>
      <c r="AA2949">
        <v>0.98102440000000002</v>
      </c>
      <c r="AB2949">
        <v>29</v>
      </c>
      <c r="AC2949">
        <v>-2.9565999999999999</v>
      </c>
      <c r="AD2949">
        <v>-1.112125725017</v>
      </c>
      <c r="AE2949">
        <v>15.0898799999999</v>
      </c>
      <c r="AF2949">
        <v>-2.8110740374035901</v>
      </c>
      <c r="AG2949">
        <v>-1.112125725017</v>
      </c>
      <c r="AH2949">
        <v>15.0362712153785</v>
      </c>
      <c r="AI2949">
        <v>94.158272539290195</v>
      </c>
      <c r="AJ2949">
        <v>100.589368619703</v>
      </c>
      <c r="AK2949">
        <v>15.3371579158079</v>
      </c>
    </row>
    <row r="2950" spans="1:37" x14ac:dyDescent="0.2">
      <c r="A2950" t="str">
        <f>"20200111150649523"</f>
        <v>20200111150649523</v>
      </c>
      <c r="B2950" t="str">
        <f>"1578726409519312"</f>
        <v>1578726409519312</v>
      </c>
      <c r="C2950" t="s">
        <v>37</v>
      </c>
      <c r="D2950">
        <v>4.595675</v>
      </c>
      <c r="E2950">
        <v>0.45180290000000001</v>
      </c>
      <c r="F2950" t="s">
        <v>39</v>
      </c>
      <c r="G2950">
        <v>-188.6362</v>
      </c>
      <c r="H2950" s="1">
        <v>-9.9275809999999904E-7</v>
      </c>
      <c r="I2950">
        <v>-18.616989999999898</v>
      </c>
      <c r="J2950">
        <v>-185.51840000000001</v>
      </c>
      <c r="K2950">
        <v>1.1116299999999999</v>
      </c>
      <c r="L2950">
        <v>-34.02225</v>
      </c>
      <c r="M2950">
        <v>-2.7554470000000001E-2</v>
      </c>
      <c r="N2950">
        <v>0</v>
      </c>
      <c r="O2950">
        <v>0.99953289999999995</v>
      </c>
      <c r="P2950">
        <v>-7.3783849999999998E-2</v>
      </c>
      <c r="Q2950">
        <v>0.15693789999999999</v>
      </c>
      <c r="R2950">
        <v>0.98484839999999996</v>
      </c>
      <c r="S2950">
        <v>-0.59965519999999894</v>
      </c>
      <c r="T2950">
        <v>-0.2120977</v>
      </c>
      <c r="U2950">
        <v>3.0337519999999998</v>
      </c>
      <c r="V2950">
        <v>-5.0018840000000002E-2</v>
      </c>
      <c r="W2950">
        <v>0.1689966</v>
      </c>
      <c r="X2950">
        <v>0.98434659999999996</v>
      </c>
      <c r="Y2950">
        <v>-0.16634599999999999</v>
      </c>
      <c r="Z2950">
        <v>-6.8557119999999999E-2</v>
      </c>
      <c r="AA2950">
        <v>0.98368129999999998</v>
      </c>
      <c r="AB2950">
        <v>29</v>
      </c>
      <c r="AC2950">
        <v>-3.1177999999999799</v>
      </c>
      <c r="AD2950">
        <v>-1.1116309927580901</v>
      </c>
      <c r="AE2950">
        <v>15.40526</v>
      </c>
      <c r="AF2950">
        <v>-2.6786961009197001</v>
      </c>
      <c r="AG2950">
        <v>-1.1116309927580901</v>
      </c>
      <c r="AH2950">
        <v>15.4082534174486</v>
      </c>
      <c r="AI2950">
        <v>94.065691484251502</v>
      </c>
      <c r="AJ2950">
        <v>99.862197033093807</v>
      </c>
      <c r="AK2950">
        <v>15.678820416136499</v>
      </c>
    </row>
    <row r="2951" spans="1:37" x14ac:dyDescent="0.2">
      <c r="A2951" t="str">
        <f>"20200111150649545"</f>
        <v>20200111150649545</v>
      </c>
      <c r="B2951" t="str">
        <f>"1578726409539808"</f>
        <v>1578726409539808</v>
      </c>
      <c r="C2951" t="s">
        <v>37</v>
      </c>
      <c r="D2951">
        <v>4.4620989999999896</v>
      </c>
      <c r="E2951">
        <v>0.45308029999999999</v>
      </c>
      <c r="F2951" t="s">
        <v>39</v>
      </c>
      <c r="G2951">
        <v>-188.87700000000001</v>
      </c>
      <c r="H2951" s="1">
        <v>-1.4612850000000001E-6</v>
      </c>
      <c r="I2951">
        <v>-17.425279999999901</v>
      </c>
      <c r="J2951">
        <v>-185.5368</v>
      </c>
      <c r="K2951">
        <v>1.111245</v>
      </c>
      <c r="L2951">
        <v>-33.736939999999997</v>
      </c>
      <c r="M2951">
        <v>-3.7519360000000002E-2</v>
      </c>
      <c r="N2951">
        <v>0</v>
      </c>
      <c r="O2951">
        <v>0.99920940000000003</v>
      </c>
      <c r="P2951">
        <v>-7.6865340000000004E-2</v>
      </c>
      <c r="Q2951">
        <v>0.16353119999999999</v>
      </c>
      <c r="R2951">
        <v>0.98353919999999995</v>
      </c>
      <c r="S2951">
        <v>-0.61367799999999995</v>
      </c>
      <c r="T2951">
        <v>-0.20311489999999999</v>
      </c>
      <c r="U2951">
        <v>3.032562</v>
      </c>
      <c r="V2951">
        <v>-4.3270700000000002E-2</v>
      </c>
      <c r="W2951">
        <v>0.1756838</v>
      </c>
      <c r="X2951">
        <v>0.98349519999999901</v>
      </c>
      <c r="Y2951">
        <v>-0.1609979</v>
      </c>
      <c r="Z2951">
        <v>-6.5659659999999995E-2</v>
      </c>
      <c r="AA2951">
        <v>0.98476819999999898</v>
      </c>
      <c r="AB2951">
        <v>29</v>
      </c>
      <c r="AC2951">
        <v>-3.3401999999999998</v>
      </c>
      <c r="AD2951">
        <v>-1.1112464612849999</v>
      </c>
      <c r="AE2951">
        <v>16.31166</v>
      </c>
      <c r="AF2951">
        <v>-2.71370400685589</v>
      </c>
      <c r="AG2951">
        <v>-1.1112464612849999</v>
      </c>
      <c r="AH2951">
        <v>16.3526653893611</v>
      </c>
      <c r="AI2951">
        <v>93.835270430673802</v>
      </c>
      <c r="AJ2951">
        <v>99.422294404250295</v>
      </c>
      <c r="AK2951">
        <v>16.6135102693848</v>
      </c>
    </row>
    <row r="2952" spans="1:37" x14ac:dyDescent="0.2">
      <c r="A2952" t="str">
        <f>"20200111150649588"</f>
        <v>20200111150649588</v>
      </c>
      <c r="B2952" t="str">
        <f>"1578726409579824"</f>
        <v>1578726409579824</v>
      </c>
      <c r="C2952" t="s">
        <v>37</v>
      </c>
      <c r="D2952">
        <v>4.5218259999999999</v>
      </c>
      <c r="E2952">
        <v>0.45525459999999901</v>
      </c>
      <c r="F2952" t="s">
        <v>39</v>
      </c>
      <c r="G2952">
        <v>-189.22819999999999</v>
      </c>
      <c r="H2952" s="1">
        <v>-2.2610379999999998E-6</v>
      </c>
      <c r="I2952">
        <v>-15.41581</v>
      </c>
      <c r="J2952">
        <v>-185.57759999999999</v>
      </c>
      <c r="K2952">
        <v>1.1103319999999901</v>
      </c>
      <c r="L2952">
        <v>-33.197139999999997</v>
      </c>
      <c r="M2952">
        <v>-5.4518789999999998E-2</v>
      </c>
      <c r="N2952">
        <v>0</v>
      </c>
      <c r="O2952">
        <v>0.99842799999999998</v>
      </c>
      <c r="P2952">
        <v>-7.6825399999999905E-2</v>
      </c>
      <c r="Q2952">
        <v>0.16813549999999999</v>
      </c>
      <c r="R2952">
        <v>0.98276559999999902</v>
      </c>
      <c r="S2952">
        <v>-0.61109919999999995</v>
      </c>
      <c r="T2952">
        <v>-0.183966299999999</v>
      </c>
      <c r="U2952">
        <v>3.0330509999999999</v>
      </c>
      <c r="V2952">
        <v>-2.6168050000000002E-2</v>
      </c>
      <c r="W2952">
        <v>0.1805242</v>
      </c>
      <c r="X2952">
        <v>0.98322240000000005</v>
      </c>
      <c r="Y2952">
        <v>-0.14341799999999999</v>
      </c>
      <c r="Z2952">
        <v>-5.9499570000000002E-2</v>
      </c>
      <c r="AA2952">
        <v>0.98787199999999997</v>
      </c>
      <c r="AB2952">
        <v>29</v>
      </c>
      <c r="AC2952">
        <v>-3.6505999999999901</v>
      </c>
      <c r="AD2952">
        <v>-1.11033426103799</v>
      </c>
      <c r="AE2952">
        <v>17.781330000000001</v>
      </c>
      <c r="AF2952">
        <v>-2.66569729914093</v>
      </c>
      <c r="AG2952">
        <v>-1.11033426103799</v>
      </c>
      <c r="AH2952">
        <v>17.886998627852901</v>
      </c>
      <c r="AI2952">
        <v>93.513371259898904</v>
      </c>
      <c r="AJ2952">
        <v>98.476397347725694</v>
      </c>
      <c r="AK2952">
        <v>18.118595535379999</v>
      </c>
    </row>
    <row r="2953" spans="1:37" x14ac:dyDescent="0.2">
      <c r="A2953" t="str">
        <f>"20200111150649611"</f>
        <v>20200111150649611</v>
      </c>
      <c r="B2953" t="str">
        <f>"1578726409599345"</f>
        <v>1578726409599345</v>
      </c>
      <c r="C2953" t="s">
        <v>37</v>
      </c>
      <c r="D2953">
        <v>4.5505649999999997</v>
      </c>
      <c r="E2953">
        <v>0.45609739999999999</v>
      </c>
      <c r="F2953" t="s">
        <v>39</v>
      </c>
      <c r="G2953">
        <v>-189.0744</v>
      </c>
      <c r="H2953" s="1">
        <v>-2.4695470000000001E-6</v>
      </c>
      <c r="I2953">
        <v>-14.993359999999999</v>
      </c>
      <c r="J2953">
        <v>-185.60169999999999</v>
      </c>
      <c r="K2953">
        <v>1.1097680000000001</v>
      </c>
      <c r="L2953">
        <v>-32.91104</v>
      </c>
      <c r="M2953">
        <v>-6.2449240000000003E-2</v>
      </c>
      <c r="N2953">
        <v>0</v>
      </c>
      <c r="O2953">
        <v>0.99796439999999997</v>
      </c>
      <c r="P2953">
        <v>-7.9898540000000004E-2</v>
      </c>
      <c r="Q2953">
        <v>0.16592390000000001</v>
      </c>
      <c r="R2953">
        <v>0.98289649999999995</v>
      </c>
      <c r="S2953">
        <v>-0.5837097</v>
      </c>
      <c r="T2953">
        <v>-0.18534429999999999</v>
      </c>
      <c r="U2953">
        <v>3.0386959999999998</v>
      </c>
      <c r="V2953">
        <v>-2.111654E-2</v>
      </c>
      <c r="W2953">
        <v>0.17835039999999999</v>
      </c>
      <c r="X2953">
        <v>0.98374039999999996</v>
      </c>
      <c r="Y2953">
        <v>-0.12660279999999999</v>
      </c>
      <c r="Z2953">
        <v>-5.9913420000000002E-2</v>
      </c>
      <c r="AA2953">
        <v>0.99014249999999904</v>
      </c>
      <c r="AB2953">
        <v>29</v>
      </c>
      <c r="AC2953">
        <v>-3.4727000000000001</v>
      </c>
      <c r="AD2953">
        <v>-1.1097704695470001</v>
      </c>
      <c r="AE2953">
        <v>17.917679999999901</v>
      </c>
      <c r="AF2953">
        <v>-2.3382363951310201</v>
      </c>
      <c r="AG2953">
        <v>-1.1097704695470001</v>
      </c>
      <c r="AH2953">
        <v>18.032913386029499</v>
      </c>
      <c r="AI2953">
        <v>93.492456588133706</v>
      </c>
      <c r="AJ2953">
        <v>97.388032102033705</v>
      </c>
      <c r="AK2953">
        <v>18.217708558505201</v>
      </c>
    </row>
    <row r="2954" spans="1:37" x14ac:dyDescent="0.2">
      <c r="A2954" t="str">
        <f>"20200111150649635"</f>
        <v>20200111150649635</v>
      </c>
      <c r="B2954" t="str">
        <f>"1578726409629601"</f>
        <v>1578726409629601</v>
      </c>
      <c r="C2954" t="s">
        <v>37</v>
      </c>
      <c r="D2954">
        <v>4.5963849999999997</v>
      </c>
      <c r="E2954">
        <v>0.45719330000000002</v>
      </c>
      <c r="F2954" t="s">
        <v>39</v>
      </c>
      <c r="G2954">
        <v>-188.92320000000001</v>
      </c>
      <c r="H2954" s="1">
        <v>-2.2452199999999998E-6</v>
      </c>
      <c r="I2954">
        <v>-15.578779999999901</v>
      </c>
      <c r="J2954">
        <v>-185.63</v>
      </c>
      <c r="K2954">
        <v>1.1090629999999999</v>
      </c>
      <c r="L2954">
        <v>-32.595979999999997</v>
      </c>
      <c r="M2954">
        <v>-7.0065440000000007E-2</v>
      </c>
      <c r="N2954">
        <v>0</v>
      </c>
      <c r="O2954">
        <v>0.99745980000000001</v>
      </c>
      <c r="P2954">
        <v>-8.8027590000000003E-2</v>
      </c>
      <c r="Q2954">
        <v>0.16357720000000001</v>
      </c>
      <c r="R2954">
        <v>0.98259540000000001</v>
      </c>
      <c r="S2954">
        <v>-0.58213809999999999</v>
      </c>
      <c r="T2954">
        <v>-0.1945027</v>
      </c>
      <c r="U2954">
        <v>3.0377200000000002</v>
      </c>
      <c r="V2954">
        <v>-2.1384859999999999E-2</v>
      </c>
      <c r="W2954">
        <v>0.17594989999999999</v>
      </c>
      <c r="X2954">
        <v>0.98416680000000001</v>
      </c>
      <c r="Y2954">
        <v>-0.11855739999999899</v>
      </c>
      <c r="Z2954">
        <v>-6.2868830000000001E-2</v>
      </c>
      <c r="AA2954">
        <v>0.99095489999999997</v>
      </c>
      <c r="AB2954">
        <v>29</v>
      </c>
      <c r="AC2954">
        <v>-3.2932000000000099</v>
      </c>
      <c r="AD2954">
        <v>-1.1090652452199901</v>
      </c>
      <c r="AE2954">
        <v>17.017199999999999</v>
      </c>
      <c r="AF2954">
        <v>-2.08415645109267</v>
      </c>
      <c r="AG2954">
        <v>-1.1090652452199901</v>
      </c>
      <c r="AH2954">
        <v>17.135971768246801</v>
      </c>
      <c r="AI2954">
        <v>93.6760876626076</v>
      </c>
      <c r="AJ2954">
        <v>96.934519497766203</v>
      </c>
      <c r="AK2954">
        <v>17.297839815217898</v>
      </c>
    </row>
    <row r="2955" spans="1:37" x14ac:dyDescent="0.2">
      <c r="A2955" t="str">
        <f>"20200111150649658"</f>
        <v>20200111150649658</v>
      </c>
      <c r="B2955" t="str">
        <f>"1578726409649627"</f>
        <v>1578726409649627</v>
      </c>
      <c r="C2955" t="s">
        <v>37</v>
      </c>
      <c r="D2955">
        <v>4.715827</v>
      </c>
      <c r="E2955">
        <v>0.457733</v>
      </c>
      <c r="F2955" t="s">
        <v>39</v>
      </c>
      <c r="G2955">
        <v>-188.72059999999999</v>
      </c>
      <c r="H2955" s="1">
        <v>-1.734821E-6</v>
      </c>
      <c r="I2955">
        <v>-16.8523</v>
      </c>
      <c r="J2955">
        <v>-185.65700000000001</v>
      </c>
      <c r="K2955">
        <v>1.108352</v>
      </c>
      <c r="L2955">
        <v>-32.307279999999999</v>
      </c>
      <c r="M2955">
        <v>-7.5943540000000004E-2</v>
      </c>
      <c r="N2955">
        <v>0</v>
      </c>
      <c r="O2955">
        <v>0.99703050000000004</v>
      </c>
      <c r="P2955">
        <v>-9.6076120000000001E-2</v>
      </c>
      <c r="Q2955">
        <v>0.16148650000000001</v>
      </c>
      <c r="R2955">
        <v>0.98218709999999898</v>
      </c>
      <c r="S2955">
        <v>-0.59587100000000004</v>
      </c>
      <c r="T2955">
        <v>-0.21382470000000001</v>
      </c>
      <c r="U2955">
        <v>3.035339</v>
      </c>
      <c r="V2955">
        <v>-2.329637E-2</v>
      </c>
      <c r="W2955">
        <v>0.173794</v>
      </c>
      <c r="X2955">
        <v>0.9845064</v>
      </c>
      <c r="Y2955">
        <v>-0.11709</v>
      </c>
      <c r="Z2955">
        <v>-6.9070489999999998E-2</v>
      </c>
      <c r="AA2955">
        <v>0.9907165</v>
      </c>
      <c r="AB2955">
        <v>29</v>
      </c>
      <c r="AC2955">
        <v>-3.0635999999999699</v>
      </c>
      <c r="AD2955">
        <v>-1.108353734821</v>
      </c>
      <c r="AE2955">
        <v>15.4549799999999</v>
      </c>
      <c r="AF2955">
        <v>-1.87168761305196</v>
      </c>
      <c r="AG2955">
        <v>-1.108353734821</v>
      </c>
      <c r="AH2955">
        <v>15.5659904567436</v>
      </c>
      <c r="AI2955">
        <v>94.043758985322896</v>
      </c>
      <c r="AJ2955">
        <v>96.856448259270195</v>
      </c>
      <c r="AK2955">
        <v>15.7172428059688</v>
      </c>
    </row>
    <row r="2956" spans="1:37" x14ac:dyDescent="0.2">
      <c r="A2956" t="str">
        <f>"20200111150649682"</f>
        <v>20200111150649682</v>
      </c>
      <c r="B2956" t="str">
        <f>"1578726409679884"</f>
        <v>1578726409679884</v>
      </c>
      <c r="C2956" t="s">
        <v>37</v>
      </c>
      <c r="D2956">
        <v>4.7581850000000001</v>
      </c>
      <c r="E2956">
        <v>0.48872290000000002</v>
      </c>
      <c r="F2956" t="s">
        <v>39</v>
      </c>
      <c r="G2956">
        <v>-188.67099999999999</v>
      </c>
      <c r="H2956" s="1">
        <v>-1.4799029999999899E-6</v>
      </c>
      <c r="I2956">
        <v>-17.46705</v>
      </c>
      <c r="J2956">
        <v>-185.68639999999999</v>
      </c>
      <c r="K2956">
        <v>1.1076239999999999</v>
      </c>
      <c r="L2956">
        <v>-32.00076</v>
      </c>
      <c r="M2956">
        <v>-8.1235570000000007E-2</v>
      </c>
      <c r="N2956">
        <v>0</v>
      </c>
      <c r="O2956">
        <v>0.99661429999999995</v>
      </c>
      <c r="P2956">
        <v>-0.1014075</v>
      </c>
      <c r="Q2956">
        <v>0.16011420000000001</v>
      </c>
      <c r="R2956">
        <v>0.98187569999999902</v>
      </c>
      <c r="S2956">
        <v>-0.61567689999999997</v>
      </c>
      <c r="T2956">
        <v>-0.22640250000000001</v>
      </c>
      <c r="U2956">
        <v>3.0314030000000001</v>
      </c>
      <c r="V2956">
        <v>-2.307354E-2</v>
      </c>
      <c r="W2956">
        <v>0.1723865</v>
      </c>
      <c r="X2956">
        <v>0.9847591</v>
      </c>
      <c r="Y2956">
        <v>-0.1182279</v>
      </c>
      <c r="Z2956">
        <v>-7.3107820000000004E-2</v>
      </c>
      <c r="AA2956">
        <v>0.99029159999999905</v>
      </c>
      <c r="AB2956">
        <v>29</v>
      </c>
      <c r="AC2956">
        <v>-2.9845999999999999</v>
      </c>
      <c r="AD2956">
        <v>-1.1076254799030001</v>
      </c>
      <c r="AE2956">
        <v>14.533709999999999</v>
      </c>
      <c r="AF2956">
        <v>-1.7840424185769701</v>
      </c>
      <c r="AG2956">
        <v>-1.1076254799030001</v>
      </c>
      <c r="AH2956">
        <v>14.646516584628699</v>
      </c>
      <c r="AI2956">
        <v>94.293083081815595</v>
      </c>
      <c r="AJ2956">
        <v>96.944792785979701</v>
      </c>
      <c r="AK2956">
        <v>14.7962863455266</v>
      </c>
    </row>
    <row r="2957" spans="1:37" x14ac:dyDescent="0.2">
      <c r="A2957" t="str">
        <f>"20200111150649724"</f>
        <v>20200111150649724</v>
      </c>
      <c r="B2957" t="str">
        <f>"1578726409719900"</f>
        <v>1578726409719900</v>
      </c>
      <c r="C2957" t="s">
        <v>37</v>
      </c>
      <c r="D2957">
        <v>4.6233079999999998</v>
      </c>
      <c r="E2957">
        <v>0.50621570000000005</v>
      </c>
      <c r="F2957" t="s">
        <v>38</v>
      </c>
      <c r="G2957">
        <v>-185.792</v>
      </c>
      <c r="H2957">
        <v>1.026203</v>
      </c>
      <c r="I2957">
        <v>-31.16198</v>
      </c>
      <c r="J2957">
        <v>-185.73830000000001</v>
      </c>
      <c r="K2957">
        <v>1.1064259999999999</v>
      </c>
      <c r="L2957">
        <v>-31.47232</v>
      </c>
      <c r="M2957">
        <v>-8.7980210000000003E-2</v>
      </c>
      <c r="N2957">
        <v>0</v>
      </c>
      <c r="O2957">
        <v>0.99604309999999996</v>
      </c>
      <c r="P2957">
        <v>-0.10725750000000001</v>
      </c>
      <c r="Q2957">
        <v>0.15748909999999999</v>
      </c>
      <c r="R2957">
        <v>0.98167870000000002</v>
      </c>
      <c r="S2957">
        <v>-0.38618469999999999</v>
      </c>
      <c r="T2957">
        <v>-0.29746279999999897</v>
      </c>
      <c r="U2957">
        <v>3.0639949999999998</v>
      </c>
      <c r="V2957">
        <v>-2.171681E-2</v>
      </c>
      <c r="W2957">
        <v>0.16972039999999999</v>
      </c>
      <c r="X2957">
        <v>0.98525300000000005</v>
      </c>
      <c r="Y2957">
        <v>-3.6693160000000002E-2</v>
      </c>
      <c r="Z2957">
        <v>-9.5662570000000002E-2</v>
      </c>
      <c r="AA2957">
        <v>0.99473729999999905</v>
      </c>
      <c r="AB2957">
        <v>29</v>
      </c>
      <c r="AC2957">
        <v>-5.3699999999991997E-2</v>
      </c>
      <c r="AD2957">
        <v>-8.02230000000001E-2</v>
      </c>
      <c r="AE2957">
        <v>0.31034</v>
      </c>
      <c r="AF2957">
        <v>-2.4590380129604499E-2</v>
      </c>
      <c r="AG2957">
        <v>-8.02230000000001E-2</v>
      </c>
      <c r="AH2957">
        <v>0.29473869222020599</v>
      </c>
      <c r="AI2957">
        <v>105.175831774161</v>
      </c>
      <c r="AJ2957">
        <v>94.769205948829097</v>
      </c>
      <c r="AK2957">
        <v>0.30644952800680902</v>
      </c>
    </row>
    <row r="2958" spans="1:37" x14ac:dyDescent="0.2">
      <c r="A2958" t="str">
        <f>"20200111150649746"</f>
        <v>20200111150649746</v>
      </c>
      <c r="B2958" t="str">
        <f>"1578726409739420"</f>
        <v>1578726409739420</v>
      </c>
      <c r="C2958" t="s">
        <v>37</v>
      </c>
      <c r="D2958">
        <v>4.7503539999999997</v>
      </c>
      <c r="E2958">
        <v>0.5085636</v>
      </c>
      <c r="F2958" t="s">
        <v>38</v>
      </c>
      <c r="G2958">
        <v>-185.81010000000001</v>
      </c>
      <c r="H2958">
        <v>1.0447090000000001</v>
      </c>
      <c r="I2958">
        <v>-30.63983</v>
      </c>
      <c r="J2958">
        <v>-185.76660000000001</v>
      </c>
      <c r="K2958">
        <v>1.105828</v>
      </c>
      <c r="L2958">
        <v>-31.18732</v>
      </c>
      <c r="M2958">
        <v>-9.0460230000000003E-2</v>
      </c>
      <c r="N2958">
        <v>0</v>
      </c>
      <c r="O2958">
        <v>0.99582159999999997</v>
      </c>
      <c r="P2958">
        <v>-0.1071819</v>
      </c>
      <c r="Q2958">
        <v>0.1541517</v>
      </c>
      <c r="R2958">
        <v>0.98221650000000005</v>
      </c>
      <c r="S2958">
        <v>-0.26437379999999999</v>
      </c>
      <c r="T2958">
        <v>-0.22713729999999999</v>
      </c>
      <c r="U2958">
        <v>3.0635379999999999</v>
      </c>
      <c r="V2958">
        <v>-1.8868380000000001E-2</v>
      </c>
      <c r="W2958">
        <v>0.1663792</v>
      </c>
      <c r="X2958">
        <v>0.98588129999999996</v>
      </c>
      <c r="Y2958">
        <v>4.740073E-3</v>
      </c>
      <c r="Z2958">
        <v>-7.3349830000000005E-2</v>
      </c>
      <c r="AA2958">
        <v>0.99729500000000004</v>
      </c>
      <c r="AB2958">
        <v>29</v>
      </c>
      <c r="AC2958">
        <v>-4.3499999999994501E-2</v>
      </c>
      <c r="AD2958">
        <v>-6.1118999999999903E-2</v>
      </c>
      <c r="AE2958">
        <v>0.54748999999999903</v>
      </c>
      <c r="AF2958">
        <v>6.1323725102408197E-3</v>
      </c>
      <c r="AG2958">
        <v>-6.1118999999999903E-2</v>
      </c>
      <c r="AH2958">
        <v>0.54246235588279101</v>
      </c>
      <c r="AI2958">
        <v>96.4279734443775</v>
      </c>
      <c r="AJ2958">
        <v>89.352316168802304</v>
      </c>
      <c r="AK2958">
        <v>0.54592906654941198</v>
      </c>
    </row>
    <row r="2959" spans="1:37" x14ac:dyDescent="0.2">
      <c r="A2959" t="str">
        <f>"20200111150649790"</f>
        <v>20200111150649790</v>
      </c>
      <c r="B2959" t="str">
        <f>"1578726409779436"</f>
        <v>1578726409779436</v>
      </c>
      <c r="C2959" t="s">
        <v>37</v>
      </c>
      <c r="D2959">
        <v>4.7940620000000003</v>
      </c>
      <c r="E2959">
        <v>0.51245580000000002</v>
      </c>
      <c r="F2959" t="s">
        <v>38</v>
      </c>
      <c r="G2959">
        <v>-185.8306</v>
      </c>
      <c r="H2959">
        <v>1.043712</v>
      </c>
      <c r="I2959">
        <v>-30.389089999999999</v>
      </c>
      <c r="J2959">
        <v>-185.8211</v>
      </c>
      <c r="K2959">
        <v>1.104735</v>
      </c>
      <c r="L2959">
        <v>-30.63495</v>
      </c>
      <c r="M2959">
        <v>-9.3221139999999994E-2</v>
      </c>
      <c r="N2959">
        <v>0</v>
      </c>
      <c r="O2959">
        <v>0.99556819999999902</v>
      </c>
      <c r="P2959">
        <v>-0.102683</v>
      </c>
      <c r="Q2959">
        <v>0.1499731</v>
      </c>
      <c r="R2959">
        <v>0.98334339999999998</v>
      </c>
      <c r="S2959">
        <v>-0.24568179999999901</v>
      </c>
      <c r="T2959">
        <v>-0.23850079999999901</v>
      </c>
      <c r="U2959">
        <v>3.0649410000000001</v>
      </c>
      <c r="V2959">
        <v>-1.109125E-2</v>
      </c>
      <c r="W2959">
        <v>0.16218689999999999</v>
      </c>
      <c r="X2959">
        <v>0.98669769999999901</v>
      </c>
      <c r="Y2959">
        <v>1.3613750000000001E-2</v>
      </c>
      <c r="Z2959">
        <v>-7.6949729999999994E-2</v>
      </c>
      <c r="AA2959">
        <v>0.99694199999999999</v>
      </c>
      <c r="AB2959">
        <v>29</v>
      </c>
      <c r="AC2959">
        <v>-9.5000000000027198E-3</v>
      </c>
      <c r="AD2959">
        <v>-6.1023000000000001E-2</v>
      </c>
      <c r="AE2959">
        <v>0.245859999999996</v>
      </c>
      <c r="AF2959">
        <v>1.2682362822050401E-2</v>
      </c>
      <c r="AG2959">
        <v>-6.1023000000000001E-2</v>
      </c>
      <c r="AH2959">
        <v>0.231438525299801</v>
      </c>
      <c r="AI2959">
        <v>104.74974688124399</v>
      </c>
      <c r="AJ2959">
        <v>86.863444224952005</v>
      </c>
      <c r="AK2959">
        <v>0.23968404170636201</v>
      </c>
    </row>
    <row r="2960" spans="1:37" x14ac:dyDescent="0.2">
      <c r="A2960" t="str">
        <f>"20200111150649810"</f>
        <v>20200111150649810</v>
      </c>
      <c r="B2960" t="str">
        <f>"1578726409799932"</f>
        <v>1578726409799932</v>
      </c>
      <c r="C2960" t="s">
        <v>37</v>
      </c>
      <c r="D2960">
        <v>4.9975779999999999</v>
      </c>
      <c r="E2960">
        <v>0.51276109999999997</v>
      </c>
      <c r="F2960" t="s">
        <v>38</v>
      </c>
      <c r="G2960">
        <v>-185.87190000000001</v>
      </c>
      <c r="H2960">
        <v>1.04881</v>
      </c>
      <c r="I2960">
        <v>-29.8741599999999</v>
      </c>
      <c r="J2960">
        <v>-185.84729999999999</v>
      </c>
      <c r="K2960">
        <v>1.104277</v>
      </c>
      <c r="L2960">
        <v>-30.365779999999901</v>
      </c>
      <c r="M2960">
        <v>-9.3747700000000003E-2</v>
      </c>
      <c r="N2960">
        <v>0</v>
      </c>
      <c r="O2960">
        <v>0.99551919999999905</v>
      </c>
      <c r="P2960">
        <v>-0.1019963</v>
      </c>
      <c r="Q2960">
        <v>0.15185419999999999</v>
      </c>
      <c r="R2960">
        <v>0.98312619999999895</v>
      </c>
      <c r="S2960">
        <v>-0.20494079999999901</v>
      </c>
      <c r="T2960">
        <v>-0.22518629999999901</v>
      </c>
      <c r="U2960">
        <v>3.0637509999999999</v>
      </c>
      <c r="V2960">
        <v>-9.7228469999999997E-3</v>
      </c>
      <c r="W2960">
        <v>0.16404089999999999</v>
      </c>
      <c r="X2960">
        <v>0.98640559999999999</v>
      </c>
      <c r="Y2960">
        <v>2.727431E-2</v>
      </c>
      <c r="Z2960">
        <v>-7.2724949999999997E-2</v>
      </c>
      <c r="AA2960">
        <v>0.99697909999999901</v>
      </c>
      <c r="AB2960">
        <v>29</v>
      </c>
      <c r="AC2960">
        <v>-2.46000000000208E-2</v>
      </c>
      <c r="AD2960">
        <v>-5.5466999999999898E-2</v>
      </c>
      <c r="AE2960">
        <v>0.491620000000001</v>
      </c>
      <c r="AF2960">
        <v>2.1329290844238302E-2</v>
      </c>
      <c r="AG2960">
        <v>-5.5466999999999898E-2</v>
      </c>
      <c r="AH2960">
        <v>0.485595009218379</v>
      </c>
      <c r="AI2960">
        <v>96.510134352962794</v>
      </c>
      <c r="AJ2960">
        <v>87.484954944451005</v>
      </c>
      <c r="AK2960">
        <v>0.48921778352254902</v>
      </c>
    </row>
    <row r="2961" spans="1:37" x14ac:dyDescent="0.2">
      <c r="A2961" t="str">
        <f>"20200111150649837"</f>
        <v>20200111150649837</v>
      </c>
      <c r="B2961" t="str">
        <f>"1578726409829212"</f>
        <v>1578726409829212</v>
      </c>
      <c r="C2961" t="s">
        <v>37</v>
      </c>
      <c r="D2961">
        <v>4.8163339999999897</v>
      </c>
      <c r="E2961">
        <v>0.51491640000000005</v>
      </c>
      <c r="F2961" t="s">
        <v>39</v>
      </c>
      <c r="G2961">
        <v>-187.0446</v>
      </c>
      <c r="H2961" s="1">
        <v>-3.998412E-6</v>
      </c>
      <c r="I2961">
        <v>-12.26882</v>
      </c>
      <c r="J2961">
        <v>-185.8776</v>
      </c>
      <c r="K2961">
        <v>1.1037939999999999</v>
      </c>
      <c r="L2961">
        <v>-30.049409999999899</v>
      </c>
      <c r="M2961">
        <v>-9.3756850000000003E-2</v>
      </c>
      <c r="N2961">
        <v>0</v>
      </c>
      <c r="O2961">
        <v>0.99551889999999998</v>
      </c>
      <c r="P2961">
        <v>-0.1006928</v>
      </c>
      <c r="Q2961">
        <v>0.15616099999999999</v>
      </c>
      <c r="R2961">
        <v>0.98258570000000001</v>
      </c>
      <c r="S2961">
        <v>-0.2024078</v>
      </c>
      <c r="T2961">
        <v>-0.18668080000000001</v>
      </c>
      <c r="U2961">
        <v>3.059326</v>
      </c>
      <c r="V2961">
        <v>-8.27186699999999E-3</v>
      </c>
      <c r="W2961">
        <v>0.168312299999999</v>
      </c>
      <c r="X2961">
        <v>0.98569899999999999</v>
      </c>
      <c r="Y2961">
        <v>2.795483E-2</v>
      </c>
      <c r="Z2961">
        <v>-6.0427590000000003E-2</v>
      </c>
      <c r="AA2961">
        <v>0.99778099999999903</v>
      </c>
      <c r="AB2961">
        <v>29</v>
      </c>
      <c r="AC2961">
        <v>-1.167</v>
      </c>
      <c r="AD2961">
        <v>-1.1037979984119899</v>
      </c>
      <c r="AE2961">
        <v>17.780589999999901</v>
      </c>
      <c r="AF2961">
        <v>0.50338827510764095</v>
      </c>
      <c r="AG2961">
        <v>-1.1037979984119899</v>
      </c>
      <c r="AH2961">
        <v>17.743592761982502</v>
      </c>
      <c r="AI2961">
        <v>93.558255546195994</v>
      </c>
      <c r="AJ2961">
        <v>88.374946395435302</v>
      </c>
      <c r="AK2961">
        <v>17.785017680055699</v>
      </c>
    </row>
    <row r="2962" spans="1:37" x14ac:dyDescent="0.2">
      <c r="A2962" t="str">
        <f>"20200111150649880"</f>
        <v>20200111150649880</v>
      </c>
      <c r="B2962" t="str">
        <f>"1578726409868934"</f>
        <v>1578726409868934</v>
      </c>
      <c r="C2962" t="s">
        <v>37</v>
      </c>
      <c r="D2962">
        <v>4.8370030000000002</v>
      </c>
      <c r="E2962">
        <v>0.51581540000000003</v>
      </c>
      <c r="F2962" t="s">
        <v>38</v>
      </c>
      <c r="G2962">
        <v>-185.93469999999999</v>
      </c>
      <c r="H2962">
        <v>1.051088</v>
      </c>
      <c r="I2962">
        <v>-29.097439999999999</v>
      </c>
      <c r="J2962">
        <v>-185.9298</v>
      </c>
      <c r="K2962">
        <v>1.1031329999999999</v>
      </c>
      <c r="L2962">
        <v>-29.48724</v>
      </c>
      <c r="M2962">
        <v>-9.2543459999999994E-2</v>
      </c>
      <c r="N2962">
        <v>0</v>
      </c>
      <c r="O2962">
        <v>0.99563310000000005</v>
      </c>
      <c r="P2962">
        <v>-9.6807950000000004E-2</v>
      </c>
      <c r="Q2962">
        <v>0.16080050000000001</v>
      </c>
      <c r="R2962">
        <v>0.98222779999999998</v>
      </c>
      <c r="S2962">
        <v>-0.18377689999999999</v>
      </c>
      <c r="T2962">
        <v>-0.1694753</v>
      </c>
      <c r="U2962">
        <v>3.0612789999999999</v>
      </c>
      <c r="V2962">
        <v>-5.3510629999999997E-3</v>
      </c>
      <c r="W2962">
        <v>0.1728952</v>
      </c>
      <c r="X2962">
        <v>0.98492570000000002</v>
      </c>
      <c r="Y2962">
        <v>3.2807059999999999E-2</v>
      </c>
      <c r="Z2962">
        <v>-5.485694E-2</v>
      </c>
      <c r="AA2962">
        <v>0.99795509999999998</v>
      </c>
      <c r="AB2962">
        <v>29</v>
      </c>
      <c r="AC2962">
        <v>-4.8999999999921303E-3</v>
      </c>
      <c r="AD2962">
        <v>-5.2044999999999897E-2</v>
      </c>
      <c r="AE2962">
        <v>0.38979999999999998</v>
      </c>
      <c r="AF2962">
        <v>3.0650863532505901E-2</v>
      </c>
      <c r="AG2962">
        <v>-5.2044999999999897E-2</v>
      </c>
      <c r="AH2962">
        <v>0.38177569629804903</v>
      </c>
      <c r="AI2962">
        <v>97.738312304364598</v>
      </c>
      <c r="AJ2962">
        <v>85.409853392127502</v>
      </c>
      <c r="AK2962">
        <v>0.38652404807999802</v>
      </c>
    </row>
    <row r="2963" spans="1:37" x14ac:dyDescent="0.2">
      <c r="A2963" t="str">
        <f>"20200111150649901"</f>
        <v>20200111150649901</v>
      </c>
      <c r="B2963" t="str">
        <f>"1578726409899188"</f>
        <v>1578726409899188</v>
      </c>
      <c r="C2963" t="s">
        <v>37</v>
      </c>
      <c r="D2963">
        <v>4.9163199999999998</v>
      </c>
      <c r="E2963">
        <v>0.51734760000000002</v>
      </c>
      <c r="F2963" t="s">
        <v>39</v>
      </c>
      <c r="G2963">
        <v>-187.12540000000001</v>
      </c>
      <c r="H2963" s="1">
        <v>-1.758992E-6</v>
      </c>
      <c r="I2963">
        <v>-7.455552</v>
      </c>
      <c r="J2963">
        <v>-185.95480000000001</v>
      </c>
      <c r="K2963">
        <v>1.102897</v>
      </c>
      <c r="L2963">
        <v>-29.209350000000001</v>
      </c>
      <c r="M2963">
        <v>-9.1549560000000002E-2</v>
      </c>
      <c r="N2963">
        <v>0</v>
      </c>
      <c r="O2963">
        <v>0.99572530000000004</v>
      </c>
      <c r="P2963">
        <v>-9.4381969999999996E-2</v>
      </c>
      <c r="Q2963">
        <v>0.1606234</v>
      </c>
      <c r="R2963">
        <v>0.9824929</v>
      </c>
      <c r="S2963">
        <v>-0.16622919999999999</v>
      </c>
      <c r="T2963">
        <v>-0.15336639999999899</v>
      </c>
      <c r="U2963">
        <v>3.0630189999999899</v>
      </c>
      <c r="V2963">
        <v>-3.794305E-3</v>
      </c>
      <c r="W2963">
        <v>0.17269509999999999</v>
      </c>
      <c r="X2963">
        <v>0.98496799999999995</v>
      </c>
      <c r="Y2963">
        <v>3.7526539999999997E-2</v>
      </c>
      <c r="Z2963">
        <v>-4.9639080000000002E-2</v>
      </c>
      <c r="AA2963">
        <v>0.998062</v>
      </c>
      <c r="AB2963">
        <v>29</v>
      </c>
      <c r="AC2963">
        <v>-1.1706000000000001</v>
      </c>
      <c r="AD2963">
        <v>-1.1028987589920001</v>
      </c>
      <c r="AE2963">
        <v>21.753798</v>
      </c>
      <c r="AF2963">
        <v>0.823904819781342</v>
      </c>
      <c r="AG2963">
        <v>-1.1028987589920001</v>
      </c>
      <c r="AH2963">
        <v>21.713953167217799</v>
      </c>
      <c r="AI2963">
        <v>92.905590857785597</v>
      </c>
      <c r="AJ2963">
        <v>87.827036211787103</v>
      </c>
      <c r="AK2963">
        <v>21.757549654608901</v>
      </c>
    </row>
    <row r="2964" spans="1:37" x14ac:dyDescent="0.2">
      <c r="A2964" t="str">
        <f>"20200111150649923"</f>
        <v>20200111150649923</v>
      </c>
      <c r="B2964" t="str">
        <f>"1578726409919684"</f>
        <v>1578726409919684</v>
      </c>
      <c r="C2964" t="s">
        <v>37</v>
      </c>
      <c r="D2964">
        <v>4.8475159999999997</v>
      </c>
      <c r="E2964">
        <v>0.51846610000000004</v>
      </c>
      <c r="F2964" t="s">
        <v>39</v>
      </c>
      <c r="G2964">
        <v>-187.03530000000001</v>
      </c>
      <c r="H2964" s="1">
        <v>-1.9882899999999998E-6</v>
      </c>
      <c r="I2964">
        <v>-6.9583110000000001</v>
      </c>
      <c r="J2964">
        <v>-185.9796</v>
      </c>
      <c r="K2964">
        <v>1.1027009999999999</v>
      </c>
      <c r="L2964">
        <v>-28.92755</v>
      </c>
      <c r="M2964">
        <v>-9.0350639999999996E-2</v>
      </c>
      <c r="N2964">
        <v>0</v>
      </c>
      <c r="O2964">
        <v>0.99583509999999997</v>
      </c>
      <c r="P2964">
        <v>-9.184639E-2</v>
      </c>
      <c r="Q2964">
        <v>0.15996389999999999</v>
      </c>
      <c r="R2964">
        <v>0.98284069999999901</v>
      </c>
      <c r="S2964">
        <v>-0.14878849999999999</v>
      </c>
      <c r="T2964">
        <v>-0.15187049999999999</v>
      </c>
      <c r="U2964">
        <v>3.0639949999999998</v>
      </c>
      <c r="V2964">
        <v>-2.3447160000000002E-3</v>
      </c>
      <c r="W2964">
        <v>0.172014</v>
      </c>
      <c r="X2964">
        <v>0.98509169999999902</v>
      </c>
      <c r="Y2964">
        <v>4.2005130000000002E-2</v>
      </c>
      <c r="Z2964">
        <v>-4.9151309999999997E-2</v>
      </c>
      <c r="AA2964">
        <v>0.99790769999999995</v>
      </c>
      <c r="AB2964">
        <v>29</v>
      </c>
      <c r="AC2964">
        <v>-1.0557000000000001</v>
      </c>
      <c r="AD2964">
        <v>-1.1027029882899999</v>
      </c>
      <c r="AE2964">
        <v>21.969239000000002</v>
      </c>
      <c r="AF2964">
        <v>0.93136034360150599</v>
      </c>
      <c r="AG2964">
        <v>-1.1027029882899999</v>
      </c>
      <c r="AH2964">
        <v>21.9196661307456</v>
      </c>
      <c r="AI2964">
        <v>92.877333926274702</v>
      </c>
      <c r="AJ2964">
        <v>87.566982184652602</v>
      </c>
      <c r="AK2964">
        <v>21.967137939508</v>
      </c>
    </row>
    <row r="2965" spans="1:37" x14ac:dyDescent="0.2">
      <c r="A2965" t="str">
        <f>"20200111150649947"</f>
        <v>20200111150649947</v>
      </c>
      <c r="B2965" t="str">
        <f>"1578726409939204"</f>
        <v>1578726409939204</v>
      </c>
      <c r="C2965" t="s">
        <v>37</v>
      </c>
      <c r="D2965">
        <v>4.9232250000000004</v>
      </c>
      <c r="E2965">
        <v>0.51866809999999997</v>
      </c>
      <c r="F2965" t="s">
        <v>39</v>
      </c>
      <c r="G2965">
        <v>-186.9135</v>
      </c>
      <c r="H2965" s="1">
        <v>-1.8581630000000001E-6</v>
      </c>
      <c r="I2965">
        <v>-7.3120279999999998</v>
      </c>
      <c r="J2965">
        <v>-186.00579999999999</v>
      </c>
      <c r="K2965">
        <v>1.102517</v>
      </c>
      <c r="L2965">
        <v>-28.623290000000001</v>
      </c>
      <c r="M2965">
        <v>-8.8858039999999999E-2</v>
      </c>
      <c r="N2965">
        <v>0</v>
      </c>
      <c r="O2965">
        <v>0.99596969999999996</v>
      </c>
      <c r="P2965">
        <v>-8.9614890000000003E-2</v>
      </c>
      <c r="Q2965">
        <v>0.15968199999999999</v>
      </c>
      <c r="R2965">
        <v>0.98309249999999904</v>
      </c>
      <c r="S2965">
        <v>-0.13243099999999999</v>
      </c>
      <c r="T2965">
        <v>-0.15638260000000001</v>
      </c>
      <c r="U2965">
        <v>3.0654599999999999</v>
      </c>
      <c r="V2965">
        <v>-1.5021029999999901E-3</v>
      </c>
      <c r="W2965">
        <v>0.17171149999999999</v>
      </c>
      <c r="X2965">
        <v>0.98514609999999903</v>
      </c>
      <c r="Y2965">
        <v>4.5847260000000001E-2</v>
      </c>
      <c r="Z2965">
        <v>-5.0595849999999998E-2</v>
      </c>
      <c r="AA2965">
        <v>0.99766630000000001</v>
      </c>
      <c r="AB2965">
        <v>29</v>
      </c>
      <c r="AC2965">
        <v>-0.90770000000000495</v>
      </c>
      <c r="AD2965">
        <v>-1.1025188581630001</v>
      </c>
      <c r="AE2965">
        <v>21.311261999999999</v>
      </c>
      <c r="AF2965">
        <v>0.98707178390667405</v>
      </c>
      <c r="AG2965">
        <v>-1.1025188581630001</v>
      </c>
      <c r="AH2965">
        <v>21.250837833532501</v>
      </c>
      <c r="AI2965">
        <v>92.966717889377193</v>
      </c>
      <c r="AJ2965">
        <v>87.340602365411996</v>
      </c>
      <c r="AK2965">
        <v>21.3022995746066</v>
      </c>
    </row>
    <row r="2966" spans="1:37" x14ac:dyDescent="0.2">
      <c r="A2966" t="str">
        <f>"20200111150649970"</f>
        <v>20200111150649970</v>
      </c>
      <c r="B2966" t="str">
        <f>"1578726409959268"</f>
        <v>1578726409959268</v>
      </c>
      <c r="C2966" t="s">
        <v>37</v>
      </c>
      <c r="D2966">
        <v>4.8953040000000003</v>
      </c>
      <c r="E2966">
        <v>0.51938709999999999</v>
      </c>
      <c r="F2966" t="s">
        <v>39</v>
      </c>
      <c r="G2966">
        <v>-186.88900000000001</v>
      </c>
      <c r="H2966" s="1">
        <v>-2.213054E-6</v>
      </c>
      <c r="I2966">
        <v>-6.4948990000000002</v>
      </c>
      <c r="J2966">
        <v>-186.03030000000001</v>
      </c>
      <c r="K2966">
        <v>1.1023529999999999</v>
      </c>
      <c r="L2966">
        <v>-28.331939999999999</v>
      </c>
      <c r="M2966">
        <v>-8.7260470000000007E-2</v>
      </c>
      <c r="N2966">
        <v>0</v>
      </c>
      <c r="O2966">
        <v>0.99611109999999903</v>
      </c>
      <c r="P2966">
        <v>-8.657753E-2</v>
      </c>
      <c r="Q2966">
        <v>0.1592972</v>
      </c>
      <c r="R2966">
        <v>0.98342700000000005</v>
      </c>
      <c r="S2966">
        <v>-0.1223297</v>
      </c>
      <c r="T2966">
        <v>-0.152722</v>
      </c>
      <c r="U2966">
        <v>3.0652469999999998</v>
      </c>
      <c r="V2966" s="1">
        <v>3.7414889999999999E-5</v>
      </c>
      <c r="W2966">
        <v>0.171308399999999</v>
      </c>
      <c r="X2966">
        <v>0.98521749999999997</v>
      </c>
      <c r="Y2966">
        <v>4.7521670000000002E-2</v>
      </c>
      <c r="Z2966">
        <v>-4.9429830000000001E-2</v>
      </c>
      <c r="AA2966">
        <v>0.99764649999999999</v>
      </c>
      <c r="AB2966">
        <v>29</v>
      </c>
      <c r="AC2966">
        <v>-0.85869999999999802</v>
      </c>
      <c r="AD2966">
        <v>-1.102355213054</v>
      </c>
      <c r="AE2966">
        <v>21.837040999999999</v>
      </c>
      <c r="AF2966">
        <v>1.0475623176901401</v>
      </c>
      <c r="AG2966">
        <v>-1.102355213054</v>
      </c>
      <c r="AH2966">
        <v>21.773268217313198</v>
      </c>
      <c r="AI2966">
        <v>92.895000837115902</v>
      </c>
      <c r="AJ2966">
        <v>87.245491527672996</v>
      </c>
      <c r="AK2966">
        <v>21.826309415204701</v>
      </c>
    </row>
    <row r="2967" spans="1:37" x14ac:dyDescent="0.2">
      <c r="A2967" t="str">
        <f>"20200111150650013"</f>
        <v>20200111150650013</v>
      </c>
      <c r="B2967" t="str">
        <f>"1578726410009042"</f>
        <v>1578726410009042</v>
      </c>
      <c r="C2967" t="s">
        <v>37</v>
      </c>
      <c r="D2967">
        <v>5.9171860000000001</v>
      </c>
      <c r="E2967">
        <v>0.52037670000000003</v>
      </c>
      <c r="F2967" t="s">
        <v>39</v>
      </c>
      <c r="G2967">
        <v>-186.77359999999999</v>
      </c>
      <c r="H2967" s="1">
        <v>-2.0806639999999899E-6</v>
      </c>
      <c r="I2967">
        <v>-6.8512009999999997</v>
      </c>
      <c r="J2967">
        <v>-186.0744</v>
      </c>
      <c r="K2967">
        <v>1.1020829999999999</v>
      </c>
      <c r="L2967">
        <v>-27.7822</v>
      </c>
      <c r="M2967">
        <v>-8.3860710000000005E-2</v>
      </c>
      <c r="N2967">
        <v>0</v>
      </c>
      <c r="O2967">
        <v>0.99640329999999999</v>
      </c>
      <c r="P2967">
        <v>-7.8866210000000006E-2</v>
      </c>
      <c r="Q2967">
        <v>0.15867049999999999</v>
      </c>
      <c r="R2967">
        <v>0.98417670000000002</v>
      </c>
      <c r="S2967">
        <v>-0.10612489999999999</v>
      </c>
      <c r="T2967">
        <v>-0.1573784</v>
      </c>
      <c r="U2967">
        <v>3.0667110000000002</v>
      </c>
      <c r="V2967">
        <v>4.5239490000000002E-3</v>
      </c>
      <c r="W2967">
        <v>0.1706464</v>
      </c>
      <c r="X2967">
        <v>0.98532189999999997</v>
      </c>
      <c r="Y2967">
        <v>4.9398829999999998E-2</v>
      </c>
      <c r="Z2967">
        <v>-5.0933840000000001E-2</v>
      </c>
      <c r="AA2967">
        <v>0.99747960000000002</v>
      </c>
      <c r="AB2967">
        <v>29</v>
      </c>
      <c r="AC2967">
        <v>-0.69919999999999005</v>
      </c>
      <c r="AD2967">
        <v>-1.1020850806639999</v>
      </c>
      <c r="AE2967">
        <v>20.930999</v>
      </c>
      <c r="AF2967">
        <v>1.05575783007018</v>
      </c>
      <c r="AG2967">
        <v>-1.1020850806639999</v>
      </c>
      <c r="AH2967">
        <v>20.8581361970293</v>
      </c>
      <c r="AI2967">
        <v>93.020675043332503</v>
      </c>
      <c r="AJ2967">
        <v>87.102383076635903</v>
      </c>
      <c r="AK2967">
        <v>20.913896378594799</v>
      </c>
    </row>
    <row r="2968" spans="1:37" x14ac:dyDescent="0.2">
      <c r="A2968" t="str">
        <f>"20200111150650039"</f>
        <v>20200111150650039</v>
      </c>
      <c r="B2968" t="str">
        <f>"1578726410029539"</f>
        <v>1578726410029539</v>
      </c>
      <c r="C2968" t="s">
        <v>37</v>
      </c>
      <c r="D2968">
        <v>4.5324929999999997</v>
      </c>
      <c r="E2968">
        <v>0.52045209999999997</v>
      </c>
      <c r="F2968" t="s">
        <v>38</v>
      </c>
      <c r="G2968">
        <v>-186.0977</v>
      </c>
      <c r="H2968">
        <v>1.053366</v>
      </c>
      <c r="I2968">
        <v>-26.799109999999999</v>
      </c>
      <c r="J2968">
        <v>-186.09989999999999</v>
      </c>
      <c r="K2968">
        <v>1.1019680000000001</v>
      </c>
      <c r="L2968">
        <v>-27.449190000000002</v>
      </c>
      <c r="M2968">
        <v>-8.1605720000000007E-2</v>
      </c>
      <c r="N2968">
        <v>0</v>
      </c>
      <c r="O2968">
        <v>0.99659069999999905</v>
      </c>
      <c r="P2968">
        <v>-7.6300460000000001E-2</v>
      </c>
      <c r="Q2968">
        <v>0.15794259999999999</v>
      </c>
      <c r="R2968">
        <v>0.98449599999999904</v>
      </c>
      <c r="S2968">
        <v>-7.3104859999999994E-2</v>
      </c>
      <c r="T2968">
        <v>-0.15188170000000001</v>
      </c>
      <c r="U2968">
        <v>3.0668639999999998</v>
      </c>
      <c r="V2968">
        <v>4.9145680000000002E-3</v>
      </c>
      <c r="W2968">
        <v>0.16990739999999999</v>
      </c>
      <c r="X2968">
        <v>0.98544779999999998</v>
      </c>
      <c r="Y2968">
        <v>5.786666E-2</v>
      </c>
      <c r="Z2968">
        <v>-4.9167139999999998E-2</v>
      </c>
      <c r="AA2968">
        <v>0.99711289999999997</v>
      </c>
      <c r="AB2968">
        <v>29</v>
      </c>
      <c r="AC2968">
        <v>2.1999999999877599E-3</v>
      </c>
      <c r="AD2968">
        <v>-4.8601999999999999E-2</v>
      </c>
      <c r="AE2968">
        <v>0.65008000000000199</v>
      </c>
      <c r="AF2968">
        <v>5.4939736782836597E-2</v>
      </c>
      <c r="AG2968">
        <v>-4.8601999999999999E-2</v>
      </c>
      <c r="AH2968">
        <v>0.64413156983450603</v>
      </c>
      <c r="AI2968">
        <v>94.299440695260401</v>
      </c>
      <c r="AJ2968">
        <v>85.124885899423504</v>
      </c>
      <c r="AK2968">
        <v>0.648294692512003</v>
      </c>
    </row>
    <row r="2969" spans="1:37" x14ac:dyDescent="0.2">
      <c r="A2969" t="str">
        <f>"20200111150650062"</f>
        <v>20200111150650062</v>
      </c>
      <c r="B2969" t="str">
        <f>"1578726410059436"</f>
        <v>1578726410059436</v>
      </c>
      <c r="C2969" t="s">
        <v>37</v>
      </c>
      <c r="D2969">
        <v>5.0910449999999896</v>
      </c>
      <c r="E2969">
        <v>0.52070559999999999</v>
      </c>
      <c r="F2969" t="s">
        <v>39</v>
      </c>
      <c r="G2969">
        <v>-186.57079999999999</v>
      </c>
      <c r="H2969" s="1">
        <v>-2.9120919999999998E-6</v>
      </c>
      <c r="I2969">
        <v>-4.9969989999999997</v>
      </c>
      <c r="J2969">
        <v>-186.12139999999999</v>
      </c>
      <c r="K2969">
        <v>1.101909</v>
      </c>
      <c r="L2969">
        <v>-27.16019</v>
      </c>
      <c r="M2969">
        <v>-7.9579280000000002E-2</v>
      </c>
      <c r="N2969">
        <v>0</v>
      </c>
      <c r="O2969">
        <v>0.99675460000000005</v>
      </c>
      <c r="P2969">
        <v>-7.4141440000000003E-2</v>
      </c>
      <c r="Q2969">
        <v>0.15660189999999999</v>
      </c>
      <c r="R2969">
        <v>0.9848751</v>
      </c>
      <c r="S2969">
        <v>-6.4300540000000003E-2</v>
      </c>
      <c r="T2969">
        <v>-0.15050150000000001</v>
      </c>
      <c r="U2969">
        <v>3.0664060000000002</v>
      </c>
      <c r="V2969">
        <v>5.108179E-3</v>
      </c>
      <c r="W2969">
        <v>0.1685605</v>
      </c>
      <c r="X2969">
        <v>0.985678099999999</v>
      </c>
      <c r="Y2969">
        <v>5.8694320000000001E-2</v>
      </c>
      <c r="Z2969">
        <v>-4.8741090000000001E-2</v>
      </c>
      <c r="AA2969">
        <v>0.99708539999999901</v>
      </c>
      <c r="AB2969">
        <v>29</v>
      </c>
      <c r="AC2969">
        <v>-0.44939999999999702</v>
      </c>
      <c r="AD2969">
        <v>-1.101911912092</v>
      </c>
      <c r="AE2969">
        <v>22.163191000000001</v>
      </c>
      <c r="AF2969">
        <v>1.31264287753922</v>
      </c>
      <c r="AG2969">
        <v>-1.101911912092</v>
      </c>
      <c r="AH2969">
        <v>22.0741141505973</v>
      </c>
      <c r="AI2969">
        <v>92.852729830103698</v>
      </c>
      <c r="AJ2969">
        <v>86.596899207808406</v>
      </c>
      <c r="AK2969">
        <v>22.140545537984501</v>
      </c>
    </row>
    <row r="2970" spans="1:37" x14ac:dyDescent="0.2">
      <c r="A2970" t="str">
        <f>"20200111150650085"</f>
        <v>20200111150650085</v>
      </c>
      <c r="B2970" t="str">
        <f>"1578726410079932"</f>
        <v>1578726410079932</v>
      </c>
      <c r="C2970" t="s">
        <v>37</v>
      </c>
      <c r="D2970">
        <v>4.9947850000000003</v>
      </c>
      <c r="E2970">
        <v>0.52131859999999997</v>
      </c>
      <c r="F2970" t="s">
        <v>39</v>
      </c>
      <c r="G2970">
        <v>-186.50899999999999</v>
      </c>
      <c r="H2970" s="1">
        <v>-2.548904E-6</v>
      </c>
      <c r="I2970">
        <v>-5.8691509999999996</v>
      </c>
      <c r="J2970">
        <v>-186.14349999999999</v>
      </c>
      <c r="K2970">
        <v>1.101877</v>
      </c>
      <c r="L2970">
        <v>-26.852599999999999</v>
      </c>
      <c r="M2970">
        <v>-7.737376E-2</v>
      </c>
      <c r="N2970">
        <v>0</v>
      </c>
      <c r="O2970">
        <v>0.99692829999999999</v>
      </c>
      <c r="P2970">
        <v>-7.1733420000000006E-2</v>
      </c>
      <c r="Q2970">
        <v>0.15622520000000001</v>
      </c>
      <c r="R2970">
        <v>0.98511319999999902</v>
      </c>
      <c r="S2970">
        <v>-5.5831909999999998E-2</v>
      </c>
      <c r="T2970">
        <v>-0.158737299999999</v>
      </c>
      <c r="U2970">
        <v>3.0671080000000002</v>
      </c>
      <c r="V2970">
        <v>5.3547769999999998E-3</v>
      </c>
      <c r="W2970">
        <v>0.16817599999999999</v>
      </c>
      <c r="X2970">
        <v>0.98574240000000002</v>
      </c>
      <c r="Y2970">
        <v>5.924484E-2</v>
      </c>
      <c r="Z2970">
        <v>-5.140364E-2</v>
      </c>
      <c r="AA2970">
        <v>0.99691909999999895</v>
      </c>
      <c r="AB2970">
        <v>29</v>
      </c>
      <c r="AC2970">
        <v>-0.36550000000002503</v>
      </c>
      <c r="AD2970">
        <v>-1.1018795489040001</v>
      </c>
      <c r="AE2970">
        <v>20.983449</v>
      </c>
      <c r="AF2970">
        <v>1.2558219110412301</v>
      </c>
      <c r="AG2970">
        <v>-1.1018795489040001</v>
      </c>
      <c r="AH2970">
        <v>20.891226879835202</v>
      </c>
      <c r="AI2970">
        <v>93.013760752034102</v>
      </c>
      <c r="AJ2970">
        <v>86.559952396268997</v>
      </c>
      <c r="AK2970">
        <v>20.9579242234839</v>
      </c>
    </row>
    <row r="2971" spans="1:37" x14ac:dyDescent="0.2">
      <c r="A2971" t="str">
        <f>"20200111150650127"</f>
        <v>20200111150650127</v>
      </c>
      <c r="B2971" t="str">
        <f>"1578726410119949"</f>
        <v>1578726410119949</v>
      </c>
      <c r="C2971" t="s">
        <v>37</v>
      </c>
      <c r="D2971">
        <v>5.1044419999999997</v>
      </c>
      <c r="E2971">
        <v>0.52180159999999998</v>
      </c>
      <c r="F2971" t="s">
        <v>39</v>
      </c>
      <c r="G2971">
        <v>-186.44820000000001</v>
      </c>
      <c r="H2971" s="1">
        <v>-2.4535030000000002E-6</v>
      </c>
      <c r="I2971">
        <v>-6.1166700000000001</v>
      </c>
      <c r="J2971">
        <v>-186.1798</v>
      </c>
      <c r="K2971">
        <v>1.10189</v>
      </c>
      <c r="L2971">
        <v>-26.325320000000001</v>
      </c>
      <c r="M2971">
        <v>-7.3571910000000004E-2</v>
      </c>
      <c r="N2971">
        <v>0</v>
      </c>
      <c r="O2971">
        <v>0.9972162</v>
      </c>
      <c r="P2971">
        <v>-6.8547259999999999E-2</v>
      </c>
      <c r="Q2971">
        <v>0.15855150000000001</v>
      </c>
      <c r="R2971">
        <v>0.98496839999999997</v>
      </c>
      <c r="S2971">
        <v>-4.5074459999999997E-2</v>
      </c>
      <c r="T2971">
        <v>-0.16302420000000001</v>
      </c>
      <c r="U2971">
        <v>3.0679020000000001</v>
      </c>
      <c r="V2971">
        <v>4.7701480000000001E-3</v>
      </c>
      <c r="W2971">
        <v>0.17049</v>
      </c>
      <c r="X2971">
        <v>0.98534789999999906</v>
      </c>
      <c r="Y2971">
        <v>5.893897E-2</v>
      </c>
      <c r="Z2971">
        <v>-5.2799249999999999E-2</v>
      </c>
      <c r="AA2971">
        <v>0.99686430000000004</v>
      </c>
      <c r="AB2971">
        <v>29</v>
      </c>
      <c r="AC2971">
        <v>-0.26840000000001302</v>
      </c>
      <c r="AD2971">
        <v>-1.1018924535029999</v>
      </c>
      <c r="AE2971">
        <v>20.208649999999999</v>
      </c>
      <c r="AF2971">
        <v>1.2156123301264901</v>
      </c>
      <c r="AG2971">
        <v>-1.1018924535029999</v>
      </c>
      <c r="AH2971">
        <v>20.113833816556099</v>
      </c>
      <c r="AI2971">
        <v>93.129990061714395</v>
      </c>
      <c r="AJ2971">
        <v>86.541442977973603</v>
      </c>
      <c r="AK2971">
        <v>20.180639016549499</v>
      </c>
    </row>
    <row r="2972" spans="1:37" x14ac:dyDescent="0.2">
      <c r="A2972" t="str">
        <f>"20200111150650148"</f>
        <v>20200111150650148</v>
      </c>
      <c r="B2972" t="str">
        <f>"1578726410139469"</f>
        <v>1578726410139469</v>
      </c>
      <c r="C2972" t="s">
        <v>37</v>
      </c>
      <c r="D2972">
        <v>7.2545409999999997</v>
      </c>
      <c r="E2972">
        <v>0.52208180000000004</v>
      </c>
      <c r="F2972" t="s">
        <v>39</v>
      </c>
      <c r="G2972">
        <v>-186.4151</v>
      </c>
      <c r="H2972" s="1">
        <v>-2.663261E-6</v>
      </c>
      <c r="I2972">
        <v>-5.6413739999999999</v>
      </c>
      <c r="J2972">
        <v>-186.19829999999999</v>
      </c>
      <c r="K2972">
        <v>1.101909</v>
      </c>
      <c r="L2972">
        <v>-26.044740000000001</v>
      </c>
      <c r="M2972">
        <v>-7.1577310000000005E-2</v>
      </c>
      <c r="N2972">
        <v>0</v>
      </c>
      <c r="O2972">
        <v>0.99736150000000001</v>
      </c>
      <c r="P2972">
        <v>-6.8245429999999996E-2</v>
      </c>
      <c r="Q2972">
        <v>0.16021869999999999</v>
      </c>
      <c r="R2972">
        <v>0.98471949999999997</v>
      </c>
      <c r="S2972">
        <v>-3.4927369999999999E-2</v>
      </c>
      <c r="T2972">
        <v>-0.16353019999999999</v>
      </c>
      <c r="U2972">
        <v>3.0696720000000002</v>
      </c>
      <c r="V2972">
        <v>3.0819109999999901E-3</v>
      </c>
      <c r="W2972">
        <v>0.17215639999999999</v>
      </c>
      <c r="X2972">
        <v>0.98506479999999996</v>
      </c>
      <c r="Y2972">
        <v>6.0245550000000002E-2</v>
      </c>
      <c r="Z2972">
        <v>-5.294285E-2</v>
      </c>
      <c r="AA2972">
        <v>0.99677850000000001</v>
      </c>
      <c r="AB2972">
        <v>29</v>
      </c>
      <c r="AC2972">
        <v>-0.21680000000000599</v>
      </c>
      <c r="AD2972">
        <v>-1.101911663261</v>
      </c>
      <c r="AE2972">
        <v>20.403365999999998</v>
      </c>
      <c r="AF2972">
        <v>1.2406631498726599</v>
      </c>
      <c r="AG2972">
        <v>-1.101911663261</v>
      </c>
      <c r="AH2972">
        <v>20.307320471732002</v>
      </c>
      <c r="AI2972">
        <v>93.100156928480402</v>
      </c>
      <c r="AJ2972">
        <v>86.503895327715895</v>
      </c>
      <c r="AK2972">
        <v>20.375002309367002</v>
      </c>
    </row>
    <row r="2973" spans="1:37" x14ac:dyDescent="0.2">
      <c r="A2973" t="str">
        <f>"20200111150650171"</f>
        <v>20200111150650171</v>
      </c>
      <c r="B2973" t="str">
        <f>"1578726410159964"</f>
        <v>1578726410159964</v>
      </c>
      <c r="C2973" t="s">
        <v>37</v>
      </c>
      <c r="D2973">
        <v>4.7281870000000001</v>
      </c>
      <c r="E2973">
        <v>0.51756579999999996</v>
      </c>
      <c r="F2973" t="s">
        <v>39</v>
      </c>
      <c r="G2973">
        <v>-186.42269999999999</v>
      </c>
      <c r="H2973" s="1">
        <v>-2.9474029999999998E-6</v>
      </c>
      <c r="I2973">
        <v>-4.9758930000000001</v>
      </c>
      <c r="J2973">
        <v>-186.21700000000001</v>
      </c>
      <c r="K2973">
        <v>1.101936</v>
      </c>
      <c r="L2973">
        <v>-25.75394</v>
      </c>
      <c r="M2973">
        <v>-6.9552059999999999E-2</v>
      </c>
      <c r="N2973">
        <v>0</v>
      </c>
      <c r="O2973">
        <v>0.99750479999999997</v>
      </c>
      <c r="P2973">
        <v>-6.8923529999999997E-2</v>
      </c>
      <c r="Q2973">
        <v>0.16239410000000001</v>
      </c>
      <c r="R2973">
        <v>0.98431589999999902</v>
      </c>
      <c r="S2973">
        <v>-3.2699579999999999E-2</v>
      </c>
      <c r="T2973">
        <v>-0.1605839</v>
      </c>
      <c r="U2973">
        <v>3.0704039999999999</v>
      </c>
      <c r="V2973">
        <v>3.7323099999999899E-4</v>
      </c>
      <c r="W2973">
        <v>0.1743335</v>
      </c>
      <c r="X2973">
        <v>0.98468659999999997</v>
      </c>
      <c r="Y2973">
        <v>5.8944040000000003E-2</v>
      </c>
      <c r="Z2973">
        <v>-5.1992669999999998E-2</v>
      </c>
      <c r="AA2973">
        <v>0.99690639999999997</v>
      </c>
      <c r="AB2973">
        <v>29</v>
      </c>
      <c r="AC2973">
        <v>-0.20569999999997801</v>
      </c>
      <c r="AD2973">
        <v>-1.1019389474029999</v>
      </c>
      <c r="AE2973">
        <v>20.778047000000001</v>
      </c>
      <c r="AF2973">
        <v>1.2365825343274299</v>
      </c>
      <c r="AG2973">
        <v>-1.1019389474029999</v>
      </c>
      <c r="AH2973">
        <v>20.683860393917399</v>
      </c>
      <c r="AI2973">
        <v>93.044141955454705</v>
      </c>
      <c r="AJ2973">
        <v>86.578649884029701</v>
      </c>
      <c r="AK2973">
        <v>20.7500719662142</v>
      </c>
    </row>
    <row r="2974" spans="1:37" x14ac:dyDescent="0.2">
      <c r="A2974" t="str">
        <f>"20200111150650196"</f>
        <v>20200111150650196</v>
      </c>
      <c r="B2974" t="str">
        <f>"1578726410189244"</f>
        <v>1578726410189244</v>
      </c>
      <c r="C2974" t="s">
        <v>37</v>
      </c>
      <c r="D2974">
        <v>4.9993109999999996</v>
      </c>
      <c r="E2974">
        <v>0.48785020000000001</v>
      </c>
      <c r="F2974" t="s">
        <v>53</v>
      </c>
      <c r="G2974">
        <v>0</v>
      </c>
      <c r="H2974">
        <v>0</v>
      </c>
      <c r="I2974">
        <v>0</v>
      </c>
      <c r="J2974">
        <v>-186.23570000000001</v>
      </c>
      <c r="K2974">
        <v>1.101982</v>
      </c>
      <c r="L2974">
        <v>-25.45261</v>
      </c>
      <c r="M2974">
        <v>-6.7521230000000002E-2</v>
      </c>
      <c r="N2974">
        <v>0</v>
      </c>
      <c r="O2974">
        <v>0.99764439999999999</v>
      </c>
      <c r="P2974">
        <v>-6.9142049999999997E-2</v>
      </c>
      <c r="Q2974">
        <v>0.16433699999999901</v>
      </c>
      <c r="R2974">
        <v>0.98397800000000002</v>
      </c>
      <c r="S2974">
        <v>-6.3720700000000005E-2</v>
      </c>
      <c r="T2974">
        <v>1.0380819999999999</v>
      </c>
      <c r="U2974">
        <v>2.8720699999999999</v>
      </c>
      <c r="V2974">
        <v>-1.8843479999999899E-3</v>
      </c>
      <c r="W2974">
        <v>0.17627660000000001</v>
      </c>
      <c r="X2974">
        <v>0.98433890000000002</v>
      </c>
      <c r="Y2974">
        <v>4.6690299999999997E-2</v>
      </c>
      <c r="Z2974">
        <v>0.33856370000000002</v>
      </c>
      <c r="AA2974">
        <v>0.93978430000000002</v>
      </c>
      <c r="AB2974">
        <v>29</v>
      </c>
      <c r="AC2974">
        <v>-6.3720700000000005E-2</v>
      </c>
      <c r="AD2974">
        <v>1.0380819999999999</v>
      </c>
      <c r="AE2974">
        <v>2.8720699999999999</v>
      </c>
      <c r="AF2974">
        <v>0.115308288132314</v>
      </c>
      <c r="AG2974">
        <v>1.0380819999999999</v>
      </c>
      <c r="AH2974">
        <v>2.53837002137386</v>
      </c>
      <c r="AI2974">
        <v>67.778274346427395</v>
      </c>
      <c r="AJ2974">
        <v>87.399063394362301</v>
      </c>
      <c r="AK2974">
        <v>2.7448556620422702</v>
      </c>
    </row>
    <row r="2975" spans="1:37" x14ac:dyDescent="0.2">
      <c r="A2975" t="str">
        <f>"20200111150650217"</f>
        <v>20200111150650217</v>
      </c>
      <c r="B2975" t="str">
        <f>"1578726410209740"</f>
        <v>1578726410209740</v>
      </c>
      <c r="C2975" t="s">
        <v>37</v>
      </c>
      <c r="D2975">
        <v>5.0265690000000003</v>
      </c>
      <c r="E2975">
        <v>0.48443930000000002</v>
      </c>
      <c r="F2975" t="s">
        <v>39</v>
      </c>
      <c r="G2975">
        <v>-187.79669999999999</v>
      </c>
      <c r="H2975" s="1">
        <v>-7.132941E-7</v>
      </c>
      <c r="I2975">
        <v>-9.9786009999999994</v>
      </c>
      <c r="J2975">
        <v>-186.25299999999999</v>
      </c>
      <c r="K2975">
        <v>1.102036</v>
      </c>
      <c r="L2975">
        <v>-25.165859999999999</v>
      </c>
      <c r="M2975">
        <v>-6.5653600000000006E-2</v>
      </c>
      <c r="N2975">
        <v>0</v>
      </c>
      <c r="O2975">
        <v>0.99776909999999897</v>
      </c>
      <c r="P2975">
        <v>-6.9293300000000002E-2</v>
      </c>
      <c r="Q2975">
        <v>0.16585529999999901</v>
      </c>
      <c r="R2975">
        <v>0.98371260000000005</v>
      </c>
      <c r="S2975">
        <v>-0.30903629999999999</v>
      </c>
      <c r="T2975">
        <v>-0.21817220000000001</v>
      </c>
      <c r="U2975">
        <v>3.0635680000000001</v>
      </c>
      <c r="V2975">
        <v>-3.9123400000000003E-3</v>
      </c>
      <c r="W2975">
        <v>0.17779529999999999</v>
      </c>
      <c r="X2975">
        <v>0.98405969999999998</v>
      </c>
      <c r="Y2975">
        <v>-3.4570829999999997E-2</v>
      </c>
      <c r="Z2975">
        <v>-7.0606489999999994E-2</v>
      </c>
      <c r="AA2975">
        <v>0.99690499999999904</v>
      </c>
      <c r="AB2975">
        <v>29</v>
      </c>
      <c r="AC2975">
        <v>-1.5437000000000001</v>
      </c>
      <c r="AD2975">
        <v>-1.1020367132941</v>
      </c>
      <c r="AE2975">
        <v>15.187258999999999</v>
      </c>
      <c r="AF2975">
        <v>-0.540381462151306</v>
      </c>
      <c r="AG2975">
        <v>-1.1020367132941</v>
      </c>
      <c r="AH2975">
        <v>15.1767493465742</v>
      </c>
      <c r="AI2975">
        <v>94.150536235862305</v>
      </c>
      <c r="AJ2975">
        <v>92.039204984240001</v>
      </c>
      <c r="AK2975">
        <v>15.226300199681701</v>
      </c>
    </row>
    <row r="2976" spans="1:37" x14ac:dyDescent="0.2">
      <c r="A2976" t="str">
        <f>"20200111150650239"</f>
        <v>20200111150650239</v>
      </c>
      <c r="B2976" t="str">
        <f>"1578726410229260"</f>
        <v>1578726410229260</v>
      </c>
      <c r="C2976" t="s">
        <v>37</v>
      </c>
      <c r="D2976">
        <v>4.9590269999999999</v>
      </c>
      <c r="E2976">
        <v>0.4839446</v>
      </c>
      <c r="F2976" t="s">
        <v>39</v>
      </c>
      <c r="G2976">
        <v>-187.9682</v>
      </c>
      <c r="H2976" s="1">
        <v>-8.0073660000000001E-7</v>
      </c>
      <c r="I2976">
        <v>-9.5875229999999991</v>
      </c>
      <c r="J2976">
        <v>-186.27</v>
      </c>
      <c r="K2976">
        <v>1.1020829999999999</v>
      </c>
      <c r="L2976">
        <v>-24.876370000000001</v>
      </c>
      <c r="M2976">
        <v>-6.3823240000000003E-2</v>
      </c>
      <c r="N2976">
        <v>0</v>
      </c>
      <c r="O2976">
        <v>0.99788779999999999</v>
      </c>
      <c r="P2976">
        <v>-6.9614860000000001E-2</v>
      </c>
      <c r="Q2976">
        <v>0.16603870000000001</v>
      </c>
      <c r="R2976">
        <v>0.9836589</v>
      </c>
      <c r="S2976">
        <v>-0.33717350000000001</v>
      </c>
      <c r="T2976">
        <v>-0.2166419</v>
      </c>
      <c r="U2976">
        <v>3.0624389999999999</v>
      </c>
      <c r="V2976">
        <v>-6.0640390000000002E-3</v>
      </c>
      <c r="W2976">
        <v>0.177982</v>
      </c>
      <c r="X2976">
        <v>0.98401499999999997</v>
      </c>
      <c r="Y2976">
        <v>-4.5500939999999997E-2</v>
      </c>
      <c r="Z2976">
        <v>-7.0102869999999998E-2</v>
      </c>
      <c r="AA2976">
        <v>0.99650149999999904</v>
      </c>
      <c r="AB2976">
        <v>29</v>
      </c>
      <c r="AC2976">
        <v>-1.6981999999999799</v>
      </c>
      <c r="AD2976">
        <v>-1.1020838007365901</v>
      </c>
      <c r="AE2976">
        <v>15.288847000000001</v>
      </c>
      <c r="AF2976">
        <v>-0.71521094682563002</v>
      </c>
      <c r="AG2976">
        <v>-1.1020838007365901</v>
      </c>
      <c r="AH2976">
        <v>15.287596190032</v>
      </c>
      <c r="AI2976">
        <v>94.118833903140796</v>
      </c>
      <c r="AJ2976">
        <v>92.678557868478194</v>
      </c>
      <c r="AK2976">
        <v>15.3439471020917</v>
      </c>
    </row>
    <row r="2977" spans="1:37" x14ac:dyDescent="0.2">
      <c r="A2977" t="str">
        <f>"20200111150650260"</f>
        <v>20200111150650260</v>
      </c>
      <c r="B2977" t="str">
        <f>"1578726410249756"</f>
        <v>1578726410249756</v>
      </c>
      <c r="C2977" t="s">
        <v>37</v>
      </c>
      <c r="D2977">
        <v>4.9898280000000002</v>
      </c>
      <c r="E2977">
        <v>0.4832864</v>
      </c>
      <c r="F2977" t="s">
        <v>39</v>
      </c>
      <c r="G2977">
        <v>-188.06710000000001</v>
      </c>
      <c r="H2977" s="1">
        <v>-1.0287100000000001E-6</v>
      </c>
      <c r="I2977">
        <v>-8.8402969999999996</v>
      </c>
      <c r="J2977">
        <v>-186.28530000000001</v>
      </c>
      <c r="K2977">
        <v>1.102123</v>
      </c>
      <c r="L2977">
        <v>-24.609860000000001</v>
      </c>
      <c r="M2977">
        <v>-6.2187970000000002E-2</v>
      </c>
      <c r="N2977">
        <v>0</v>
      </c>
      <c r="O2977">
        <v>0.99799110000000002</v>
      </c>
      <c r="P2977">
        <v>-7.0403540000000001E-2</v>
      </c>
      <c r="Q2977">
        <v>0.165966</v>
      </c>
      <c r="R2977">
        <v>0.98361509999999996</v>
      </c>
      <c r="S2977">
        <v>-0.34303279999999903</v>
      </c>
      <c r="T2977">
        <v>-0.21037259999999999</v>
      </c>
      <c r="U2977">
        <v>3.0610659999999998</v>
      </c>
      <c r="V2977">
        <v>-8.4866809999999994E-3</v>
      </c>
      <c r="W2977">
        <v>0.1779145</v>
      </c>
      <c r="X2977">
        <v>0.98400940000000003</v>
      </c>
      <c r="Y2977">
        <v>-4.908585E-2</v>
      </c>
      <c r="Z2977">
        <v>-6.8111649999999996E-2</v>
      </c>
      <c r="AA2977">
        <v>0.99646939999999995</v>
      </c>
      <c r="AB2977">
        <v>29</v>
      </c>
      <c r="AC2977">
        <v>-1.7818000000000001</v>
      </c>
      <c r="AD2977">
        <v>-1.10212402871</v>
      </c>
      <c r="AE2977">
        <v>15.769563</v>
      </c>
      <c r="AF2977">
        <v>-0.79377350098676303</v>
      </c>
      <c r="AG2977">
        <v>-1.10212402871</v>
      </c>
      <c r="AH2977">
        <v>15.7737744358601</v>
      </c>
      <c r="AI2977">
        <v>93.991763671522705</v>
      </c>
      <c r="AJ2977">
        <v>92.8808285389227</v>
      </c>
      <c r="AK2977">
        <v>15.8321417912714</v>
      </c>
    </row>
    <row r="2978" spans="1:37" x14ac:dyDescent="0.2">
      <c r="A2978" t="str">
        <f>"20200111150650280"</f>
        <v>20200111150650280</v>
      </c>
      <c r="B2978" t="str">
        <f>"1578726410269276"</f>
        <v>1578726410269276</v>
      </c>
      <c r="C2978" t="s">
        <v>37</v>
      </c>
      <c r="D2978">
        <v>4.9526029999999999</v>
      </c>
      <c r="E2978">
        <v>0.48353760000000001</v>
      </c>
      <c r="F2978" t="s">
        <v>39</v>
      </c>
      <c r="G2978">
        <v>-188.0966</v>
      </c>
      <c r="H2978" s="1">
        <v>-1.0188159999999999E-6</v>
      </c>
      <c r="I2978">
        <v>-8.8463169999999902</v>
      </c>
      <c r="J2978">
        <v>-186.3</v>
      </c>
      <c r="K2978">
        <v>1.1021590000000001</v>
      </c>
      <c r="L2978">
        <v>-24.345610000000001</v>
      </c>
      <c r="M2978">
        <v>-6.0615570000000001E-2</v>
      </c>
      <c r="N2978">
        <v>0</v>
      </c>
      <c r="O2978">
        <v>0.99808790000000003</v>
      </c>
      <c r="P2978">
        <v>-7.1249729999999997E-2</v>
      </c>
      <c r="Q2978">
        <v>0.16556979999999999</v>
      </c>
      <c r="R2978">
        <v>0.98362090000000002</v>
      </c>
      <c r="S2978">
        <v>-0.3517151</v>
      </c>
      <c r="T2978">
        <v>-0.2140069</v>
      </c>
      <c r="U2978">
        <v>3.0609130000000002</v>
      </c>
      <c r="V2978">
        <v>-1.090153E-2</v>
      </c>
      <c r="W2978">
        <v>0.17752309999999999</v>
      </c>
      <c r="X2978">
        <v>0.98405619999999905</v>
      </c>
      <c r="Y2978">
        <v>-5.3445819999999998E-2</v>
      </c>
      <c r="Z2978">
        <v>-6.9277389999999994E-2</v>
      </c>
      <c r="AA2978">
        <v>0.99616469999999901</v>
      </c>
      <c r="AB2978">
        <v>29</v>
      </c>
      <c r="AC2978">
        <v>-1.79659999999998</v>
      </c>
      <c r="AD2978">
        <v>-1.1021600188159999</v>
      </c>
      <c r="AE2978">
        <v>15.499293</v>
      </c>
      <c r="AF2978">
        <v>-0.84949004418361096</v>
      </c>
      <c r="AG2978">
        <v>-1.1021600188159999</v>
      </c>
      <c r="AH2978">
        <v>15.502347295758801</v>
      </c>
      <c r="AI2978">
        <v>94.060605471081303</v>
      </c>
      <c r="AJ2978">
        <v>93.136529187280104</v>
      </c>
      <c r="AK2978">
        <v>15.564676730358499</v>
      </c>
    </row>
    <row r="2979" spans="1:37" x14ac:dyDescent="0.2">
      <c r="A2979" t="str">
        <f>"20200111150650304"</f>
        <v>20200111150650304</v>
      </c>
      <c r="B2979" t="str">
        <f>"1578726410299532"</f>
        <v>1578726410299532</v>
      </c>
      <c r="C2979" t="s">
        <v>37</v>
      </c>
      <c r="D2979">
        <v>4.9207510000000001</v>
      </c>
      <c r="E2979">
        <v>0.48372500000000002</v>
      </c>
      <c r="F2979" t="s">
        <v>39</v>
      </c>
      <c r="G2979">
        <v>-188.12989999999999</v>
      </c>
      <c r="H2979" s="1">
        <v>-1.143034E-6</v>
      </c>
      <c r="I2979">
        <v>-8.4760190000000009</v>
      </c>
      <c r="J2979">
        <v>-186.31599999999901</v>
      </c>
      <c r="K2979">
        <v>1.1021920000000001</v>
      </c>
      <c r="L2979">
        <v>-24.051479999999898</v>
      </c>
      <c r="M2979">
        <v>-5.8917949999999997E-2</v>
      </c>
      <c r="N2979">
        <v>0</v>
      </c>
      <c r="O2979">
        <v>0.99818960000000001</v>
      </c>
      <c r="P2979">
        <v>-7.1311330000000006E-2</v>
      </c>
      <c r="Q2979">
        <v>0.16416600000000001</v>
      </c>
      <c r="R2979">
        <v>0.9838517</v>
      </c>
      <c r="S2979">
        <v>-0.35287479999999999</v>
      </c>
      <c r="T2979">
        <v>-0.212532899999999</v>
      </c>
      <c r="U2979">
        <v>3.060181</v>
      </c>
      <c r="V2979">
        <v>-1.2647479999999999E-2</v>
      </c>
      <c r="W2979">
        <v>0.17612449999999999</v>
      </c>
      <c r="X2979">
        <v>0.98428669999999996</v>
      </c>
      <c r="Y2979">
        <v>-5.5547270000000003E-2</v>
      </c>
      <c r="Z2979">
        <v>-6.8823839999999997E-2</v>
      </c>
      <c r="AA2979">
        <v>0.9960812</v>
      </c>
      <c r="AB2979">
        <v>29</v>
      </c>
      <c r="AC2979">
        <v>-1.8139000000000101</v>
      </c>
      <c r="AD2979">
        <v>-1.102193143034</v>
      </c>
      <c r="AE2979">
        <v>15.575460999999899</v>
      </c>
      <c r="AF2979">
        <v>-0.88861682955604104</v>
      </c>
      <c r="AG2979">
        <v>-1.102193143034</v>
      </c>
      <c r="AH2979">
        <v>15.578312086557</v>
      </c>
      <c r="AI2979">
        <v>94.040487582592903</v>
      </c>
      <c r="AJ2979">
        <v>93.264723432333398</v>
      </c>
      <c r="AK2979">
        <v>15.642515049073401</v>
      </c>
    </row>
    <row r="2980" spans="1:37" x14ac:dyDescent="0.2">
      <c r="A2980" t="str">
        <f>"20200111150650327"</f>
        <v>20200111150650327</v>
      </c>
      <c r="B2980" t="str">
        <f>"1578726410320028"</f>
        <v>1578726410320028</v>
      </c>
      <c r="C2980" t="s">
        <v>37</v>
      </c>
      <c r="D2980">
        <v>4.8277619999999999</v>
      </c>
      <c r="E2980">
        <v>0.48416219999999999</v>
      </c>
      <c r="F2980" t="s">
        <v>39</v>
      </c>
      <c r="G2980">
        <v>-188.10579999999999</v>
      </c>
      <c r="H2980" s="1">
        <v>-1.145552E-6</v>
      </c>
      <c r="I2980">
        <v>-8.4801280000000006</v>
      </c>
      <c r="J2980">
        <v>-186.33170000000001</v>
      </c>
      <c r="K2980">
        <v>1.1022209999999999</v>
      </c>
      <c r="L2980">
        <v>-23.752199999999998</v>
      </c>
      <c r="M2980">
        <v>-5.7236629999999997E-2</v>
      </c>
      <c r="N2980">
        <v>0</v>
      </c>
      <c r="O2980">
        <v>0.99828739999999905</v>
      </c>
      <c r="P2980">
        <v>-7.0679599999999995E-2</v>
      </c>
      <c r="Q2980">
        <v>0.16375809999999999</v>
      </c>
      <c r="R2980">
        <v>0.98396530000000004</v>
      </c>
      <c r="S2980">
        <v>-0.3517151</v>
      </c>
      <c r="T2980">
        <v>-0.21658839999999999</v>
      </c>
      <c r="U2980">
        <v>3.0598749999999999</v>
      </c>
      <c r="V2980">
        <v>-1.368808E-2</v>
      </c>
      <c r="W2980">
        <v>0.17571709999999999</v>
      </c>
      <c r="X2980">
        <v>0.98434560000000004</v>
      </c>
      <c r="Y2980">
        <v>-5.6857100000000001E-2</v>
      </c>
      <c r="Z2980">
        <v>-7.0146810000000004E-2</v>
      </c>
      <c r="AA2980">
        <v>0.99591499999999999</v>
      </c>
      <c r="AB2980">
        <v>29</v>
      </c>
      <c r="AC2980">
        <v>-1.77409999999997</v>
      </c>
      <c r="AD2980">
        <v>-1.1022221455519901</v>
      </c>
      <c r="AE2980">
        <v>15.2720719999999</v>
      </c>
      <c r="AF2980">
        <v>-0.89241874479342398</v>
      </c>
      <c r="AG2980">
        <v>-1.1022221455519901</v>
      </c>
      <c r="AH2980">
        <v>15.270102152454101</v>
      </c>
      <c r="AI2980">
        <v>94.121539068351197</v>
      </c>
      <c r="AJ2980">
        <v>93.3446883756163</v>
      </c>
      <c r="AK2980">
        <v>15.335818355098899</v>
      </c>
    </row>
    <row r="2981" spans="1:37" x14ac:dyDescent="0.2">
      <c r="A2981" t="str">
        <f>"20200111150650350"</f>
        <v>20200111150650350</v>
      </c>
      <c r="B2981" t="str">
        <f>"1578726410339548"</f>
        <v>1578726410339548</v>
      </c>
      <c r="C2981" t="s">
        <v>37</v>
      </c>
      <c r="D2981">
        <v>4.9636649999999998</v>
      </c>
      <c r="E2981">
        <v>0.48459799999999997</v>
      </c>
      <c r="F2981" t="s">
        <v>39</v>
      </c>
      <c r="G2981">
        <v>-188.09880000000001</v>
      </c>
      <c r="H2981" s="1">
        <v>-1.291131E-6</v>
      </c>
      <c r="I2981">
        <v>-8.1436799999999998</v>
      </c>
      <c r="J2981">
        <v>-186.34690000000001</v>
      </c>
      <c r="K2981">
        <v>1.10225</v>
      </c>
      <c r="L2981">
        <v>-23.455570000000002</v>
      </c>
      <c r="M2981">
        <v>-5.5608129999999999E-2</v>
      </c>
      <c r="N2981">
        <v>0</v>
      </c>
      <c r="O2981">
        <v>0.99837949999999998</v>
      </c>
      <c r="P2981">
        <v>-6.995875E-2</v>
      </c>
      <c r="Q2981">
        <v>0.16330020000000001</v>
      </c>
      <c r="R2981">
        <v>0.98409290000000005</v>
      </c>
      <c r="S2981">
        <v>-0.34642030000000001</v>
      </c>
      <c r="T2981">
        <v>-0.21608479999999999</v>
      </c>
      <c r="U2981">
        <v>3.0599669999999999</v>
      </c>
      <c r="V2981">
        <v>-1.458485E-2</v>
      </c>
      <c r="W2981">
        <v>0.17525940000000001</v>
      </c>
      <c r="X2981">
        <v>0.98441429999999996</v>
      </c>
      <c r="Y2981">
        <v>-5.6782329999999999E-2</v>
      </c>
      <c r="Z2981">
        <v>-6.9999049999999993E-2</v>
      </c>
      <c r="AA2981">
        <v>0.99592969999999903</v>
      </c>
      <c r="AB2981">
        <v>29</v>
      </c>
      <c r="AC2981">
        <v>-1.7519</v>
      </c>
      <c r="AD2981">
        <v>-1.1022512911309901</v>
      </c>
      <c r="AE2981">
        <v>15.31189</v>
      </c>
      <c r="AF2981">
        <v>-0.89309278583310103</v>
      </c>
      <c r="AG2981">
        <v>-1.1022512911309901</v>
      </c>
      <c r="AH2981">
        <v>15.3073223013998</v>
      </c>
      <c r="AI2981">
        <v>94.111683582965</v>
      </c>
      <c r="AJ2981">
        <v>93.339088479666799</v>
      </c>
      <c r="AK2981">
        <v>15.372920629205099</v>
      </c>
    </row>
    <row r="2982" spans="1:37" x14ac:dyDescent="0.2">
      <c r="A2982" t="str">
        <f>"20200111150650374"</f>
        <v>20200111150650374</v>
      </c>
      <c r="B2982" t="str">
        <f>"1578726410369369"</f>
        <v>1578726410369369</v>
      </c>
      <c r="C2982" t="s">
        <v>37</v>
      </c>
      <c r="D2982">
        <v>4.9782659999999996</v>
      </c>
      <c r="E2982">
        <v>0.4849656</v>
      </c>
      <c r="F2982" t="s">
        <v>39</v>
      </c>
      <c r="G2982">
        <v>-188.09700000000001</v>
      </c>
      <c r="H2982" s="1">
        <v>-1.4485899999999999E-6</v>
      </c>
      <c r="I2982">
        <v>-7.7773659999999998</v>
      </c>
      <c r="J2982">
        <v>-186.36189999999999</v>
      </c>
      <c r="K2982">
        <v>1.102287</v>
      </c>
      <c r="L2982">
        <v>-23.154689999999999</v>
      </c>
      <c r="M2982">
        <v>-5.3989570000000001E-2</v>
      </c>
      <c r="N2982">
        <v>0</v>
      </c>
      <c r="O2982">
        <v>0.99846829999999998</v>
      </c>
      <c r="P2982">
        <v>-6.8947309999999998E-2</v>
      </c>
      <c r="Q2982">
        <v>0.16352649999999999</v>
      </c>
      <c r="R2982">
        <v>0.98412670000000002</v>
      </c>
      <c r="S2982">
        <v>-0.34156799999999998</v>
      </c>
      <c r="T2982">
        <v>-0.21512590000000001</v>
      </c>
      <c r="U2982">
        <v>3.0599059999999998</v>
      </c>
      <c r="V2982">
        <v>-1.518366E-2</v>
      </c>
      <c r="W2982">
        <v>0.1754838</v>
      </c>
      <c r="X2982">
        <v>0.98436520000000005</v>
      </c>
      <c r="Y2982">
        <v>-5.6845729999999997E-2</v>
      </c>
      <c r="Z2982">
        <v>-6.9706630000000006E-2</v>
      </c>
      <c r="AA2982">
        <v>0.99594660000000002</v>
      </c>
      <c r="AB2982">
        <v>29</v>
      </c>
      <c r="AC2982">
        <v>-1.7351000000000101</v>
      </c>
      <c r="AD2982">
        <v>-1.10228844859</v>
      </c>
      <c r="AE2982">
        <v>15.3773239999999</v>
      </c>
      <c r="AF2982">
        <v>-0.89773823090590898</v>
      </c>
      <c r="AG2982">
        <v>-1.10228844859</v>
      </c>
      <c r="AH2982">
        <v>15.3705895190091</v>
      </c>
      <c r="AI2982">
        <v>94.094939911415693</v>
      </c>
      <c r="AJ2982">
        <v>93.342633197656795</v>
      </c>
      <c r="AK2982">
        <v>15.4361911078154</v>
      </c>
    </row>
    <row r="2983" spans="1:37" x14ac:dyDescent="0.2">
      <c r="A2983" t="str">
        <f>"20200111150650398"</f>
        <v>20200111150650398</v>
      </c>
      <c r="B2983" t="str">
        <f>"1578726410389869"</f>
        <v>1578726410389869</v>
      </c>
      <c r="C2983" t="s">
        <v>37</v>
      </c>
      <c r="D2983">
        <v>4.8611269999999998</v>
      </c>
      <c r="E2983">
        <v>0.48545500000000003</v>
      </c>
      <c r="F2983" t="s">
        <v>39</v>
      </c>
      <c r="G2983">
        <v>-188.08789999999999</v>
      </c>
      <c r="H2983" s="1">
        <v>-1.596643E-6</v>
      </c>
      <c r="I2983">
        <v>-7.4360149999999896</v>
      </c>
      <c r="J2983">
        <v>-186.37700000000001</v>
      </c>
      <c r="K2983">
        <v>1.1023129999999901</v>
      </c>
      <c r="L2983">
        <v>-22.83878</v>
      </c>
      <c r="M2983">
        <v>-5.2319829999999998E-2</v>
      </c>
      <c r="N2983">
        <v>0</v>
      </c>
      <c r="O2983">
        <v>0.99855729999999998</v>
      </c>
      <c r="P2983">
        <v>-6.8054989999999996E-2</v>
      </c>
      <c r="Q2983">
        <v>0.16395000000000001</v>
      </c>
      <c r="R2983">
        <v>0.9841183</v>
      </c>
      <c r="S2983">
        <v>-0.33607480000000001</v>
      </c>
      <c r="T2983">
        <v>-0.2146219</v>
      </c>
      <c r="U2983">
        <v>3.0605159999999998</v>
      </c>
      <c r="V2983">
        <v>-1.5950820000000001E-2</v>
      </c>
      <c r="W2983">
        <v>0.1759058</v>
      </c>
      <c r="X2983">
        <v>0.98427779999999998</v>
      </c>
      <c r="Y2983">
        <v>-5.6728639999999997E-2</v>
      </c>
      <c r="Z2983">
        <v>-6.954668E-2</v>
      </c>
      <c r="AA2983">
        <v>0.99596439999999997</v>
      </c>
      <c r="AB2983">
        <v>29</v>
      </c>
      <c r="AC2983">
        <v>-1.7108999999999801</v>
      </c>
      <c r="AD2983">
        <v>-1.1023145966429999</v>
      </c>
      <c r="AE2983">
        <v>15.402765</v>
      </c>
      <c r="AF2983">
        <v>-0.89808386029759002</v>
      </c>
      <c r="AG2983">
        <v>-1.1023145966429999</v>
      </c>
      <c r="AH2983">
        <v>15.393307565263401</v>
      </c>
      <c r="AI2983">
        <v>94.089028731474201</v>
      </c>
      <c r="AJ2983">
        <v>93.338993282494997</v>
      </c>
      <c r="AK2983">
        <v>15.458834687287901</v>
      </c>
    </row>
    <row r="2984" spans="1:37" x14ac:dyDescent="0.2">
      <c r="A2984" t="str">
        <f>"20200111150650422"</f>
        <v>20200111150650422</v>
      </c>
      <c r="B2984" t="str">
        <f>"1578726410409385"</f>
        <v>1578726410409385</v>
      </c>
      <c r="C2984" t="s">
        <v>37</v>
      </c>
      <c r="D2984">
        <v>4.9165929999999998</v>
      </c>
      <c r="E2984">
        <v>0.48589129999999903</v>
      </c>
      <c r="F2984" t="s">
        <v>39</v>
      </c>
      <c r="G2984">
        <v>-188.1549</v>
      </c>
      <c r="H2984" s="1">
        <v>-2.0631760000000002E-6</v>
      </c>
      <c r="I2984">
        <v>-6.3208320000000002</v>
      </c>
      <c r="J2984">
        <v>-186.39070000000001</v>
      </c>
      <c r="K2984">
        <v>1.1023350000000001</v>
      </c>
      <c r="L2984">
        <v>-22.544309999999999</v>
      </c>
      <c r="M2984">
        <v>-5.0780400000000003E-2</v>
      </c>
      <c r="N2984">
        <v>0</v>
      </c>
      <c r="O2984">
        <v>0.99863670000000004</v>
      </c>
      <c r="P2984">
        <v>-6.7696530000000005E-2</v>
      </c>
      <c r="Q2984">
        <v>0.16390170000000001</v>
      </c>
      <c r="R2984">
        <v>0.98415109999999995</v>
      </c>
      <c r="S2984">
        <v>-0.32931519999999997</v>
      </c>
      <c r="T2984">
        <v>-0.2041848</v>
      </c>
      <c r="U2984">
        <v>3.0596619999999999</v>
      </c>
      <c r="V2984">
        <v>-1.7119140000000001E-2</v>
      </c>
      <c r="W2984">
        <v>0.17585880000000001</v>
      </c>
      <c r="X2984">
        <v>0.98426650000000004</v>
      </c>
      <c r="Y2984">
        <v>-5.6147549999999997E-2</v>
      </c>
      <c r="Z2984">
        <v>-6.6214980000000007E-2</v>
      </c>
      <c r="AA2984">
        <v>0.99622440000000001</v>
      </c>
      <c r="AB2984">
        <v>29</v>
      </c>
      <c r="AC2984">
        <v>-1.76419999999998</v>
      </c>
      <c r="AD2984">
        <v>-1.1023370631760001</v>
      </c>
      <c r="AE2984">
        <v>16.223478</v>
      </c>
      <c r="AF2984">
        <v>-0.93376804997511997</v>
      </c>
      <c r="AG2984">
        <v>-1.1023370631760001</v>
      </c>
      <c r="AH2984">
        <v>16.2181366449108</v>
      </c>
      <c r="AI2984">
        <v>93.881970155325405</v>
      </c>
      <c r="AJ2984">
        <v>93.295197791426702</v>
      </c>
      <c r="AK2984">
        <v>16.282353208458598</v>
      </c>
    </row>
    <row r="2985" spans="1:37" x14ac:dyDescent="0.2">
      <c r="A2985" t="str">
        <f>"20200111150650461"</f>
        <v>20200111150650461</v>
      </c>
      <c r="B2985" t="str">
        <f>"1578726410449474"</f>
        <v>1578726410449474</v>
      </c>
      <c r="C2985" t="s">
        <v>37</v>
      </c>
      <c r="D2985">
        <v>4.7757239999999896</v>
      </c>
      <c r="E2985">
        <v>0.48613779999999901</v>
      </c>
      <c r="F2985" t="s">
        <v>39</v>
      </c>
      <c r="G2985">
        <v>-188.17189999999999</v>
      </c>
      <c r="H2985" s="1">
        <v>-2.3030510000000002E-6</v>
      </c>
      <c r="I2985">
        <v>-5.7546410000000003</v>
      </c>
      <c r="J2985">
        <v>-186.41309999999999</v>
      </c>
      <c r="K2985">
        <v>1.1023510000000001</v>
      </c>
      <c r="L2985">
        <v>-22.043150000000001</v>
      </c>
      <c r="M2985">
        <v>-4.8188620000000001E-2</v>
      </c>
      <c r="N2985">
        <v>0</v>
      </c>
      <c r="O2985">
        <v>0.99876520000000002</v>
      </c>
      <c r="P2985">
        <v>-6.6523860000000004E-2</v>
      </c>
      <c r="Q2985">
        <v>0.16349669999999999</v>
      </c>
      <c r="R2985">
        <v>0.98429849999999997</v>
      </c>
      <c r="S2985">
        <v>-0.32456970000000002</v>
      </c>
      <c r="T2985">
        <v>-0.2008702</v>
      </c>
      <c r="U2985">
        <v>3.0594480000000002</v>
      </c>
      <c r="V2985">
        <v>-1.8510169999999999E-2</v>
      </c>
      <c r="W2985">
        <v>0.17545559999999999</v>
      </c>
      <c r="X2985">
        <v>0.98431329999999995</v>
      </c>
      <c r="Y2985">
        <v>-5.7225459999999999E-2</v>
      </c>
      <c r="Z2985">
        <v>-6.5165059999999997E-2</v>
      </c>
      <c r="AA2985">
        <v>0.99623229999999996</v>
      </c>
      <c r="AB2985">
        <v>29</v>
      </c>
      <c r="AC2985">
        <v>-1.7587999999999999</v>
      </c>
      <c r="AD2985">
        <v>-1.102353303051</v>
      </c>
      <c r="AE2985">
        <v>16.288509000000001</v>
      </c>
      <c r="AF2985">
        <v>-0.96739861419041995</v>
      </c>
      <c r="AG2985">
        <v>-1.102353303051</v>
      </c>
      <c r="AH2985">
        <v>16.2806352094419</v>
      </c>
      <c r="AI2985">
        <v>93.866755446222399</v>
      </c>
      <c r="AJ2985">
        <v>93.400528337904007</v>
      </c>
      <c r="AK2985">
        <v>16.3465631160316</v>
      </c>
    </row>
    <row r="2986" spans="1:37" x14ac:dyDescent="0.2">
      <c r="A2986" t="str">
        <f>"20200111150650507"</f>
        <v>20200111150650507</v>
      </c>
      <c r="B2986" t="str">
        <f>"1578726410499234"</f>
        <v>1578726410499234</v>
      </c>
      <c r="C2986" t="s">
        <v>37</v>
      </c>
      <c r="D2986">
        <v>4.8802089999999998</v>
      </c>
      <c r="E2986">
        <v>0.48786380000000001</v>
      </c>
      <c r="F2986" t="s">
        <v>39</v>
      </c>
      <c r="G2986">
        <v>-188.19290000000001</v>
      </c>
      <c r="H2986" s="1">
        <v>-2.6680599999999899E-6</v>
      </c>
      <c r="I2986">
        <v>-4.8951019999999996</v>
      </c>
      <c r="J2986">
        <v>-186.4374</v>
      </c>
      <c r="K2986">
        <v>1.102365</v>
      </c>
      <c r="L2986">
        <v>-21.46143</v>
      </c>
      <c r="M2986">
        <v>-4.5211179999999997E-2</v>
      </c>
      <c r="N2986">
        <v>0</v>
      </c>
      <c r="O2986">
        <v>0.99890440000000003</v>
      </c>
      <c r="P2986">
        <v>-6.3011620000000004E-2</v>
      </c>
      <c r="Q2986">
        <v>0.1612799</v>
      </c>
      <c r="R2986">
        <v>0.98489509999999902</v>
      </c>
      <c r="S2986">
        <v>-0.31750489999999998</v>
      </c>
      <c r="T2986">
        <v>-0.19664960000000001</v>
      </c>
      <c r="U2986">
        <v>3.0590519999999999</v>
      </c>
      <c r="V2986">
        <v>-1.7927800000000001E-2</v>
      </c>
      <c r="W2986">
        <v>0.173239</v>
      </c>
      <c r="X2986">
        <v>0.9847167</v>
      </c>
      <c r="Y2986">
        <v>-5.7948220000000002E-2</v>
      </c>
      <c r="Z2986">
        <v>-6.3829319999999995E-2</v>
      </c>
      <c r="AA2986">
        <v>0.99627699999999997</v>
      </c>
      <c r="AB2986">
        <v>29</v>
      </c>
      <c r="AC2986">
        <v>-1.7555000000000101</v>
      </c>
      <c r="AD2986">
        <v>-1.1023676680600001</v>
      </c>
      <c r="AE2986">
        <v>16.566327999999999</v>
      </c>
      <c r="AF2986">
        <v>-1.00028674241541</v>
      </c>
      <c r="AG2986">
        <v>-1.1023676680600001</v>
      </c>
      <c r="AH2986">
        <v>16.556263824570301</v>
      </c>
      <c r="AI2986">
        <v>93.802395845443201</v>
      </c>
      <c r="AJ2986">
        <v>93.457460371138197</v>
      </c>
      <c r="AK2986">
        <v>16.6230460467211</v>
      </c>
    </row>
    <row r="2987" spans="1:37" x14ac:dyDescent="0.2">
      <c r="A2987" t="str">
        <f>"20200111150650528"</f>
        <v>20200111150650528</v>
      </c>
      <c r="B2987" t="str">
        <f>"1578726410519729"</f>
        <v>1578726410519729</v>
      </c>
      <c r="C2987" t="s">
        <v>37</v>
      </c>
      <c r="D2987">
        <v>5.3700559999999999</v>
      </c>
      <c r="E2987">
        <v>0.48818980000000001</v>
      </c>
      <c r="F2987" t="s">
        <v>39</v>
      </c>
      <c r="G2987">
        <v>-188.03700000000001</v>
      </c>
      <c r="H2987" s="1">
        <v>-2.74658E-6</v>
      </c>
      <c r="I2987">
        <v>-4.7765170000000001</v>
      </c>
      <c r="J2987">
        <v>-186.4486</v>
      </c>
      <c r="K2987">
        <v>1.1023780000000001</v>
      </c>
      <c r="L2987">
        <v>-21.17831</v>
      </c>
      <c r="M2987">
        <v>-4.3772739999999997E-2</v>
      </c>
      <c r="N2987">
        <v>0</v>
      </c>
      <c r="O2987">
        <v>0.99896849999999904</v>
      </c>
      <c r="P2987">
        <v>-6.0949719999999999E-2</v>
      </c>
      <c r="Q2987">
        <v>0.16162319999999999</v>
      </c>
      <c r="R2987">
        <v>0.98496859999999997</v>
      </c>
      <c r="S2987">
        <v>-0.29341129999999999</v>
      </c>
      <c r="T2987">
        <v>-0.2021975</v>
      </c>
      <c r="U2987">
        <v>3.0603639999999999</v>
      </c>
      <c r="V2987">
        <v>-1.7287219999999999E-2</v>
      </c>
      <c r="W2987">
        <v>0.17357899999999901</v>
      </c>
      <c r="X2987">
        <v>0.98466819999999899</v>
      </c>
      <c r="Y2987">
        <v>-5.1563459999999998E-2</v>
      </c>
      <c r="Z2987">
        <v>-6.5637819999999999E-2</v>
      </c>
      <c r="AA2987">
        <v>0.99651029999999996</v>
      </c>
      <c r="AB2987">
        <v>29</v>
      </c>
      <c r="AC2987">
        <v>-1.5884</v>
      </c>
      <c r="AD2987">
        <v>-1.10238074658</v>
      </c>
      <c r="AE2987">
        <v>16.401792999999898</v>
      </c>
      <c r="AF2987">
        <v>-0.86500234049944003</v>
      </c>
      <c r="AG2987">
        <v>-1.10238074658</v>
      </c>
      <c r="AH2987">
        <v>16.3822871292789</v>
      </c>
      <c r="AI2987">
        <v>93.844348543568799</v>
      </c>
      <c r="AJ2987">
        <v>93.022471891582498</v>
      </c>
      <c r="AK2987">
        <v>16.4421046081588</v>
      </c>
    </row>
    <row r="2988" spans="1:37" x14ac:dyDescent="0.2">
      <c r="A2988" t="str">
        <f>"20200111150650551"</f>
        <v>20200111150650551</v>
      </c>
      <c r="B2988" t="str">
        <f>"1578726410539249"</f>
        <v>1578726410539249</v>
      </c>
      <c r="C2988" t="s">
        <v>37</v>
      </c>
      <c r="D2988">
        <v>4.5722990000000001</v>
      </c>
      <c r="E2988">
        <v>0.51631859999999996</v>
      </c>
      <c r="F2988" t="s">
        <v>39</v>
      </c>
      <c r="G2988">
        <v>-187.9828</v>
      </c>
      <c r="H2988" s="1">
        <v>-2.8142919999999899E-6</v>
      </c>
      <c r="I2988">
        <v>-4.6411009999999999</v>
      </c>
      <c r="J2988">
        <v>-186.4599</v>
      </c>
      <c r="K2988">
        <v>1.1023889999999901</v>
      </c>
      <c r="L2988">
        <v>-20.883420000000001</v>
      </c>
      <c r="M2988">
        <v>-4.2287129999999999E-2</v>
      </c>
      <c r="N2988">
        <v>0</v>
      </c>
      <c r="O2988">
        <v>0.99903249999999999</v>
      </c>
      <c r="P2988">
        <v>-5.9974220000000002E-2</v>
      </c>
      <c r="Q2988">
        <v>0.16259960000000001</v>
      </c>
      <c r="R2988">
        <v>0.98486779999999996</v>
      </c>
      <c r="S2988">
        <v>-0.28404239999999997</v>
      </c>
      <c r="T2988">
        <v>-0.20409530000000001</v>
      </c>
      <c r="U2988">
        <v>3.0617070000000002</v>
      </c>
      <c r="V2988">
        <v>-1.7785559999999999E-2</v>
      </c>
      <c r="W2988">
        <v>0.17455329999999999</v>
      </c>
      <c r="X2988">
        <v>0.98448709999999995</v>
      </c>
      <c r="Y2988">
        <v>-4.9980839999999999E-2</v>
      </c>
      <c r="Z2988">
        <v>-6.6240869999999993E-2</v>
      </c>
      <c r="AA2988">
        <v>0.99655110000000002</v>
      </c>
      <c r="AB2988">
        <v>29</v>
      </c>
      <c r="AC2988">
        <v>-1.5228999999999899</v>
      </c>
      <c r="AD2988">
        <v>-1.1023918142919999</v>
      </c>
      <c r="AE2988">
        <v>16.242318999999998</v>
      </c>
      <c r="AF2988">
        <v>-0.83085240304026398</v>
      </c>
      <c r="AG2988">
        <v>-1.1023918142919999</v>
      </c>
      <c r="AH2988">
        <v>16.2181332834766</v>
      </c>
      <c r="AI2988">
        <v>93.883495564700794</v>
      </c>
      <c r="AJ2988">
        <v>92.932689903977504</v>
      </c>
      <c r="AK2988">
        <v>16.276775805682998</v>
      </c>
    </row>
    <row r="2989" spans="1:37" x14ac:dyDescent="0.2">
      <c r="A2989" t="str">
        <f>"20200111150650573"</f>
        <v>20200111150650573</v>
      </c>
      <c r="B2989" t="str">
        <f>"1578726410569649"</f>
        <v>1578726410569649</v>
      </c>
      <c r="C2989" t="s">
        <v>37</v>
      </c>
      <c r="D2989">
        <v>4.8621339999999904</v>
      </c>
      <c r="E2989">
        <v>0.50802029999999998</v>
      </c>
      <c r="F2989" t="s">
        <v>39</v>
      </c>
      <c r="G2989">
        <v>-187.18539999999999</v>
      </c>
      <c r="H2989" s="1">
        <v>-7.8597769999999997E-7</v>
      </c>
      <c r="I2989">
        <v>19.757059999999999</v>
      </c>
      <c r="J2989">
        <v>-186.47040000000001</v>
      </c>
      <c r="K2989">
        <v>1.1024020000000001</v>
      </c>
      <c r="L2989">
        <v>-20.59909</v>
      </c>
      <c r="M2989">
        <v>-4.0873720000000002E-2</v>
      </c>
      <c r="N2989">
        <v>0</v>
      </c>
      <c r="O2989">
        <v>0.99909130000000002</v>
      </c>
      <c r="P2989">
        <v>-5.9128159999999999E-2</v>
      </c>
      <c r="Q2989">
        <v>0.1616311</v>
      </c>
      <c r="R2989">
        <v>0.98507829999999996</v>
      </c>
      <c r="S2989">
        <v>-5.4565429999999998E-2</v>
      </c>
      <c r="T2989">
        <v>-8.2907679999999997E-2</v>
      </c>
      <c r="U2989">
        <v>3.0564580000000001</v>
      </c>
      <c r="V2989">
        <v>-1.8335629999999999E-2</v>
      </c>
      <c r="W2989">
        <v>0.1735864</v>
      </c>
      <c r="X2989">
        <v>0.98464789999999902</v>
      </c>
      <c r="Y2989">
        <v>2.3042E-2</v>
      </c>
      <c r="Z2989">
        <v>-2.7075700000000001E-2</v>
      </c>
      <c r="AA2989">
        <v>0.99936780000000003</v>
      </c>
      <c r="AB2989">
        <v>29</v>
      </c>
      <c r="AC2989">
        <v>-0.71499999999997499</v>
      </c>
      <c r="AD2989">
        <v>-1.1024027859776999</v>
      </c>
      <c r="AE2989">
        <v>40.35615</v>
      </c>
      <c r="AF2989">
        <v>0.934526794618042</v>
      </c>
      <c r="AG2989">
        <v>-1.1024027859776999</v>
      </c>
      <c r="AH2989">
        <v>40.321568182805898</v>
      </c>
      <c r="AI2989">
        <v>91.565672018914697</v>
      </c>
      <c r="AJ2989">
        <v>88.672302213096202</v>
      </c>
      <c r="AK2989">
        <v>40.347459560089497</v>
      </c>
    </row>
    <row r="2990" spans="1:37" x14ac:dyDescent="0.2">
      <c r="A2990" t="str">
        <f>"20200111150650596"</f>
        <v>20200111150650596</v>
      </c>
      <c r="B2990" t="str">
        <f>"1578726410589170"</f>
        <v>1578726410589170</v>
      </c>
      <c r="C2990" t="s">
        <v>37</v>
      </c>
      <c r="D2990">
        <v>4.8768060000000002</v>
      </c>
      <c r="E2990">
        <v>0.50764889999999996</v>
      </c>
      <c r="F2990" t="s">
        <v>39</v>
      </c>
      <c r="G2990">
        <v>-187.50819999999999</v>
      </c>
      <c r="H2990" s="1">
        <v>-3.282417E-6</v>
      </c>
      <c r="I2990">
        <v>6.2538599999999898</v>
      </c>
      <c r="J2990">
        <v>-186.4813</v>
      </c>
      <c r="K2990">
        <v>1.1024240000000001</v>
      </c>
      <c r="L2990">
        <v>-20.29138</v>
      </c>
      <c r="M2990">
        <v>-3.9372440000000002E-2</v>
      </c>
      <c r="N2990">
        <v>0</v>
      </c>
      <c r="O2990">
        <v>0.99915159999999903</v>
      </c>
      <c r="P2990">
        <v>-5.8843220000000002E-2</v>
      </c>
      <c r="Q2990">
        <v>0.16165560000000001</v>
      </c>
      <c r="R2990">
        <v>0.9850913</v>
      </c>
      <c r="S2990">
        <v>-0.1182251</v>
      </c>
      <c r="T2990">
        <v>-0.12558079999999999</v>
      </c>
      <c r="U2990">
        <v>3.0589599999999999</v>
      </c>
      <c r="V2990">
        <v>-1.954125E-2</v>
      </c>
      <c r="W2990">
        <v>0.17361179999999901</v>
      </c>
      <c r="X2990">
        <v>0.9846203</v>
      </c>
      <c r="Y2990">
        <v>7.8835570000000005E-4</v>
      </c>
      <c r="Z2990">
        <v>-4.0955930000000002E-2</v>
      </c>
      <c r="AA2990">
        <v>0.99916059999999995</v>
      </c>
      <c r="AB2990">
        <v>29</v>
      </c>
      <c r="AC2990">
        <v>-1.0268999999999799</v>
      </c>
      <c r="AD2990">
        <v>-1.1024272824169901</v>
      </c>
      <c r="AE2990">
        <v>26.54524</v>
      </c>
      <c r="AF2990">
        <v>1.90906088113993E-2</v>
      </c>
      <c r="AG2990">
        <v>-1.1024272824169901</v>
      </c>
      <c r="AH2990">
        <v>26.519417390206801</v>
      </c>
      <c r="AI2990">
        <v>92.380446969865105</v>
      </c>
      <c r="AJ2990">
        <v>89.958754330527299</v>
      </c>
      <c r="AK2990">
        <v>26.542328629575199</v>
      </c>
    </row>
    <row r="2991" spans="1:37" x14ac:dyDescent="0.2">
      <c r="A2991" t="str">
        <f>"20200111150650661"</f>
        <v>20200111150650661</v>
      </c>
      <c r="B2991" t="str">
        <f>"1578726410649681"</f>
        <v>1578726410649681</v>
      </c>
      <c r="C2991" t="s">
        <v>37</v>
      </c>
      <c r="D2991">
        <v>4.8656790000000001</v>
      </c>
      <c r="E2991">
        <v>0.50519829999999999</v>
      </c>
      <c r="F2991" t="s">
        <v>39</v>
      </c>
      <c r="G2991">
        <v>-187.4273</v>
      </c>
      <c r="H2991" s="1">
        <v>-2.2189090000000001E-6</v>
      </c>
      <c r="I2991">
        <v>3.74133099999999</v>
      </c>
      <c r="J2991">
        <v>-186.5085</v>
      </c>
      <c r="K2991">
        <v>1.102479</v>
      </c>
      <c r="L2991">
        <v>-19.46387</v>
      </c>
      <c r="M2991">
        <v>-3.5485639999999999E-2</v>
      </c>
      <c r="N2991">
        <v>0</v>
      </c>
      <c r="O2991">
        <v>0.99929729999999894</v>
      </c>
      <c r="P2991">
        <v>-6.1257270000000003E-2</v>
      </c>
      <c r="Q2991">
        <v>0.161124499999999</v>
      </c>
      <c r="R2991">
        <v>0.9850312</v>
      </c>
      <c r="S2991">
        <v>-0.1204987</v>
      </c>
      <c r="T2991">
        <v>-0.1404253</v>
      </c>
      <c r="U2991">
        <v>3.0612490000000001</v>
      </c>
      <c r="V2991">
        <v>-2.582048E-2</v>
      </c>
      <c r="W2991">
        <v>0.17309059999999901</v>
      </c>
      <c r="X2991">
        <v>0.98456739999999998</v>
      </c>
      <c r="Y2991">
        <v>-3.8053499999999999E-3</v>
      </c>
      <c r="Z2991">
        <v>-4.5762619999999997E-2</v>
      </c>
      <c r="AA2991">
        <v>0.99894509999999903</v>
      </c>
      <c r="AB2991">
        <v>29</v>
      </c>
      <c r="AC2991">
        <v>-0.91880000000000395</v>
      </c>
      <c r="AD2991">
        <v>-1.1024812189090001</v>
      </c>
      <c r="AE2991">
        <v>23.205200999999999</v>
      </c>
      <c r="AF2991">
        <v>-9.4496883809560506E-2</v>
      </c>
      <c r="AG2991">
        <v>-1.1024812189090001</v>
      </c>
      <c r="AH2991">
        <v>23.170970646898098</v>
      </c>
      <c r="AI2991">
        <v>92.724072045849695</v>
      </c>
      <c r="AJ2991">
        <v>90.233664902751102</v>
      </c>
      <c r="AK2991">
        <v>23.197376472750399</v>
      </c>
    </row>
    <row r="2992" spans="1:37" x14ac:dyDescent="0.2">
      <c r="A2992" t="str">
        <f>"20200111150650683"</f>
        <v>20200111150650683</v>
      </c>
      <c r="B2992" t="str">
        <f>"1578726410679937"</f>
        <v>1578726410679937</v>
      </c>
      <c r="C2992" t="s">
        <v>37</v>
      </c>
      <c r="D2992">
        <v>4.9250959999999999</v>
      </c>
      <c r="E2992">
        <v>0.50443629999999995</v>
      </c>
      <c r="F2992" t="s">
        <v>39</v>
      </c>
      <c r="G2992">
        <v>-187.37729999999999</v>
      </c>
      <c r="H2992" s="1">
        <v>-4.3112359999999996E-6</v>
      </c>
      <c r="I2992">
        <v>-1.4020459999999999</v>
      </c>
      <c r="J2992">
        <v>-186.5171</v>
      </c>
      <c r="K2992">
        <v>1.1025020000000001</v>
      </c>
      <c r="L2992">
        <v>-19.180999999999901</v>
      </c>
      <c r="M2992">
        <v>-3.42236E-2</v>
      </c>
      <c r="N2992">
        <v>0</v>
      </c>
      <c r="O2992">
        <v>0.99934129999999999</v>
      </c>
      <c r="P2992">
        <v>-6.0888079999999997E-2</v>
      </c>
      <c r="Q2992">
        <v>0.1605975</v>
      </c>
      <c r="R2992">
        <v>0.98514009999999996</v>
      </c>
      <c r="S2992">
        <v>-0.14753720000000001</v>
      </c>
      <c r="T2992">
        <v>-0.18721089999999899</v>
      </c>
      <c r="U2992">
        <v>3.0670470000000001</v>
      </c>
      <c r="V2992">
        <v>-2.6705590000000001E-2</v>
      </c>
      <c r="W2992">
        <v>0.1725641</v>
      </c>
      <c r="X2992">
        <v>0.98463619999999996</v>
      </c>
      <c r="Y2992">
        <v>-1.374468E-2</v>
      </c>
      <c r="Z2992">
        <v>-6.083471E-2</v>
      </c>
      <c r="AA2992">
        <v>0.99805319999999997</v>
      </c>
      <c r="AB2992">
        <v>29</v>
      </c>
      <c r="AC2992">
        <v>-0.86019999999999097</v>
      </c>
      <c r="AD2992">
        <v>-1.1025063112360001</v>
      </c>
      <c r="AE2992">
        <v>17.778953999999999</v>
      </c>
      <c r="AF2992">
        <v>-0.25023186501655997</v>
      </c>
      <c r="AG2992">
        <v>-1.1025063112360001</v>
      </c>
      <c r="AH2992">
        <v>17.729958032483001</v>
      </c>
      <c r="AI2992">
        <v>93.557902447214602</v>
      </c>
      <c r="AJ2992">
        <v>90.8085906296769</v>
      </c>
      <c r="AK2992">
        <v>17.765966002055499</v>
      </c>
    </row>
    <row r="2993" spans="1:37" x14ac:dyDescent="0.2">
      <c r="A2993" t="str">
        <f>"20200111150650706"</f>
        <v>20200111150650706</v>
      </c>
      <c r="B2993" t="str">
        <f>"1578726410699458"</f>
        <v>1578726410699458</v>
      </c>
      <c r="C2993" t="s">
        <v>37</v>
      </c>
      <c r="D2993">
        <v>4.9706109999999999</v>
      </c>
      <c r="E2993">
        <v>0.50514229999999904</v>
      </c>
      <c r="F2993" t="s">
        <v>39</v>
      </c>
      <c r="G2993">
        <v>-187.36009999999999</v>
      </c>
      <c r="H2993" s="1">
        <v>-3.974706E-6</v>
      </c>
      <c r="I2993">
        <v>-2.19364599999999</v>
      </c>
      <c r="J2993">
        <v>-186.52590000000001</v>
      </c>
      <c r="K2993">
        <v>1.102538</v>
      </c>
      <c r="L2993">
        <v>-18.881900000000002</v>
      </c>
      <c r="M2993">
        <v>-3.29406E-2</v>
      </c>
      <c r="N2993">
        <v>0</v>
      </c>
      <c r="O2993">
        <v>0.99938439999999995</v>
      </c>
      <c r="P2993">
        <v>-6.0659360000000002E-2</v>
      </c>
      <c r="Q2993">
        <v>0.16018959999999999</v>
      </c>
      <c r="R2993">
        <v>0.98522069999999995</v>
      </c>
      <c r="S2993">
        <v>-0.1522522</v>
      </c>
      <c r="T2993">
        <v>-0.19913739999999999</v>
      </c>
      <c r="U2993">
        <v>3.068298</v>
      </c>
      <c r="V2993">
        <v>-2.775648E-2</v>
      </c>
      <c r="W2993">
        <v>0.17215639999999999</v>
      </c>
      <c r="X2993">
        <v>0.98467850000000001</v>
      </c>
      <c r="Y2993">
        <v>-1.6526869999999999E-2</v>
      </c>
      <c r="Z2993">
        <v>-6.4668690000000001E-2</v>
      </c>
      <c r="AA2993">
        <v>0.99777000000000005</v>
      </c>
      <c r="AB2993">
        <v>29</v>
      </c>
      <c r="AC2993">
        <v>-0.83419999999998096</v>
      </c>
      <c r="AD2993">
        <v>-1.1025419747059999</v>
      </c>
      <c r="AE2993">
        <v>16.688254000000001</v>
      </c>
      <c r="AF2993">
        <v>-0.28275495695428199</v>
      </c>
      <c r="AG2993">
        <v>-1.1025419747059999</v>
      </c>
      <c r="AH2993">
        <v>16.6342522995938</v>
      </c>
      <c r="AI2993">
        <v>93.791553180502603</v>
      </c>
      <c r="AJ2993">
        <v>90.973840319729106</v>
      </c>
      <c r="AK2993">
        <v>16.673149034846801</v>
      </c>
    </row>
    <row r="2994" spans="1:37" x14ac:dyDescent="0.2">
      <c r="A2994" t="str">
        <f>"20200111150650729"</f>
        <v>20200111150650729</v>
      </c>
      <c r="B2994" t="str">
        <f>"1578726410719953"</f>
        <v>1578726410719953</v>
      </c>
      <c r="C2994" t="s">
        <v>37</v>
      </c>
      <c r="D2994">
        <v>4.9843519999999897</v>
      </c>
      <c r="E2994">
        <v>0.50536709999999996</v>
      </c>
      <c r="F2994" t="s">
        <v>39</v>
      </c>
      <c r="G2994">
        <v>-187.3006</v>
      </c>
      <c r="H2994" s="1">
        <v>-3.8680519999999998E-6</v>
      </c>
      <c r="I2994">
        <v>-2.4668380000000001</v>
      </c>
      <c r="J2994">
        <v>-186.5341</v>
      </c>
      <c r="K2994">
        <v>1.1025830000000001</v>
      </c>
      <c r="L2994">
        <v>-18.592320000000001</v>
      </c>
      <c r="M2994">
        <v>-3.1754310000000001E-2</v>
      </c>
      <c r="N2994">
        <v>0</v>
      </c>
      <c r="O2994">
        <v>0.99942279999999994</v>
      </c>
      <c r="P2994">
        <v>-5.9968130000000001E-2</v>
      </c>
      <c r="Q2994">
        <v>0.1604072</v>
      </c>
      <c r="R2994">
        <v>0.98522759999999998</v>
      </c>
      <c r="S2994">
        <v>-0.14486689999999999</v>
      </c>
      <c r="T2994">
        <v>-0.206174899999999</v>
      </c>
      <c r="U2994">
        <v>3.0696110000000001</v>
      </c>
      <c r="V2994">
        <v>-2.82531E-2</v>
      </c>
      <c r="W2994">
        <v>0.172371</v>
      </c>
      <c r="X2994">
        <v>0.98462680000000002</v>
      </c>
      <c r="Y2994">
        <v>-1.529061E-2</v>
      </c>
      <c r="Z2994">
        <v>-6.6923860000000002E-2</v>
      </c>
      <c r="AA2994">
        <v>0.99764089999999905</v>
      </c>
      <c r="AB2994">
        <v>29</v>
      </c>
      <c r="AC2994">
        <v>-0.76650000000000695</v>
      </c>
      <c r="AD2994">
        <v>-1.1025868680519999</v>
      </c>
      <c r="AE2994">
        <v>16.125482000000002</v>
      </c>
      <c r="AF2994">
        <v>-0.25284310465558901</v>
      </c>
      <c r="AG2994">
        <v>-1.1025868680519999</v>
      </c>
      <c r="AH2994">
        <v>16.066744349774801</v>
      </c>
      <c r="AI2994">
        <v>93.925306623242705</v>
      </c>
      <c r="AJ2994">
        <v>90.901591929690895</v>
      </c>
      <c r="AK2994">
        <v>16.106517359075202</v>
      </c>
    </row>
    <row r="2995" spans="1:37" x14ac:dyDescent="0.2">
      <c r="A2995" t="str">
        <f>"20200111150650750"</f>
        <v>20200111150650750</v>
      </c>
      <c r="B2995" t="str">
        <f>"1578726410739473"</f>
        <v>1578726410739473</v>
      </c>
      <c r="C2995" t="s">
        <v>37</v>
      </c>
      <c r="D2995">
        <v>5.1755110000000002</v>
      </c>
      <c r="E2995">
        <v>0.51382499999999998</v>
      </c>
      <c r="F2995" t="s">
        <v>39</v>
      </c>
      <c r="G2995">
        <v>-187.29650000000001</v>
      </c>
      <c r="H2995" s="1">
        <v>-4.0599069999999999E-6</v>
      </c>
      <c r="I2995">
        <v>-2.021325</v>
      </c>
      <c r="J2995">
        <v>-186.54140000000001</v>
      </c>
      <c r="K2995">
        <v>1.1026290000000001</v>
      </c>
      <c r="L2995">
        <v>-18.32629</v>
      </c>
      <c r="M2995">
        <v>-3.0716380000000001E-2</v>
      </c>
      <c r="N2995">
        <v>0</v>
      </c>
      <c r="O2995">
        <v>0.99945529999999905</v>
      </c>
      <c r="P2995">
        <v>-5.882884E-2</v>
      </c>
      <c r="Q2995">
        <v>0.16058449999999999</v>
      </c>
      <c r="R2995">
        <v>0.98526729999999996</v>
      </c>
      <c r="S2995">
        <v>-0.14122009999999999</v>
      </c>
      <c r="T2995">
        <v>-0.20424529999999999</v>
      </c>
      <c r="U2995">
        <v>3.0696409999999998</v>
      </c>
      <c r="V2995">
        <v>-2.8155050000000001E-2</v>
      </c>
      <c r="W2995">
        <v>0.17254339999999899</v>
      </c>
      <c r="X2995">
        <v>0.98459949999999996</v>
      </c>
      <c r="Y2995">
        <v>-1.514778E-2</v>
      </c>
      <c r="Z2995">
        <v>-6.6304799999999997E-2</v>
      </c>
      <c r="AA2995">
        <v>0.99768440000000003</v>
      </c>
      <c r="AB2995">
        <v>29</v>
      </c>
      <c r="AC2995">
        <v>-0.755099999999998</v>
      </c>
      <c r="AD2995">
        <v>-1.102633059907</v>
      </c>
      <c r="AE2995">
        <v>16.304964999999999</v>
      </c>
      <c r="AF2995">
        <v>-0.25272438885922099</v>
      </c>
      <c r="AG2995">
        <v>-1.102633059907</v>
      </c>
      <c r="AH2995">
        <v>16.2463268057951</v>
      </c>
      <c r="AI2995">
        <v>93.882223874988199</v>
      </c>
      <c r="AJ2995">
        <v>90.891209024179503</v>
      </c>
      <c r="AK2995">
        <v>16.285662527579898</v>
      </c>
    </row>
    <row r="2996" spans="1:37" x14ac:dyDescent="0.2">
      <c r="A2996" t="str">
        <f>"20200111150650773"</f>
        <v>20200111150650773</v>
      </c>
      <c r="B2996" t="str">
        <f>"1578726410769729"</f>
        <v>1578726410769729</v>
      </c>
      <c r="C2996" t="s">
        <v>37</v>
      </c>
      <c r="D2996">
        <v>4.6537889999999997</v>
      </c>
      <c r="E2996">
        <v>0.5013687</v>
      </c>
      <c r="F2996" t="s">
        <v>54</v>
      </c>
      <c r="G2996">
        <v>-195.79150000000001</v>
      </c>
      <c r="H2996">
        <v>39.12979</v>
      </c>
      <c r="I2996">
        <v>391.87</v>
      </c>
      <c r="J2996">
        <v>-186.54910000000001</v>
      </c>
      <c r="K2996">
        <v>1.102681</v>
      </c>
      <c r="L2996">
        <v>-18.037229999999902</v>
      </c>
      <c r="M2996">
        <v>-2.964371E-2</v>
      </c>
      <c r="N2996">
        <v>0</v>
      </c>
      <c r="O2996">
        <v>0.99948760000000003</v>
      </c>
      <c r="P2996">
        <v>-5.8050320000000002E-2</v>
      </c>
      <c r="Q2996">
        <v>0.1610394</v>
      </c>
      <c r="R2996">
        <v>0.98523930000000004</v>
      </c>
      <c r="S2996">
        <v>-6.7550659999999998E-2</v>
      </c>
      <c r="T2996">
        <v>0.27770409999999901</v>
      </c>
      <c r="U2996">
        <v>2.9955750000000001</v>
      </c>
      <c r="V2996">
        <v>-2.8455109999999999E-2</v>
      </c>
      <c r="W2996">
        <v>0.17299419999999999</v>
      </c>
      <c r="X2996">
        <v>0.98451169999999999</v>
      </c>
      <c r="Y2996">
        <v>7.1999659999999899E-3</v>
      </c>
      <c r="Z2996">
        <v>9.2235449999999997E-2</v>
      </c>
      <c r="AA2996">
        <v>0.99571119999999902</v>
      </c>
      <c r="AB2996">
        <v>29</v>
      </c>
      <c r="AC2996">
        <v>-9.2423999999999999</v>
      </c>
      <c r="AD2996">
        <v>38.027109000000003</v>
      </c>
      <c r="AE2996">
        <v>409.90723000000003</v>
      </c>
      <c r="AF2996">
        <v>2.8888694734265798</v>
      </c>
      <c r="AG2996">
        <v>38.027109000000003</v>
      </c>
      <c r="AH2996">
        <v>406.50434778449898</v>
      </c>
      <c r="AI2996">
        <v>84.655860458415702</v>
      </c>
      <c r="AJ2996">
        <v>89.592827867879805</v>
      </c>
      <c r="AK2996">
        <v>408.28934758750898</v>
      </c>
    </row>
    <row r="2997" spans="1:37" x14ac:dyDescent="0.2">
      <c r="A2997" t="str">
        <f>"20200111150650796"</f>
        <v>20200111150650796</v>
      </c>
      <c r="B2997" t="str">
        <f>"1578726410789249"</f>
        <v>1578726410789249</v>
      </c>
      <c r="C2997" t="s">
        <v>37</v>
      </c>
      <c r="D2997">
        <v>8.0710490000000004</v>
      </c>
      <c r="E2997">
        <v>0.50325790000000004</v>
      </c>
      <c r="F2997" t="s">
        <v>39</v>
      </c>
      <c r="G2997">
        <v>-187.55369999999999</v>
      </c>
      <c r="H2997" s="1">
        <v>-9.167318E-7</v>
      </c>
      <c r="I2997">
        <v>0.42927659999999901</v>
      </c>
      <c r="J2997">
        <v>-186.55690000000001</v>
      </c>
      <c r="K2997">
        <v>1.1027279999999999</v>
      </c>
      <c r="L2997">
        <v>-17.733699999999999</v>
      </c>
      <c r="M2997">
        <v>-2.8583870000000001E-2</v>
      </c>
      <c r="N2997">
        <v>0</v>
      </c>
      <c r="O2997">
        <v>0.99951859999999904</v>
      </c>
      <c r="P2997">
        <v>-5.7758329999999997E-2</v>
      </c>
      <c r="Q2997">
        <v>0.1614495</v>
      </c>
      <c r="R2997">
        <v>0.98518930000000005</v>
      </c>
      <c r="S2997">
        <v>-0.16674800000000001</v>
      </c>
      <c r="T2997">
        <v>-0.18302079999999901</v>
      </c>
      <c r="U2997">
        <v>3.0650330000000001</v>
      </c>
      <c r="V2997">
        <v>-2.922899E-2</v>
      </c>
      <c r="W2997">
        <v>0.1734</v>
      </c>
      <c r="X2997">
        <v>0.984417599999999</v>
      </c>
      <c r="Y2997">
        <v>-2.566075E-2</v>
      </c>
      <c r="Z2997">
        <v>-5.9516220000000002E-2</v>
      </c>
      <c r="AA2997">
        <v>0.99789740000000005</v>
      </c>
      <c r="AB2997">
        <v>29</v>
      </c>
      <c r="AC2997">
        <v>-0.99679999999997904</v>
      </c>
      <c r="AD2997">
        <v>-1.1027289167318</v>
      </c>
      <c r="AE2997">
        <v>18.1629766</v>
      </c>
      <c r="AF2997">
        <v>-0.47543946222765598</v>
      </c>
      <c r="AG2997">
        <v>-1.1027289167318</v>
      </c>
      <c r="AH2997">
        <v>18.117466863063001</v>
      </c>
      <c r="AI2997">
        <v>93.4818444359707</v>
      </c>
      <c r="AJ2997">
        <v>91.503213685166102</v>
      </c>
      <c r="AK2997">
        <v>18.1572205824632</v>
      </c>
    </row>
    <row r="2998" spans="1:37" x14ac:dyDescent="0.2">
      <c r="A2998" t="str">
        <f>"20200111150650818"</f>
        <v>20200111150650818</v>
      </c>
      <c r="B2998" t="str">
        <f>"1578726410809745"</f>
        <v>1578726410809745</v>
      </c>
      <c r="C2998" t="s">
        <v>37</v>
      </c>
      <c r="D2998">
        <v>5.9456290000000003</v>
      </c>
      <c r="E2998">
        <v>0.50572790000000001</v>
      </c>
      <c r="F2998" t="s">
        <v>38</v>
      </c>
      <c r="G2998">
        <v>-186.60220000000001</v>
      </c>
      <c r="H2998">
        <v>1.0307010000000001</v>
      </c>
      <c r="I2998">
        <v>-16.806139999999999</v>
      </c>
      <c r="J2998">
        <v>-186.56389999999999</v>
      </c>
      <c r="K2998">
        <v>1.1027659999999999</v>
      </c>
      <c r="L2998">
        <v>-17.450779999999899</v>
      </c>
      <c r="M2998">
        <v>-2.7639710000000001E-2</v>
      </c>
      <c r="N2998">
        <v>0</v>
      </c>
      <c r="O2998">
        <v>0.99954509999999996</v>
      </c>
      <c r="P2998">
        <v>-5.7795560000000003E-2</v>
      </c>
      <c r="Q2998">
        <v>0.1618375</v>
      </c>
      <c r="R2998">
        <v>0.98512350000000004</v>
      </c>
      <c r="S2998">
        <v>-0.15060419999999999</v>
      </c>
      <c r="T2998">
        <v>-0.2387831</v>
      </c>
      <c r="U2998">
        <v>3.0754090000000001</v>
      </c>
      <c r="V2998">
        <v>-3.0214060000000001E-2</v>
      </c>
      <c r="W2998">
        <v>0.17378560000000001</v>
      </c>
      <c r="X2998">
        <v>0.98431990000000003</v>
      </c>
      <c r="Y2998">
        <v>-2.1138110000000002E-2</v>
      </c>
      <c r="Z2998">
        <v>-7.7310790000000004E-2</v>
      </c>
      <c r="AA2998">
        <v>0.99678299999999997</v>
      </c>
      <c r="AB2998">
        <v>29</v>
      </c>
      <c r="AC2998">
        <v>-3.8300000000020797E-2</v>
      </c>
      <c r="AD2998">
        <v>-7.2064999999999796E-2</v>
      </c>
      <c r="AE2998">
        <v>0.64463999999999899</v>
      </c>
      <c r="AF2998">
        <v>-2.02146660699981E-2</v>
      </c>
      <c r="AG2998">
        <v>-7.2064999999999796E-2</v>
      </c>
      <c r="AH2998">
        <v>0.63751322303897295</v>
      </c>
      <c r="AI2998">
        <v>96.446170262371794</v>
      </c>
      <c r="AJ2998">
        <v>91.816161722741498</v>
      </c>
      <c r="AK2998">
        <v>0.641891818376634</v>
      </c>
    </row>
    <row r="2999" spans="1:37" x14ac:dyDescent="0.2">
      <c r="A2999" t="str">
        <f>"20200111150650840"</f>
        <v>20200111150650840</v>
      </c>
      <c r="B2999" t="str">
        <f>"1578726410829266"</f>
        <v>1578726410829266</v>
      </c>
      <c r="C2999" t="s">
        <v>37</v>
      </c>
      <c r="D2999">
        <v>4.666315</v>
      </c>
      <c r="E2999">
        <v>0.50463239999999998</v>
      </c>
      <c r="F2999" t="s">
        <v>38</v>
      </c>
      <c r="G2999">
        <v>-186.6026</v>
      </c>
      <c r="H2999">
        <v>1.0350900000000001</v>
      </c>
      <c r="I2999">
        <v>-16.537369999999999</v>
      </c>
      <c r="J2999">
        <v>-186.57040000000001</v>
      </c>
      <c r="K2999">
        <v>1.1027929999999999</v>
      </c>
      <c r="L2999">
        <v>-17.179870000000001</v>
      </c>
      <c r="M2999">
        <v>-2.6770780000000001E-2</v>
      </c>
      <c r="N2999">
        <v>0</v>
      </c>
      <c r="O2999">
        <v>0.99956880000000004</v>
      </c>
      <c r="P2999">
        <v>-5.7467789999999998E-2</v>
      </c>
      <c r="Q2999">
        <v>0.16228670000000001</v>
      </c>
      <c r="R2999">
        <v>0.98506870000000002</v>
      </c>
      <c r="S2999">
        <v>-0.13087460000000001</v>
      </c>
      <c r="T2999">
        <v>-0.22779259999999901</v>
      </c>
      <c r="U2999">
        <v>3.075043</v>
      </c>
      <c r="V2999">
        <v>-3.0755589999999999E-2</v>
      </c>
      <c r="W2999">
        <v>0.1742302</v>
      </c>
      <c r="X2999">
        <v>0.98422449999999995</v>
      </c>
      <c r="Y2999">
        <v>-1.564202E-2</v>
      </c>
      <c r="Z2999">
        <v>-7.3798069999999993E-2</v>
      </c>
      <c r="AA2999">
        <v>0.99715049999999905</v>
      </c>
      <c r="AB2999">
        <v>29</v>
      </c>
      <c r="AC2999">
        <v>-3.2199999999988897E-2</v>
      </c>
      <c r="AD2999">
        <v>-6.7702999999999999E-2</v>
      </c>
      <c r="AE2999">
        <v>0.64249999999999796</v>
      </c>
      <c r="AF2999">
        <v>-1.48228035450313E-2</v>
      </c>
      <c r="AG2999">
        <v>-6.7702999999999999E-2</v>
      </c>
      <c r="AH2999">
        <v>0.63608652684462497</v>
      </c>
      <c r="AI2999">
        <v>96.073867718269696</v>
      </c>
      <c r="AJ2999">
        <v>91.334929081837899</v>
      </c>
      <c r="AK2999">
        <v>0.639851139990539</v>
      </c>
    </row>
    <row r="3000" spans="1:37" x14ac:dyDescent="0.2">
      <c r="A3000" t="str">
        <f>"20200111150650861"</f>
        <v>20200111150650861</v>
      </c>
      <c r="B3000" t="str">
        <f>"1578726410859522"</f>
        <v>1578726410859522</v>
      </c>
      <c r="C3000" t="s">
        <v>37</v>
      </c>
      <c r="D3000">
        <v>4.6848049999999999</v>
      </c>
      <c r="E3000">
        <v>0.50509139999999997</v>
      </c>
      <c r="F3000" t="s">
        <v>39</v>
      </c>
      <c r="G3000">
        <v>-187.4068</v>
      </c>
      <c r="H3000" s="1">
        <v>-1.2671670000000001E-6</v>
      </c>
      <c r="I3000">
        <v>1.3441650000000001</v>
      </c>
      <c r="J3000">
        <v>-186.577</v>
      </c>
      <c r="K3000">
        <v>1.102822</v>
      </c>
      <c r="L3000">
        <v>-16.895689999999998</v>
      </c>
      <c r="M3000">
        <v>-2.5891239999999999E-2</v>
      </c>
      <c r="N3000">
        <v>0</v>
      </c>
      <c r="O3000">
        <v>0.99959209999999998</v>
      </c>
      <c r="P3000">
        <v>-5.7683180000000001E-2</v>
      </c>
      <c r="Q3000">
        <v>0.16288469999999999</v>
      </c>
      <c r="R3000">
        <v>0.98495750000000004</v>
      </c>
      <c r="S3000">
        <v>-0.13850399999999999</v>
      </c>
      <c r="T3000">
        <v>-0.18261640000000001</v>
      </c>
      <c r="U3000">
        <v>3.0674739999999998</v>
      </c>
      <c r="V3000">
        <v>-3.185085E-2</v>
      </c>
      <c r="W3000">
        <v>0.17481949999999999</v>
      </c>
      <c r="X3000">
        <v>0.98408519999999899</v>
      </c>
      <c r="Y3000">
        <v>-1.914505E-2</v>
      </c>
      <c r="Z3000">
        <v>-5.9362499999999999E-2</v>
      </c>
      <c r="AA3000">
        <v>0.99805290000000002</v>
      </c>
      <c r="AB3000">
        <v>29</v>
      </c>
      <c r="AC3000">
        <v>-0.82980000000000498</v>
      </c>
      <c r="AD3000">
        <v>-1.102823267167</v>
      </c>
      <c r="AE3000">
        <v>18.239854999999999</v>
      </c>
      <c r="AF3000">
        <v>-0.35593650604195498</v>
      </c>
      <c r="AG3000">
        <v>-1.102823267167</v>
      </c>
      <c r="AH3000">
        <v>18.188870105041001</v>
      </c>
      <c r="AI3000">
        <v>93.469033989559705</v>
      </c>
      <c r="AJ3000">
        <v>91.121073318521198</v>
      </c>
      <c r="AK3000">
        <v>18.2257484250439</v>
      </c>
    </row>
    <row r="3001" spans="1:37" x14ac:dyDescent="0.2">
      <c r="A3001" t="str">
        <f>"20200111150650884"</f>
        <v>20200111150650884</v>
      </c>
      <c r="B3001" t="str">
        <f>"1578726410880017"</f>
        <v>1578726410880017</v>
      </c>
      <c r="C3001" t="s">
        <v>37</v>
      </c>
      <c r="D3001">
        <v>5.0697660000000004</v>
      </c>
      <c r="E3001">
        <v>0.50624190000000002</v>
      </c>
      <c r="F3001" t="s">
        <v>39</v>
      </c>
      <c r="G3001">
        <v>-187.5669</v>
      </c>
      <c r="H3001" s="1">
        <v>-2.9583469999999999E-6</v>
      </c>
      <c r="I3001">
        <v>5.5227149999999998</v>
      </c>
      <c r="J3001">
        <v>-186.58369999999999</v>
      </c>
      <c r="K3001">
        <v>1.1028450000000001</v>
      </c>
      <c r="L3001">
        <v>-16.597989999999999</v>
      </c>
      <c r="M3001">
        <v>-2.499318E-2</v>
      </c>
      <c r="N3001">
        <v>0</v>
      </c>
      <c r="O3001">
        <v>0.99961499999999903</v>
      </c>
      <c r="P3001">
        <v>-5.7711989999999998E-2</v>
      </c>
      <c r="Q3001">
        <v>0.1628579</v>
      </c>
      <c r="R3001">
        <v>0.98496019999999895</v>
      </c>
      <c r="S3001">
        <v>-0.13523859999999999</v>
      </c>
      <c r="T3001">
        <v>-0.1506681</v>
      </c>
      <c r="U3001">
        <v>3.062805</v>
      </c>
      <c r="V3001">
        <v>-3.277455E-2</v>
      </c>
      <c r="W3001">
        <v>0.17478150000000001</v>
      </c>
      <c r="X3001">
        <v>0.98406159999999998</v>
      </c>
      <c r="Y3001">
        <v>-1.9074549999999999E-2</v>
      </c>
      <c r="Z3001">
        <v>-4.9082130000000002E-2</v>
      </c>
      <c r="AA3001">
        <v>0.99861259999999996</v>
      </c>
      <c r="AB3001">
        <v>29</v>
      </c>
      <c r="AC3001">
        <v>-0.98320000000000995</v>
      </c>
      <c r="AD3001">
        <v>-1.1028479583469999</v>
      </c>
      <c r="AE3001">
        <v>22.120705000000001</v>
      </c>
      <c r="AF3001">
        <v>-0.42892189133832798</v>
      </c>
      <c r="AG3001">
        <v>-1.1028479583469999</v>
      </c>
      <c r="AH3001">
        <v>22.083586043354501</v>
      </c>
      <c r="AI3001">
        <v>92.858421453524002</v>
      </c>
      <c r="AJ3001">
        <v>91.112696302705999</v>
      </c>
      <c r="AK3001">
        <v>22.115266675813402</v>
      </c>
    </row>
    <row r="3002" spans="1:37" x14ac:dyDescent="0.2">
      <c r="A3002" t="str">
        <f>"20200111150650907"</f>
        <v>20200111150650907</v>
      </c>
      <c r="B3002" t="str">
        <f>"1578726410899538"</f>
        <v>1578726410899538</v>
      </c>
      <c r="C3002" t="s">
        <v>37</v>
      </c>
      <c r="D3002">
        <v>5.0938850000000002</v>
      </c>
      <c r="E3002">
        <v>0.5203605</v>
      </c>
      <c r="F3002" t="s">
        <v>39</v>
      </c>
      <c r="G3002">
        <v>-187.42490000000001</v>
      </c>
      <c r="H3002" s="1">
        <v>-2.2875309999999999E-6</v>
      </c>
      <c r="I3002">
        <v>3.9003019999999902</v>
      </c>
      <c r="J3002">
        <v>-186.5898</v>
      </c>
      <c r="K3002">
        <v>1.1028610000000001</v>
      </c>
      <c r="L3002">
        <v>-16.31662</v>
      </c>
      <c r="M3002">
        <v>-2.41565999999999E-2</v>
      </c>
      <c r="N3002">
        <v>0</v>
      </c>
      <c r="O3002">
        <v>0.99963570000000002</v>
      </c>
      <c r="P3002">
        <v>-5.7023850000000001E-2</v>
      </c>
      <c r="Q3002">
        <v>0.162724799999999</v>
      </c>
      <c r="R3002">
        <v>0.98502230000000002</v>
      </c>
      <c r="S3002">
        <v>-0.1258087</v>
      </c>
      <c r="T3002">
        <v>-0.1649407</v>
      </c>
      <c r="U3002">
        <v>3.0657040000000002</v>
      </c>
      <c r="V3002">
        <v>-3.291757E-2</v>
      </c>
      <c r="W3002">
        <v>0.17463819999999999</v>
      </c>
      <c r="X3002">
        <v>0.98408229999999997</v>
      </c>
      <c r="Y3002">
        <v>-1.6793829999999999E-2</v>
      </c>
      <c r="Z3002">
        <v>-5.3674399999999997E-2</v>
      </c>
      <c r="AA3002">
        <v>0.99841729999999995</v>
      </c>
      <c r="AB3002">
        <v>29</v>
      </c>
      <c r="AC3002">
        <v>-0.83510000000001094</v>
      </c>
      <c r="AD3002">
        <v>-1.1028632875309901</v>
      </c>
      <c r="AE3002">
        <v>20.216922</v>
      </c>
      <c r="AF3002">
        <v>-0.345422600465848</v>
      </c>
      <c r="AG3002">
        <v>-1.1028632875309901</v>
      </c>
      <c r="AH3002">
        <v>20.1712714759087</v>
      </c>
      <c r="AI3002">
        <v>93.129070172317597</v>
      </c>
      <c r="AJ3002">
        <v>90.9810647255117</v>
      </c>
      <c r="AK3002">
        <v>20.204351441179799</v>
      </c>
    </row>
    <row r="3003" spans="1:37" x14ac:dyDescent="0.2">
      <c r="A3003" t="str">
        <f>"20200111150650930"</f>
        <v>20200111150650930</v>
      </c>
      <c r="B3003" t="str">
        <f>"1578726410920034"</f>
        <v>1578726410920034</v>
      </c>
      <c r="C3003" t="s">
        <v>37</v>
      </c>
      <c r="D3003">
        <v>4.6766940000000004</v>
      </c>
      <c r="E3003">
        <v>0.51647029999999905</v>
      </c>
      <c r="F3003" t="s">
        <v>54</v>
      </c>
      <c r="G3003">
        <v>-187.9314</v>
      </c>
      <c r="H3003">
        <v>23.465389999999999</v>
      </c>
      <c r="I3003">
        <v>391.87</v>
      </c>
      <c r="J3003">
        <v>-186.59599999999901</v>
      </c>
      <c r="K3003">
        <v>1.1028709999999999</v>
      </c>
      <c r="L3003">
        <v>-16.016169999999999</v>
      </c>
      <c r="M3003">
        <v>-2.3270019999999999E-2</v>
      </c>
      <c r="N3003">
        <v>0</v>
      </c>
      <c r="O3003">
        <v>0.99965689999999996</v>
      </c>
      <c r="P3003">
        <v>-5.614835E-2</v>
      </c>
      <c r="Q3003">
        <v>0.16290739999999901</v>
      </c>
      <c r="R3003">
        <v>0.98504239999999998</v>
      </c>
      <c r="S3003">
        <v>-9.9182130000000004E-3</v>
      </c>
      <c r="T3003">
        <v>0.16532659999999999</v>
      </c>
      <c r="U3003">
        <v>3.0177309999999999</v>
      </c>
      <c r="V3003">
        <v>-3.2920779999999997E-2</v>
      </c>
      <c r="W3003">
        <v>0.1748101</v>
      </c>
      <c r="X3003">
        <v>0.98405159999999903</v>
      </c>
      <c r="Y3003">
        <v>1.9990750000000002E-2</v>
      </c>
      <c r="Z3003">
        <v>5.4675219999999997E-2</v>
      </c>
      <c r="AA3003">
        <v>0.99830409999999903</v>
      </c>
      <c r="AB3003">
        <v>29</v>
      </c>
      <c r="AC3003">
        <v>-1.3354000000000199</v>
      </c>
      <c r="AD3003">
        <v>22.362518999999999</v>
      </c>
      <c r="AE3003">
        <v>407.88616999999999</v>
      </c>
      <c r="AF3003">
        <v>8.1327219814199996</v>
      </c>
      <c r="AG3003">
        <v>22.362518999999999</v>
      </c>
      <c r="AH3003">
        <v>406.58467348810098</v>
      </c>
      <c r="AI3003">
        <v>86.852481380962899</v>
      </c>
      <c r="AJ3003">
        <v>88.854092282256801</v>
      </c>
      <c r="AK3003">
        <v>407.28039498394497</v>
      </c>
    </row>
    <row r="3004" spans="1:37" x14ac:dyDescent="0.2">
      <c r="A3004" t="str">
        <f>"20200111150650951"</f>
        <v>20200111150650951</v>
      </c>
      <c r="B3004" t="str">
        <f>"1578726410939553"</f>
        <v>1578726410939553</v>
      </c>
      <c r="C3004" t="s">
        <v>37</v>
      </c>
      <c r="D3004">
        <v>7.2532639999999997</v>
      </c>
      <c r="E3004">
        <v>0.5125847</v>
      </c>
      <c r="F3004" t="s">
        <v>54</v>
      </c>
      <c r="G3004">
        <v>-191.7921</v>
      </c>
      <c r="H3004">
        <v>32.391459999999903</v>
      </c>
      <c r="I3004">
        <v>391.87</v>
      </c>
      <c r="J3004">
        <v>-186.60149999999999</v>
      </c>
      <c r="K3004">
        <v>1.102876</v>
      </c>
      <c r="L3004">
        <v>-15.743410000000001</v>
      </c>
      <c r="M3004">
        <v>-2.2468499999999999E-2</v>
      </c>
      <c r="N3004">
        <v>0</v>
      </c>
      <c r="O3004">
        <v>0.99967530000000004</v>
      </c>
      <c r="P3004">
        <v>-5.4811499999999999E-2</v>
      </c>
      <c r="Q3004">
        <v>0.16244049999999999</v>
      </c>
      <c r="R3004">
        <v>0.98519480000000004</v>
      </c>
      <c r="S3004">
        <v>-3.82843E-2</v>
      </c>
      <c r="T3004">
        <v>0.23052990000000001</v>
      </c>
      <c r="U3004">
        <v>3.0052490000000001</v>
      </c>
      <c r="V3004">
        <v>-3.2374069999999998E-2</v>
      </c>
      <c r="W3004">
        <v>0.17433489999999999</v>
      </c>
      <c r="X3004">
        <v>0.98415409999999903</v>
      </c>
      <c r="Y3004">
        <v>9.7706900000000003E-3</v>
      </c>
      <c r="Z3004">
        <v>7.6450560000000001E-2</v>
      </c>
      <c r="AA3004">
        <v>0.99702549999999901</v>
      </c>
      <c r="AB3004">
        <v>29</v>
      </c>
      <c r="AC3004">
        <v>-5.1906000000000097</v>
      </c>
      <c r="AD3004">
        <v>31.288584</v>
      </c>
      <c r="AE3004">
        <v>407.61340999999999</v>
      </c>
      <c r="AF3004">
        <v>3.9465838911917701</v>
      </c>
      <c r="AG3004">
        <v>31.288584</v>
      </c>
      <c r="AH3004">
        <v>405.239774670234</v>
      </c>
      <c r="AI3004">
        <v>85.585157806394506</v>
      </c>
      <c r="AJ3004">
        <v>89.442020586165796</v>
      </c>
      <c r="AK3004">
        <v>406.46503661190599</v>
      </c>
    </row>
    <row r="3005" spans="1:37" x14ac:dyDescent="0.2">
      <c r="A3005" t="str">
        <f>"20200111150654235"</f>
        <v>20200111150654235</v>
      </c>
      <c r="B3005" t="str">
        <f>"1578726414229280"</f>
        <v>1578726414229280</v>
      </c>
      <c r="C3005" t="s">
        <v>37</v>
      </c>
      <c r="D3005">
        <v>4.7021129999999998</v>
      </c>
      <c r="E3005">
        <v>0.49287910000000001</v>
      </c>
      <c r="F3005" t="s">
        <v>54</v>
      </c>
      <c r="G3005">
        <v>-195.43629999999999</v>
      </c>
      <c r="H3005">
        <v>36.08352</v>
      </c>
      <c r="I3005">
        <v>391.87</v>
      </c>
      <c r="J3005">
        <v>-186.9101</v>
      </c>
      <c r="K3005">
        <v>1.103672</v>
      </c>
      <c r="L3005">
        <v>26.236820000000002</v>
      </c>
      <c r="M3005">
        <v>-1.3917499999999999E-2</v>
      </c>
      <c r="N3005">
        <v>0</v>
      </c>
      <c r="O3005">
        <v>0.99982669999999996</v>
      </c>
      <c r="P3005">
        <v>-5.5566530000000003E-2</v>
      </c>
      <c r="Q3005">
        <v>0.1482425</v>
      </c>
      <c r="R3005">
        <v>0.98738869999999901</v>
      </c>
      <c r="S3005">
        <v>-6.5002439999999995E-2</v>
      </c>
      <c r="T3005">
        <v>0.25737070000000001</v>
      </c>
      <c r="U3005">
        <v>2.99902299999999</v>
      </c>
      <c r="V3005">
        <v>-4.1868049999999997E-2</v>
      </c>
      <c r="W3005">
        <v>0.1604344</v>
      </c>
      <c r="X3005">
        <v>0.98615810000000004</v>
      </c>
      <c r="Y3005">
        <v>-7.6727369999999998E-3</v>
      </c>
      <c r="Z3005">
        <v>8.5480299999999995E-2</v>
      </c>
      <c r="AA3005">
        <v>0.99631029999999998</v>
      </c>
      <c r="AB3005">
        <v>28</v>
      </c>
      <c r="AC3005">
        <v>-8.5261999999999798</v>
      </c>
      <c r="AD3005">
        <v>34.979847999999997</v>
      </c>
      <c r="AE3005">
        <v>365.63317999999998</v>
      </c>
      <c r="AF3005">
        <v>-3.4051363706533002</v>
      </c>
      <c r="AG3005">
        <v>34.979847999999997</v>
      </c>
      <c r="AH3005">
        <v>362.401321506503</v>
      </c>
      <c r="AI3005">
        <v>84.486994478651894</v>
      </c>
      <c r="AJ3005">
        <v>90.538337445068194</v>
      </c>
      <c r="AK3005">
        <v>364.10150033948702</v>
      </c>
    </row>
    <row r="3006" spans="1:37" x14ac:dyDescent="0.2">
      <c r="A3006" t="str">
        <f>"20200111150654257"</f>
        <v>20200111150654257</v>
      </c>
      <c r="B3006" t="str">
        <f>"1578726414249777"</f>
        <v>1578726414249777</v>
      </c>
      <c r="C3006" t="s">
        <v>37</v>
      </c>
      <c r="D3006">
        <v>5.5553629999999998</v>
      </c>
      <c r="E3006">
        <v>0.49202040000000002</v>
      </c>
      <c r="F3006" t="s">
        <v>39</v>
      </c>
      <c r="G3006">
        <v>-188.92590000000001</v>
      </c>
      <c r="H3006" s="1">
        <v>-1.90842999999999E-6</v>
      </c>
      <c r="I3006">
        <v>53.637259999999998</v>
      </c>
      <c r="J3006">
        <v>-186.9143</v>
      </c>
      <c r="K3006">
        <v>1.103685</v>
      </c>
      <c r="L3006">
        <v>26.51895</v>
      </c>
      <c r="M3006">
        <v>-1.412999E-2</v>
      </c>
      <c r="N3006">
        <v>0</v>
      </c>
      <c r="O3006">
        <v>0.99982369999999898</v>
      </c>
      <c r="P3006">
        <v>-5.4819720000000002E-2</v>
      </c>
      <c r="Q3006">
        <v>0.14706559999999999</v>
      </c>
      <c r="R3006">
        <v>0.98760650000000005</v>
      </c>
      <c r="S3006">
        <v>-0.22395319999999999</v>
      </c>
      <c r="T3006">
        <v>-0.12261569999999999</v>
      </c>
      <c r="U3006">
        <v>3.04412799999999</v>
      </c>
      <c r="V3006">
        <v>-4.0913329999999998E-2</v>
      </c>
      <c r="W3006">
        <v>0.1592595</v>
      </c>
      <c r="X3006">
        <v>0.98638859999999995</v>
      </c>
      <c r="Y3006">
        <v>-5.9211159999999999E-2</v>
      </c>
      <c r="Z3006">
        <v>-4.0151279999999998E-2</v>
      </c>
      <c r="AA3006">
        <v>0.99743769999999998</v>
      </c>
      <c r="AB3006">
        <v>28</v>
      </c>
      <c r="AC3006">
        <v>-2.0116000000000098</v>
      </c>
      <c r="AD3006">
        <v>-1.1036869084300001</v>
      </c>
      <c r="AE3006">
        <v>27.118309999999902</v>
      </c>
      <c r="AF3006">
        <v>-1.62551062596291</v>
      </c>
      <c r="AG3006">
        <v>-1.1036869084300001</v>
      </c>
      <c r="AH3006">
        <v>27.099386418164901</v>
      </c>
      <c r="AI3006">
        <v>92.328038085575599</v>
      </c>
      <c r="AJ3006">
        <v>93.432676955566095</v>
      </c>
      <c r="AK3006">
        <v>27.170519940331999</v>
      </c>
    </row>
    <row r="3007" spans="1:37" x14ac:dyDescent="0.2">
      <c r="A3007" t="str">
        <f>"20200111150654302"</f>
        <v>20200111150654302</v>
      </c>
      <c r="B3007" t="str">
        <f>"1578726414299552"</f>
        <v>1578726414299552</v>
      </c>
      <c r="C3007" t="s">
        <v>37</v>
      </c>
      <c r="D3007">
        <v>7.2139879999999996</v>
      </c>
      <c r="E3007">
        <v>0.47565169999999901</v>
      </c>
      <c r="F3007" t="s">
        <v>38</v>
      </c>
      <c r="G3007">
        <v>-186.9794</v>
      </c>
      <c r="H3007">
        <v>0.96435869999999901</v>
      </c>
      <c r="I3007">
        <v>27.4054</v>
      </c>
      <c r="J3007">
        <v>-186.92310000000001</v>
      </c>
      <c r="K3007">
        <v>1.1037299999999901</v>
      </c>
      <c r="L3007">
        <v>27.09769</v>
      </c>
      <c r="M3007">
        <v>-1.464647E-2</v>
      </c>
      <c r="N3007">
        <v>0</v>
      </c>
      <c r="O3007">
        <v>0.99981629999999999</v>
      </c>
      <c r="P3007">
        <v>-5.1642760000000003E-2</v>
      </c>
      <c r="Q3007">
        <v>0.14709040000000001</v>
      </c>
      <c r="R3007">
        <v>0.98777399999999904</v>
      </c>
      <c r="S3007">
        <v>-0.22825619999999999</v>
      </c>
      <c r="T3007">
        <v>-0.486855599999999</v>
      </c>
      <c r="U3007">
        <v>3.0974729999999999</v>
      </c>
      <c r="V3007">
        <v>-3.7240450000000001E-2</v>
      </c>
      <c r="W3007">
        <v>0.15928210000000001</v>
      </c>
      <c r="X3007">
        <v>0.98653049999999998</v>
      </c>
      <c r="Y3007">
        <v>-5.798884E-2</v>
      </c>
      <c r="Z3007">
        <v>-0.15491199999999999</v>
      </c>
      <c r="AA3007">
        <v>0.98622489999999996</v>
      </c>
      <c r="AB3007">
        <v>28</v>
      </c>
      <c r="AC3007">
        <v>-5.6299999999993099E-2</v>
      </c>
      <c r="AD3007">
        <v>-0.139371299999999</v>
      </c>
      <c r="AE3007">
        <v>0.30770999999999599</v>
      </c>
      <c r="AF3007">
        <v>-4.32095948623386E-2</v>
      </c>
      <c r="AG3007">
        <v>-0.139371299999999</v>
      </c>
      <c r="AH3007">
        <v>0.25740621172341899</v>
      </c>
      <c r="AI3007">
        <v>118.10105215670799</v>
      </c>
      <c r="AJ3007">
        <v>99.529134874327596</v>
      </c>
      <c r="AK3007">
        <v>0.29588745526915999</v>
      </c>
    </row>
    <row r="3008" spans="1:37" x14ac:dyDescent="0.2">
      <c r="A3008" t="str">
        <f>"20200111150654322"</f>
        <v>20200111150654322</v>
      </c>
      <c r="B3008" t="str">
        <f>"1578726414320048"</f>
        <v>1578726414320048</v>
      </c>
      <c r="C3008" t="s">
        <v>37</v>
      </c>
      <c r="D3008">
        <v>5.5159729999999998</v>
      </c>
      <c r="E3008">
        <v>0.48216179999999997</v>
      </c>
      <c r="F3008" t="s">
        <v>38</v>
      </c>
      <c r="G3008">
        <v>-187.00899999999999</v>
      </c>
      <c r="H3008">
        <v>0.87900730000000005</v>
      </c>
      <c r="I3008">
        <v>27.873959999999901</v>
      </c>
      <c r="J3008">
        <v>-186.9272</v>
      </c>
      <c r="K3008">
        <v>1.1037569999999901</v>
      </c>
      <c r="L3008">
        <v>27.353909999999999</v>
      </c>
      <c r="M3008">
        <v>-1.493105E-2</v>
      </c>
      <c r="N3008">
        <v>0</v>
      </c>
      <c r="O3008">
        <v>0.99981209999999898</v>
      </c>
      <c r="P3008">
        <v>-5.1116349999999998E-2</v>
      </c>
      <c r="Q3008">
        <v>0.14729329999999999</v>
      </c>
      <c r="R3008">
        <v>0.98777119999999996</v>
      </c>
      <c r="S3008">
        <v>-0.34957890000000003</v>
      </c>
      <c r="T3008">
        <v>-0.91330579999999995</v>
      </c>
      <c r="U3008">
        <v>3.154846</v>
      </c>
      <c r="V3008">
        <v>-3.6444240000000003E-2</v>
      </c>
      <c r="W3008">
        <v>0.15948309999999999</v>
      </c>
      <c r="X3008">
        <v>0.98652770000000001</v>
      </c>
      <c r="Y3008">
        <v>-9.0980909999999998E-2</v>
      </c>
      <c r="Z3008">
        <v>-0.27667570000000002</v>
      </c>
      <c r="AA3008">
        <v>0.95664669999999896</v>
      </c>
      <c r="AB3008">
        <v>28</v>
      </c>
      <c r="AC3008">
        <v>-8.1800000000015402E-2</v>
      </c>
      <c r="AD3008">
        <v>-0.224749699999999</v>
      </c>
      <c r="AE3008">
        <v>0.52004999999999701</v>
      </c>
      <c r="AF3008">
        <v>-6.2613406693633605E-2</v>
      </c>
      <c r="AG3008">
        <v>-0.224749699999999</v>
      </c>
      <c r="AH3008">
        <v>0.44086156554756301</v>
      </c>
      <c r="AI3008">
        <v>116.781514234159</v>
      </c>
      <c r="AJ3008">
        <v>98.083377670659402</v>
      </c>
      <c r="AK3008">
        <v>0.49879032300649201</v>
      </c>
    </row>
    <row r="3009" spans="1:37" x14ac:dyDescent="0.2">
      <c r="A3009" t="str">
        <f>"20200111150654346"</f>
        <v>20200111150654346</v>
      </c>
      <c r="B3009" t="str">
        <f>"1578726414339568"</f>
        <v>1578726414339568</v>
      </c>
      <c r="C3009" t="s">
        <v>37</v>
      </c>
      <c r="D3009">
        <v>5.127713</v>
      </c>
      <c r="E3009">
        <v>0.48401949999999999</v>
      </c>
      <c r="F3009" t="s">
        <v>38</v>
      </c>
      <c r="G3009">
        <v>-187.0009</v>
      </c>
      <c r="H3009">
        <v>0.90932979999999997</v>
      </c>
      <c r="I3009">
        <v>28.13869</v>
      </c>
      <c r="J3009">
        <v>-186.93190000000001</v>
      </c>
      <c r="K3009">
        <v>1.1037939999999999</v>
      </c>
      <c r="L3009">
        <v>27.64462</v>
      </c>
      <c r="M3009">
        <v>-1.5308270000000001E-2</v>
      </c>
      <c r="N3009">
        <v>0</v>
      </c>
      <c r="O3009">
        <v>0.99980639999999998</v>
      </c>
      <c r="P3009">
        <v>-5.1878870000000001E-2</v>
      </c>
      <c r="Q3009">
        <v>0.14714669999999999</v>
      </c>
      <c r="R3009">
        <v>0.987753199999999</v>
      </c>
      <c r="S3009">
        <v>-0.29473879999999902</v>
      </c>
      <c r="T3009">
        <v>-0.7774008</v>
      </c>
      <c r="U3009">
        <v>3.1378169999999899</v>
      </c>
      <c r="V3009">
        <v>-3.6849239999999998E-2</v>
      </c>
      <c r="W3009">
        <v>0.159332</v>
      </c>
      <c r="X3009">
        <v>0.98653709999999994</v>
      </c>
      <c r="Y3009">
        <v>-7.5542440000000002E-2</v>
      </c>
      <c r="Z3009">
        <v>-0.2396017</v>
      </c>
      <c r="AA3009">
        <v>0.96792789999999995</v>
      </c>
      <c r="AB3009">
        <v>28</v>
      </c>
      <c r="AC3009">
        <v>-6.8999999999988404E-2</v>
      </c>
      <c r="AD3009">
        <v>-0.194464199999999</v>
      </c>
      <c r="AE3009">
        <v>0.49407000000000401</v>
      </c>
      <c r="AF3009">
        <v>-5.33250057622622E-2</v>
      </c>
      <c r="AG3009">
        <v>-0.194464199999999</v>
      </c>
      <c r="AH3009">
        <v>0.42976390383139002</v>
      </c>
      <c r="AI3009">
        <v>114.182333508841</v>
      </c>
      <c r="AJ3009">
        <v>97.073096269827005</v>
      </c>
      <c r="AK3009">
        <v>0.47471769964641197</v>
      </c>
    </row>
    <row r="3010" spans="1:37" x14ac:dyDescent="0.2">
      <c r="A3010" t="str">
        <f>"20200111150654367"</f>
        <v>20200111150654367</v>
      </c>
      <c r="B3010" t="str">
        <f>"1578726414360065"</f>
        <v>1578726414360065</v>
      </c>
      <c r="C3010" t="s">
        <v>37</v>
      </c>
      <c r="D3010">
        <v>6.0794379999999997</v>
      </c>
      <c r="E3010">
        <v>0.50510250000000001</v>
      </c>
      <c r="F3010" t="s">
        <v>38</v>
      </c>
      <c r="G3010">
        <v>-187.0008</v>
      </c>
      <c r="H3010">
        <v>0.94701000000000002</v>
      </c>
      <c r="I3010">
        <v>28.406929999999999</v>
      </c>
      <c r="J3010">
        <v>-186.9365</v>
      </c>
      <c r="K3010">
        <v>1.103837</v>
      </c>
      <c r="L3010">
        <v>27.913820000000001</v>
      </c>
      <c r="M3010">
        <v>-1.5712980000000001E-2</v>
      </c>
      <c r="N3010">
        <v>0</v>
      </c>
      <c r="O3010">
        <v>0.99980009999999997</v>
      </c>
      <c r="P3010">
        <v>-5.2916409999999997E-2</v>
      </c>
      <c r="Q3010">
        <v>0.1461208</v>
      </c>
      <c r="R3010">
        <v>0.98785049999999996</v>
      </c>
      <c r="S3010">
        <v>-0.28178409999999998</v>
      </c>
      <c r="T3010">
        <v>-0.64126399999999995</v>
      </c>
      <c r="U3010">
        <v>3.1179199999999998</v>
      </c>
      <c r="V3010">
        <v>-3.7500449999999998E-2</v>
      </c>
      <c r="W3010">
        <v>0.15830339999999901</v>
      </c>
      <c r="X3010">
        <v>0.986678099999999</v>
      </c>
      <c r="Y3010">
        <v>-7.2514969999999998E-2</v>
      </c>
      <c r="Z3010">
        <v>-0.20076050000000001</v>
      </c>
      <c r="AA3010">
        <v>0.97695279999999995</v>
      </c>
      <c r="AB3010">
        <v>28</v>
      </c>
      <c r="AC3010">
        <v>-6.4300000000002897E-2</v>
      </c>
      <c r="AD3010">
        <v>-0.15682699999999999</v>
      </c>
      <c r="AE3010">
        <v>0.493109999999997</v>
      </c>
      <c r="AF3010">
        <v>-5.14283724641297E-2</v>
      </c>
      <c r="AG3010">
        <v>-0.15682699999999999</v>
      </c>
      <c r="AH3010">
        <v>0.44936720056267099</v>
      </c>
      <c r="AI3010">
        <v>109.123060844562</v>
      </c>
      <c r="AJ3010">
        <v>96.528878687579095</v>
      </c>
      <c r="AK3010">
        <v>0.47871752251702798</v>
      </c>
    </row>
    <row r="3011" spans="1:37" x14ac:dyDescent="0.2">
      <c r="A3011" t="str">
        <f>"20200111150654391"</f>
        <v>20200111150654391</v>
      </c>
      <c r="B3011" t="str">
        <f>"1578726414379584"</f>
        <v>1578726414379584</v>
      </c>
      <c r="C3011" t="s">
        <v>37</v>
      </c>
      <c r="D3011">
        <v>5.1211229999999999</v>
      </c>
      <c r="E3011">
        <v>0.43813570000000002</v>
      </c>
      <c r="F3011" t="s">
        <v>39</v>
      </c>
      <c r="G3011">
        <v>-189.7989</v>
      </c>
      <c r="H3011" s="1">
        <v>-1.0329770000000001E-6</v>
      </c>
      <c r="I3011">
        <v>101.9575</v>
      </c>
      <c r="J3011">
        <v>-186.9418</v>
      </c>
      <c r="K3011">
        <v>1.10388</v>
      </c>
      <c r="L3011">
        <v>28.211400000000001</v>
      </c>
      <c r="M3011">
        <v>-1.621775E-2</v>
      </c>
      <c r="N3011">
        <v>0</v>
      </c>
      <c r="O3011">
        <v>0.99979200000000001</v>
      </c>
      <c r="P3011">
        <v>-5.383226E-2</v>
      </c>
      <c r="Q3011">
        <v>0.1455612</v>
      </c>
      <c r="R3011">
        <v>0.98788359999999997</v>
      </c>
      <c r="S3011">
        <v>-0.1174164</v>
      </c>
      <c r="T3011">
        <v>-4.5279739999999999E-2</v>
      </c>
      <c r="U3011">
        <v>3.0372919999999999</v>
      </c>
      <c r="V3011">
        <v>-3.7933469999999997E-2</v>
      </c>
      <c r="W3011">
        <v>0.15774070000000001</v>
      </c>
      <c r="X3011">
        <v>0.98675170000000001</v>
      </c>
      <c r="Y3011">
        <v>-2.2413140000000002E-2</v>
      </c>
      <c r="Z3011">
        <v>-1.48959E-2</v>
      </c>
      <c r="AA3011">
        <v>0.99963780000000002</v>
      </c>
      <c r="AB3011">
        <v>28</v>
      </c>
      <c r="AC3011">
        <v>-2.8571</v>
      </c>
      <c r="AD3011">
        <v>-1.1038810329769999</v>
      </c>
      <c r="AE3011">
        <v>73.746099999999998</v>
      </c>
      <c r="AF3011">
        <v>-1.66026546143424</v>
      </c>
      <c r="AG3011">
        <v>-1.1038810329769999</v>
      </c>
      <c r="AH3011">
        <v>73.766235603880901</v>
      </c>
      <c r="AI3011">
        <v>90.857126477173296</v>
      </c>
      <c r="AJ3011">
        <v>91.289345256760996</v>
      </c>
      <c r="AK3011">
        <v>73.7931741416824</v>
      </c>
    </row>
    <row r="3012" spans="1:37" x14ac:dyDescent="0.2">
      <c r="A3012" t="str">
        <f>"20200111150654456"</f>
        <v>20200111150654456</v>
      </c>
      <c r="B3012" t="str">
        <f>"1578726414449856"</f>
        <v>1578726414449856</v>
      </c>
      <c r="C3012" t="s">
        <v>37</v>
      </c>
      <c r="D3012">
        <v>6.3850429999999996</v>
      </c>
      <c r="E3012">
        <v>0.50327149999999998</v>
      </c>
      <c r="F3012" t="s">
        <v>71</v>
      </c>
      <c r="G3012">
        <v>-232.8432</v>
      </c>
      <c r="H3012">
        <v>20.120419999999999</v>
      </c>
      <c r="I3012">
        <v>236.04599999999999</v>
      </c>
      <c r="J3012">
        <v>-186.9573</v>
      </c>
      <c r="K3012">
        <v>1.1039570000000001</v>
      </c>
      <c r="L3012">
        <v>29.031890000000001</v>
      </c>
      <c r="M3012">
        <v>-1.7834860000000001E-2</v>
      </c>
      <c r="N3012">
        <v>0</v>
      </c>
      <c r="O3012">
        <v>0.99976449999999994</v>
      </c>
      <c r="P3012">
        <v>-5.7645450000000001E-2</v>
      </c>
      <c r="Q3012">
        <v>0.1458361</v>
      </c>
      <c r="R3012">
        <v>0.9876279</v>
      </c>
      <c r="S3012">
        <v>-0.65400700000000001</v>
      </c>
      <c r="T3012">
        <v>0.270949</v>
      </c>
      <c r="U3012">
        <v>2.9612430000000001</v>
      </c>
      <c r="V3012">
        <v>-4.018074E-2</v>
      </c>
      <c r="W3012">
        <v>0.15800339999999999</v>
      </c>
      <c r="X3012">
        <v>0.98662070000000002</v>
      </c>
      <c r="Y3012">
        <v>-0.19734989999999999</v>
      </c>
      <c r="Z3012">
        <v>8.9135270000000003E-2</v>
      </c>
      <c r="AA3012">
        <v>0.97627249999999999</v>
      </c>
      <c r="AB3012">
        <v>28</v>
      </c>
      <c r="AC3012">
        <v>-45.8858999999999</v>
      </c>
      <c r="AD3012">
        <v>19.016463000000002</v>
      </c>
      <c r="AE3012">
        <v>207.01410999999999</v>
      </c>
      <c r="AF3012">
        <v>-41.849644936083102</v>
      </c>
      <c r="AG3012">
        <v>19.016463000000002</v>
      </c>
      <c r="AH3012">
        <v>206.14156859807801</v>
      </c>
      <c r="AI3012">
        <v>84.8341994162422</v>
      </c>
      <c r="AJ3012">
        <v>101.475888878352</v>
      </c>
      <c r="AK3012">
        <v>211.20455712503599</v>
      </c>
    </row>
    <row r="3013" spans="1:37" x14ac:dyDescent="0.2">
      <c r="A3013" t="str">
        <f>"20200111150701157"</f>
        <v>20200111150701157</v>
      </c>
      <c r="B3013" t="str">
        <f>"1578726421150207"</f>
        <v>1578726421150207</v>
      </c>
      <c r="C3013" t="s">
        <v>37</v>
      </c>
      <c r="D3013">
        <v>4.8013219999999999</v>
      </c>
      <c r="E3013">
        <v>0.70164919999999997</v>
      </c>
      <c r="F3013" t="s">
        <v>54</v>
      </c>
      <c r="G3013">
        <v>-204.87979999999999</v>
      </c>
      <c r="H3013">
        <v>53.030349999999999</v>
      </c>
      <c r="I3013">
        <v>391.00349999999997</v>
      </c>
      <c r="J3013">
        <v>-186.10480000000001</v>
      </c>
      <c r="K3013">
        <v>1.1036569999999899</v>
      </c>
      <c r="L3013">
        <v>112.17959999999999</v>
      </c>
      <c r="M3013">
        <v>9.5194039999999994E-2</v>
      </c>
      <c r="N3013">
        <v>0</v>
      </c>
      <c r="O3013">
        <v>0.99538209999999905</v>
      </c>
      <c r="P3013">
        <v>9.6346630000000003E-2</v>
      </c>
      <c r="Q3013">
        <v>0.1410005</v>
      </c>
      <c r="R3013">
        <v>0.98531019999999903</v>
      </c>
      <c r="S3013">
        <v>-0.14686579999999999</v>
      </c>
      <c r="T3013">
        <v>0.42551229999999901</v>
      </c>
      <c r="U3013">
        <v>2.9661869999999899</v>
      </c>
      <c r="V3013">
        <v>2.078809E-3</v>
      </c>
      <c r="W3013">
        <v>0.15322060000000001</v>
      </c>
      <c r="X3013">
        <v>0.98818980000000001</v>
      </c>
      <c r="Y3013">
        <v>-0.1438171</v>
      </c>
      <c r="Z3013">
        <v>0.1402118</v>
      </c>
      <c r="AA3013">
        <v>0.97962099999999996</v>
      </c>
      <c r="AB3013">
        <v>27</v>
      </c>
      <c r="AC3013">
        <v>-18.774999999999899</v>
      </c>
      <c r="AD3013">
        <v>51.926693</v>
      </c>
      <c r="AE3013">
        <v>278.82389999999998</v>
      </c>
      <c r="AF3013">
        <v>-43.724456676170703</v>
      </c>
      <c r="AG3013">
        <v>51.926693</v>
      </c>
      <c r="AH3013">
        <v>266.566398201222</v>
      </c>
      <c r="AI3013">
        <v>79.118792721512605</v>
      </c>
      <c r="AJ3013">
        <v>99.315182831459296</v>
      </c>
      <c r="AK3013">
        <v>275.07427034805499</v>
      </c>
    </row>
    <row r="3014" spans="1:37" x14ac:dyDescent="0.2">
      <c r="A3014" t="str">
        <f>"20200111150701178"</f>
        <v>20200111150701178</v>
      </c>
      <c r="B3014" t="str">
        <f>"1578726421169725"</f>
        <v>1578726421169725</v>
      </c>
      <c r="C3014" t="s">
        <v>37</v>
      </c>
      <c r="D3014">
        <v>4.8578460000000003</v>
      </c>
      <c r="E3014">
        <v>0.69510109999999903</v>
      </c>
      <c r="F3014" t="s">
        <v>78</v>
      </c>
      <c r="G3014">
        <v>-175.89930000000001</v>
      </c>
      <c r="H3014">
        <v>7.9987890000000006E-2</v>
      </c>
      <c r="I3014">
        <v>127.7184</v>
      </c>
      <c r="J3014">
        <v>-186.0795</v>
      </c>
      <c r="K3014">
        <v>1.10419</v>
      </c>
      <c r="L3014">
        <v>112.4534</v>
      </c>
      <c r="M3014">
        <v>9.4234860000000004E-2</v>
      </c>
      <c r="N3014">
        <v>0</v>
      </c>
      <c r="O3014">
        <v>0.9954731</v>
      </c>
      <c r="P3014">
        <v>9.3553919999999999E-2</v>
      </c>
      <c r="Q3014">
        <v>0.149949</v>
      </c>
      <c r="R3014">
        <v>0.98425759999999995</v>
      </c>
      <c r="S3014">
        <v>1.8958279999999901</v>
      </c>
      <c r="T3014">
        <v>-0.19016140000000001</v>
      </c>
      <c r="U3014">
        <v>2.8865660000000002</v>
      </c>
      <c r="V3014">
        <v>1.5624510000000001E-4</v>
      </c>
      <c r="W3014">
        <v>0.1621676</v>
      </c>
      <c r="X3014">
        <v>0.98676319999999995</v>
      </c>
      <c r="Y3014">
        <v>0.46689069999999999</v>
      </c>
      <c r="Z3014">
        <v>-5.6021429999999997E-2</v>
      </c>
      <c r="AA3014">
        <v>0.88253879999999996</v>
      </c>
      <c r="AB3014">
        <v>27</v>
      </c>
      <c r="AC3014">
        <v>10.1801999999999</v>
      </c>
      <c r="AD3014">
        <v>-1.0242021100000001</v>
      </c>
      <c r="AE3014">
        <v>15.265000000000001</v>
      </c>
      <c r="AF3014">
        <v>8.6692732102387602</v>
      </c>
      <c r="AG3014">
        <v>-1.0242021100000001</v>
      </c>
      <c r="AH3014">
        <v>16.106277788435701</v>
      </c>
      <c r="AI3014">
        <v>93.2048854567321</v>
      </c>
      <c r="AJ3014">
        <v>61.708450200880499</v>
      </c>
      <c r="AK3014">
        <v>18.3198655058969</v>
      </c>
    </row>
    <row r="3015" spans="1:37" x14ac:dyDescent="0.2">
      <c r="A3015" t="str">
        <f>"20200111150701448"</f>
        <v>20200111150701448</v>
      </c>
      <c r="B3015" t="str">
        <f>"1578726421440392"</f>
        <v>1578726421440392</v>
      </c>
      <c r="C3015" t="s">
        <v>37</v>
      </c>
      <c r="D3015">
        <v>5.1772400000000003</v>
      </c>
      <c r="E3015">
        <v>0.45052809999999999</v>
      </c>
      <c r="F3015" t="s">
        <v>78</v>
      </c>
      <c r="G3015">
        <v>-173.98820000000001</v>
      </c>
      <c r="H3015" s="1">
        <v>-2.3071849999999999E-6</v>
      </c>
      <c r="I3015">
        <v>131.5103</v>
      </c>
      <c r="J3015">
        <v>-185.90219999999999</v>
      </c>
      <c r="K3015">
        <v>1.1093379999999999</v>
      </c>
      <c r="L3015">
        <v>115.69670000000001</v>
      </c>
      <c r="M3015">
        <v>3.422853E-2</v>
      </c>
      <c r="N3015">
        <v>0</v>
      </c>
      <c r="O3015">
        <v>0.9993303</v>
      </c>
      <c r="P3015">
        <v>-6.0778789999999999E-2</v>
      </c>
      <c r="Q3015">
        <v>0.1574604</v>
      </c>
      <c r="R3015">
        <v>0.98565319999999901</v>
      </c>
      <c r="S3015">
        <v>1.8392029999999999</v>
      </c>
      <c r="T3015">
        <v>-0.16795860000000001</v>
      </c>
      <c r="U3015">
        <v>2.8987430000000001</v>
      </c>
      <c r="V3015">
        <v>-9.6790749999999995E-2</v>
      </c>
      <c r="W3015">
        <v>0.16886029999999999</v>
      </c>
      <c r="X3015">
        <v>0.98087599999999997</v>
      </c>
      <c r="Y3015">
        <v>0.50587740000000003</v>
      </c>
      <c r="Z3015">
        <v>-4.9292589999999997E-2</v>
      </c>
      <c r="AA3015">
        <v>0.86119590000000001</v>
      </c>
      <c r="AB3015">
        <v>27</v>
      </c>
      <c r="AC3015">
        <v>11.9139999999999</v>
      </c>
      <c r="AD3015">
        <v>-1.1093403071850001</v>
      </c>
      <c r="AE3015">
        <v>15.8135999999999</v>
      </c>
      <c r="AF3015">
        <v>11.330127693453001</v>
      </c>
      <c r="AG3015">
        <v>-1.1093403071850001</v>
      </c>
      <c r="AH3015">
        <v>16.161429922836</v>
      </c>
      <c r="AI3015">
        <v>93.216929514933994</v>
      </c>
      <c r="AJ3015">
        <v>54.967249723824999</v>
      </c>
      <c r="AK3015">
        <v>19.768516550764101</v>
      </c>
    </row>
    <row r="3016" spans="1:37" x14ac:dyDescent="0.2">
      <c r="A3016" t="str">
        <f>"20200111150701470"</f>
        <v>20200111150701470</v>
      </c>
      <c r="B3016" t="str">
        <f>"1578726421459910"</f>
        <v>1578726421459910</v>
      </c>
      <c r="C3016" t="s">
        <v>37</v>
      </c>
      <c r="D3016">
        <v>5.1932080000000003</v>
      </c>
      <c r="E3016">
        <v>0.45302359999999903</v>
      </c>
      <c r="F3016" t="s">
        <v>78</v>
      </c>
      <c r="G3016">
        <v>-188.95330000000001</v>
      </c>
      <c r="H3016" s="1">
        <v>-5.6233370000000004E-6</v>
      </c>
      <c r="I3016">
        <v>131.8467</v>
      </c>
      <c r="J3016">
        <v>-185.90170000000001</v>
      </c>
      <c r="K3016">
        <v>1.109693</v>
      </c>
      <c r="L3016">
        <v>115.97150000000001</v>
      </c>
      <c r="M3016">
        <v>2.567326E-2</v>
      </c>
      <c r="N3016">
        <v>0</v>
      </c>
      <c r="O3016">
        <v>0.99958559999999996</v>
      </c>
      <c r="P3016">
        <v>-7.6488319999999999E-2</v>
      </c>
      <c r="Q3016">
        <v>0.15716720000000001</v>
      </c>
      <c r="R3016">
        <v>0.98460550000000002</v>
      </c>
      <c r="S3016">
        <v>-0.57463069999999905</v>
      </c>
      <c r="T3016">
        <v>-0.20892749999999999</v>
      </c>
      <c r="U3016">
        <v>3.0416110000000001</v>
      </c>
      <c r="V3016">
        <v>-0.1041979</v>
      </c>
      <c r="W3016">
        <v>0.16845189999999999</v>
      </c>
      <c r="X3016">
        <v>0.98018709999999898</v>
      </c>
      <c r="Y3016">
        <v>-0.21038769999999901</v>
      </c>
      <c r="Z3016">
        <v>-6.7136249999999995E-2</v>
      </c>
      <c r="AA3016">
        <v>0.97531009999999996</v>
      </c>
      <c r="AB3016">
        <v>27</v>
      </c>
      <c r="AC3016">
        <v>-3.0516000000000001</v>
      </c>
      <c r="AD3016">
        <v>-1.1096986233370001</v>
      </c>
      <c r="AE3016">
        <v>15.8751999999999</v>
      </c>
      <c r="AF3016">
        <v>-3.4419777527600002</v>
      </c>
      <c r="AG3016">
        <v>-1.1096986233370001</v>
      </c>
      <c r="AH3016">
        <v>15.717552729379999</v>
      </c>
      <c r="AI3016">
        <v>93.945335858512493</v>
      </c>
      <c r="AJ3016">
        <v>102.352177928069</v>
      </c>
      <c r="AK3016">
        <v>16.128239385809302</v>
      </c>
    </row>
    <row r="3017" spans="1:37" x14ac:dyDescent="0.2">
      <c r="A3017" t="str">
        <f>"20200111150701494"</f>
        <v>20200111150701494</v>
      </c>
      <c r="B3017" t="str">
        <f>"1578726421490167"</f>
        <v>1578726421490167</v>
      </c>
      <c r="C3017" t="s">
        <v>37</v>
      </c>
      <c r="D3017">
        <v>5.1707799999999997</v>
      </c>
      <c r="E3017">
        <v>0.45579029999999998</v>
      </c>
      <c r="F3017" t="s">
        <v>78</v>
      </c>
      <c r="G3017">
        <v>-188.8519</v>
      </c>
      <c r="H3017" s="1">
        <v>-5.3203779999999997E-6</v>
      </c>
      <c r="I3017">
        <v>130.88120000000001</v>
      </c>
      <c r="J3017">
        <v>-185.90430000000001</v>
      </c>
      <c r="K3017">
        <v>1.1100809999999901</v>
      </c>
      <c r="L3017">
        <v>116.24460000000001</v>
      </c>
      <c r="M3017">
        <v>1.6613309999999999E-2</v>
      </c>
      <c r="N3017">
        <v>0</v>
      </c>
      <c r="O3017">
        <v>0.999776</v>
      </c>
      <c r="P3017">
        <v>-9.2172420000000005E-2</v>
      </c>
      <c r="Q3017">
        <v>0.156725</v>
      </c>
      <c r="R3017">
        <v>0.98333189999999904</v>
      </c>
      <c r="S3017">
        <v>-0.60078430000000005</v>
      </c>
      <c r="T3017">
        <v>-0.22598509999999999</v>
      </c>
      <c r="U3017">
        <v>3.0363009999999999</v>
      </c>
      <c r="V3017">
        <v>-0.1111019</v>
      </c>
      <c r="W3017">
        <v>0.16788829999999999</v>
      </c>
      <c r="X3017">
        <v>0.97952530000000004</v>
      </c>
      <c r="Y3017">
        <v>-0.2098621</v>
      </c>
      <c r="Z3017">
        <v>-7.2679830000000001E-2</v>
      </c>
      <c r="AA3017">
        <v>0.97502599999999995</v>
      </c>
      <c r="AB3017">
        <v>27</v>
      </c>
      <c r="AC3017">
        <v>-2.9475999999999898</v>
      </c>
      <c r="AD3017">
        <v>-1.11008632037799</v>
      </c>
      <c r="AE3017">
        <v>14.6366</v>
      </c>
      <c r="AF3017">
        <v>-3.1728369872900202</v>
      </c>
      <c r="AG3017">
        <v>-1.11008632037799</v>
      </c>
      <c r="AH3017">
        <v>14.505420166356799</v>
      </c>
      <c r="AI3017">
        <v>94.275563956422999</v>
      </c>
      <c r="AJ3017">
        <v>102.338244118993</v>
      </c>
      <c r="AK3017">
        <v>14.889808608211</v>
      </c>
    </row>
    <row r="3018" spans="1:37" x14ac:dyDescent="0.2">
      <c r="A3018" t="str">
        <f>"20200111150701515"</f>
        <v>20200111150701515</v>
      </c>
      <c r="B3018" t="str">
        <f>"1578726421509685"</f>
        <v>1578726421509685</v>
      </c>
      <c r="C3018" t="s">
        <v>37</v>
      </c>
      <c r="D3018">
        <v>5.1278949999999996</v>
      </c>
      <c r="E3018">
        <v>0.45806089999999999</v>
      </c>
      <c r="F3018" t="s">
        <v>78</v>
      </c>
      <c r="G3018">
        <v>-188.95339999999999</v>
      </c>
      <c r="H3018" s="1">
        <v>-5.3559669999999998E-6</v>
      </c>
      <c r="I3018">
        <v>131.01089999999999</v>
      </c>
      <c r="J3018">
        <v>-185.90979999999999</v>
      </c>
      <c r="K3018">
        <v>1.1104499999999999</v>
      </c>
      <c r="L3018">
        <v>116.5047</v>
      </c>
      <c r="M3018">
        <v>7.4538750000000004E-3</v>
      </c>
      <c r="N3018">
        <v>0</v>
      </c>
      <c r="O3018">
        <v>0.99988509999999997</v>
      </c>
      <c r="P3018">
        <v>-0.1063803</v>
      </c>
      <c r="Q3018">
        <v>0.15700729999999999</v>
      </c>
      <c r="R3018">
        <v>0.98185129999999998</v>
      </c>
      <c r="S3018">
        <v>-0.62535099999999999</v>
      </c>
      <c r="T3018">
        <v>-0.22767499999999999</v>
      </c>
      <c r="U3018">
        <v>3.02851899999999</v>
      </c>
      <c r="V3018">
        <v>-0.1164549</v>
      </c>
      <c r="W3018">
        <v>0.16806550000000001</v>
      </c>
      <c r="X3018">
        <v>0.97887299999999999</v>
      </c>
      <c r="Y3018">
        <v>-0.20897099999999999</v>
      </c>
      <c r="Z3018">
        <v>-7.3365169999999993E-2</v>
      </c>
      <c r="AA3018">
        <v>0.97516599999999998</v>
      </c>
      <c r="AB3018">
        <v>27</v>
      </c>
      <c r="AC3018">
        <v>-3.0435999999999899</v>
      </c>
      <c r="AD3018">
        <v>-1.1104553559669901</v>
      </c>
      <c r="AE3018">
        <v>14.5061999999999</v>
      </c>
      <c r="AF3018">
        <v>-3.1340611632434898</v>
      </c>
      <c r="AG3018">
        <v>-1.1104553559669901</v>
      </c>
      <c r="AH3018">
        <v>14.402270217298099</v>
      </c>
      <c r="AI3018">
        <v>94.308503354083598</v>
      </c>
      <c r="AJ3018">
        <v>102.27667403809301</v>
      </c>
      <c r="AK3018">
        <v>14.7810973166615</v>
      </c>
    </row>
    <row r="3019" spans="1:37" x14ac:dyDescent="0.2">
      <c r="A3019" t="str">
        <f>"20200111150701560"</f>
        <v>20200111150701560</v>
      </c>
      <c r="B3019" t="str">
        <f>"1578726421549702"</f>
        <v>1578726421549702</v>
      </c>
      <c r="C3019" t="s">
        <v>37</v>
      </c>
      <c r="D3019">
        <v>5.0901249999999996</v>
      </c>
      <c r="E3019">
        <v>0.46175240000000001</v>
      </c>
      <c r="F3019" t="s">
        <v>78</v>
      </c>
      <c r="G3019">
        <v>-189.1969</v>
      </c>
      <c r="H3019" s="1">
        <v>-5.5795289999999999E-6</v>
      </c>
      <c r="I3019">
        <v>131.75399999999999</v>
      </c>
      <c r="J3019">
        <v>-185.92949999999999</v>
      </c>
      <c r="K3019">
        <v>1.111111</v>
      </c>
      <c r="L3019">
        <v>117.0278</v>
      </c>
      <c r="M3019">
        <v>-1.230439E-2</v>
      </c>
      <c r="N3019">
        <v>0</v>
      </c>
      <c r="O3019">
        <v>0.99983489999999997</v>
      </c>
      <c r="P3019">
        <v>-0.13525219999999999</v>
      </c>
      <c r="Q3019">
        <v>0.15750349999999999</v>
      </c>
      <c r="R3019">
        <v>0.97821239999999998</v>
      </c>
      <c r="S3019">
        <v>-0.65100100000000005</v>
      </c>
      <c r="T3019">
        <v>-0.21992249999999999</v>
      </c>
      <c r="U3019">
        <v>3.0200809999999998</v>
      </c>
      <c r="V3019">
        <v>-0.12623380000000001</v>
      </c>
      <c r="W3019">
        <v>0.1683588</v>
      </c>
      <c r="X3019">
        <v>0.97760949999999902</v>
      </c>
      <c r="Y3019">
        <v>-0.1981396</v>
      </c>
      <c r="Z3019">
        <v>-7.1087559999999994E-2</v>
      </c>
      <c r="AA3019">
        <v>0.97759259999999903</v>
      </c>
      <c r="AB3019">
        <v>27</v>
      </c>
      <c r="AC3019">
        <v>-3.2673999999999999</v>
      </c>
      <c r="AD3019">
        <v>-1.1111165795289999</v>
      </c>
      <c r="AE3019">
        <v>14.726199999999899</v>
      </c>
      <c r="AF3019">
        <v>-3.0692860266967701</v>
      </c>
      <c r="AG3019">
        <v>-1.1111165795289999</v>
      </c>
      <c r="AH3019">
        <v>14.6856100963013</v>
      </c>
      <c r="AI3019">
        <v>94.235593557195301</v>
      </c>
      <c r="AJ3019">
        <v>101.804868103407</v>
      </c>
      <c r="AK3019">
        <v>15.044010125879501</v>
      </c>
    </row>
    <row r="3020" spans="1:37" x14ac:dyDescent="0.2">
      <c r="A3020" t="str">
        <f>"20200111150701580"</f>
        <v>20200111150701580</v>
      </c>
      <c r="B3020" t="str">
        <f>"1578726421570201"</f>
        <v>1578726421570201</v>
      </c>
      <c r="C3020" t="s">
        <v>37</v>
      </c>
      <c r="D3020">
        <v>5.1236069999999998</v>
      </c>
      <c r="E3020">
        <v>0.46276629999999902</v>
      </c>
      <c r="F3020" t="s">
        <v>78</v>
      </c>
      <c r="G3020">
        <v>-189.98320000000001</v>
      </c>
      <c r="H3020" s="1">
        <v>-6.3003639999999997E-6</v>
      </c>
      <c r="I3020">
        <v>134.13399999999999</v>
      </c>
      <c r="J3020">
        <v>-185.94380000000001</v>
      </c>
      <c r="K3020">
        <v>1.111408</v>
      </c>
      <c r="L3020">
        <v>117.28660000000001</v>
      </c>
      <c r="M3020">
        <v>-2.272273E-2</v>
      </c>
      <c r="N3020">
        <v>0</v>
      </c>
      <c r="O3020">
        <v>0.99965139999999997</v>
      </c>
      <c r="P3020">
        <v>-0.14758729999999901</v>
      </c>
      <c r="Q3020">
        <v>0.15840119999999999</v>
      </c>
      <c r="R3020">
        <v>0.97628230000000005</v>
      </c>
      <c r="S3020">
        <v>-0.71089169999999902</v>
      </c>
      <c r="T3020">
        <v>-0.19485529999999901</v>
      </c>
      <c r="U3020">
        <v>2.999908</v>
      </c>
      <c r="V3020">
        <v>-0.1285249</v>
      </c>
      <c r="W3020">
        <v>0.1692015</v>
      </c>
      <c r="X3020">
        <v>0.97716539999999996</v>
      </c>
      <c r="Y3020">
        <v>-0.20795250000000001</v>
      </c>
      <c r="Z3020">
        <v>-6.3212130000000005E-2</v>
      </c>
      <c r="AA3020">
        <v>0.97609419999999902</v>
      </c>
      <c r="AB3020">
        <v>27</v>
      </c>
      <c r="AC3020">
        <v>-4.0393999999999997</v>
      </c>
      <c r="AD3020">
        <v>-1.111414300364</v>
      </c>
      <c r="AE3020">
        <v>16.847399999999901</v>
      </c>
      <c r="AF3020">
        <v>-3.6405211630110599</v>
      </c>
      <c r="AG3020">
        <v>-1.111414300364</v>
      </c>
      <c r="AH3020">
        <v>16.865435913329399</v>
      </c>
      <c r="AI3020">
        <v>93.685634608008897</v>
      </c>
      <c r="AJ3020">
        <v>102.180800885857</v>
      </c>
      <c r="AK3020">
        <v>17.289637492787602</v>
      </c>
    </row>
    <row r="3021" spans="1:37" x14ac:dyDescent="0.2">
      <c r="A3021" t="str">
        <f>"20200111150701603"</f>
        <v>20200111150701603</v>
      </c>
      <c r="B3021" t="str">
        <f>"1578726421600031"</f>
        <v>1578726421600031</v>
      </c>
      <c r="C3021" t="s">
        <v>37</v>
      </c>
      <c r="D3021">
        <v>4.9082650000000001</v>
      </c>
      <c r="E3021">
        <v>0.46404129999999899</v>
      </c>
      <c r="F3021" t="s">
        <v>78</v>
      </c>
      <c r="G3021">
        <v>-190.35650000000001</v>
      </c>
      <c r="H3021" s="1">
        <v>-6.6638079999999998E-6</v>
      </c>
      <c r="I3021">
        <v>135.1027</v>
      </c>
      <c r="J3021">
        <v>-185.96109999999999</v>
      </c>
      <c r="K3021">
        <v>1.1116809999999999</v>
      </c>
      <c r="L3021">
        <v>117.5449</v>
      </c>
      <c r="M3021">
        <v>-3.3522160000000002E-2</v>
      </c>
      <c r="N3021">
        <v>0</v>
      </c>
      <c r="O3021">
        <v>0.99934639999999997</v>
      </c>
      <c r="P3021">
        <v>-0.1598765</v>
      </c>
      <c r="Q3021">
        <v>0.15961900000000001</v>
      </c>
      <c r="R3021">
        <v>0.97414639999999997</v>
      </c>
      <c r="S3021">
        <v>-0.74084469999999902</v>
      </c>
      <c r="T3021">
        <v>-0.18659609999999999</v>
      </c>
      <c r="U3021">
        <v>2.9911500000000002</v>
      </c>
      <c r="V3021">
        <v>-0.13042419999999999</v>
      </c>
      <c r="W3021">
        <v>0.1703749</v>
      </c>
      <c r="X3021">
        <v>0.97670970000000001</v>
      </c>
      <c r="Y3021">
        <v>-0.2072957</v>
      </c>
      <c r="Z3021">
        <v>-6.0620970000000003E-2</v>
      </c>
      <c r="AA3021">
        <v>0.97639830000000005</v>
      </c>
      <c r="AB3021">
        <v>27</v>
      </c>
      <c r="AC3021">
        <v>-4.39540000000002</v>
      </c>
      <c r="AD3021">
        <v>-1.111687663808</v>
      </c>
      <c r="AE3021">
        <v>17.5578</v>
      </c>
      <c r="AF3021">
        <v>-3.7900022525569801</v>
      </c>
      <c r="AG3021">
        <v>-1.111687663808</v>
      </c>
      <c r="AH3021">
        <v>17.6287827894594</v>
      </c>
      <c r="AI3021">
        <v>93.527947718103604</v>
      </c>
      <c r="AJ3021">
        <v>102.133302208695</v>
      </c>
      <c r="AK3021">
        <v>18.065822681909399</v>
      </c>
    </row>
    <row r="3022" spans="1:37" x14ac:dyDescent="0.2">
      <c r="A3022" t="str">
        <f>"20200111150701649"</f>
        <v>20200111150701649</v>
      </c>
      <c r="B3022" t="str">
        <f>"1578726421640047"</f>
        <v>1578726421640047</v>
      </c>
      <c r="C3022" t="s">
        <v>37</v>
      </c>
      <c r="D3022">
        <v>5.5732900000000001</v>
      </c>
      <c r="E3022">
        <v>0.42044529999999902</v>
      </c>
      <c r="F3022" t="s">
        <v>78</v>
      </c>
      <c r="G3022">
        <v>-190.64609999999999</v>
      </c>
      <c r="H3022" s="1">
        <v>-6.9127379999999997E-6</v>
      </c>
      <c r="I3022">
        <v>135.7509</v>
      </c>
      <c r="J3022">
        <v>-186.00829999999999</v>
      </c>
      <c r="K3022">
        <v>1.112298</v>
      </c>
      <c r="L3022">
        <v>118.09</v>
      </c>
      <c r="M3022">
        <v>-5.7795859999999998E-2</v>
      </c>
      <c r="N3022">
        <v>0</v>
      </c>
      <c r="O3022">
        <v>0.99823410000000001</v>
      </c>
      <c r="P3022">
        <v>-0.1939746</v>
      </c>
      <c r="Q3022">
        <v>0.16034619999999999</v>
      </c>
      <c r="R3022">
        <v>0.96781349999999999</v>
      </c>
      <c r="S3022">
        <v>-0.76774600000000004</v>
      </c>
      <c r="T3022">
        <v>-0.1821759</v>
      </c>
      <c r="U3022">
        <v>2.9834749999999999</v>
      </c>
      <c r="V3022">
        <v>-0.14128070000000001</v>
      </c>
      <c r="W3022">
        <v>0.170852799999999</v>
      </c>
      <c r="X3022">
        <v>0.97511489999999901</v>
      </c>
      <c r="Y3022">
        <v>-0.19238150000000001</v>
      </c>
      <c r="Z3022">
        <v>-5.9265030000000003E-2</v>
      </c>
      <c r="AA3022">
        <v>0.97952899999999998</v>
      </c>
      <c r="AB3022">
        <v>27</v>
      </c>
      <c r="AC3022">
        <v>-4.6377999999999897</v>
      </c>
      <c r="AD3022">
        <v>-1.112304912738</v>
      </c>
      <c r="AE3022">
        <v>17.660899999999899</v>
      </c>
      <c r="AF3022">
        <v>-3.5958796913756101</v>
      </c>
      <c r="AG3022">
        <v>-1.112304912738</v>
      </c>
      <c r="AH3022">
        <v>17.833269124242001</v>
      </c>
      <c r="AI3022">
        <v>93.498816454420805</v>
      </c>
      <c r="AJ3022">
        <v>101.40019105793201</v>
      </c>
      <c r="AK3022">
        <v>18.226164177670299</v>
      </c>
    </row>
    <row r="3023" spans="1:37" x14ac:dyDescent="0.2">
      <c r="A3023" t="str">
        <f>"20200111150701784"</f>
        <v>20200111150701784</v>
      </c>
      <c r="B3023" t="str">
        <f>"1578726421779449"</f>
        <v>1578726421779449</v>
      </c>
      <c r="C3023" t="s">
        <v>37</v>
      </c>
      <c r="D3023">
        <v>4.8325889999999996</v>
      </c>
      <c r="E3023">
        <v>0.41031079999999998</v>
      </c>
      <c r="F3023" t="s">
        <v>71</v>
      </c>
      <c r="G3023">
        <v>-233.6738</v>
      </c>
      <c r="H3023">
        <v>2.1111360000000001</v>
      </c>
      <c r="I3023">
        <v>230.3981</v>
      </c>
      <c r="J3023">
        <v>-186.23490000000001</v>
      </c>
      <c r="K3023">
        <v>1.114066</v>
      </c>
      <c r="L3023">
        <v>119.6435</v>
      </c>
      <c r="M3023">
        <v>-0.13795589999999999</v>
      </c>
      <c r="N3023">
        <v>0</v>
      </c>
      <c r="O3023">
        <v>0.99033479999999996</v>
      </c>
      <c r="P3023">
        <v>-0.30854619999999999</v>
      </c>
      <c r="Q3023">
        <v>0.1682652</v>
      </c>
      <c r="R3023">
        <v>0.93620840000000005</v>
      </c>
      <c r="S3023">
        <v>-1.210815</v>
      </c>
      <c r="T3023">
        <v>2.5372740000000001E-2</v>
      </c>
      <c r="U3023">
        <v>2.8528899999999999</v>
      </c>
      <c r="V3023">
        <v>-0.1809057</v>
      </c>
      <c r="W3023">
        <v>0.17768879999999901</v>
      </c>
      <c r="X3023">
        <v>0.96731579999999995</v>
      </c>
      <c r="Y3023">
        <v>-0.25993169999999999</v>
      </c>
      <c r="Z3023">
        <v>8.2576669999999998E-3</v>
      </c>
      <c r="AA3023">
        <v>0.96559169999999905</v>
      </c>
      <c r="AB3023">
        <v>27</v>
      </c>
      <c r="AC3023">
        <v>-47.438899999999897</v>
      </c>
      <c r="AD3023">
        <v>0.99707000000000001</v>
      </c>
      <c r="AE3023">
        <v>110.7546</v>
      </c>
      <c r="AF3023">
        <v>-31.7022243061685</v>
      </c>
      <c r="AG3023">
        <v>0.99707000000000001</v>
      </c>
      <c r="AH3023">
        <v>116.232575190715</v>
      </c>
      <c r="AI3023">
        <v>89.525835309720605</v>
      </c>
      <c r="AJ3023">
        <v>105.25623410749</v>
      </c>
      <c r="AK3023">
        <v>120.482516200521</v>
      </c>
    </row>
    <row r="3024" spans="1:37" x14ac:dyDescent="0.2">
      <c r="A3024" t="str">
        <f>"20200111150701827"</f>
        <v>20200111150701827</v>
      </c>
      <c r="B3024" t="str">
        <f>"1578726421820032"</f>
        <v>1578726421820032</v>
      </c>
      <c r="C3024" t="s">
        <v>37</v>
      </c>
      <c r="D3024">
        <v>5.0032930000000002</v>
      </c>
      <c r="E3024">
        <v>0.40140219999999999</v>
      </c>
      <c r="F3024" t="s">
        <v>107</v>
      </c>
      <c r="G3024">
        <v>-233.93350000000001</v>
      </c>
      <c r="H3024">
        <v>3.4660309999999899</v>
      </c>
      <c r="I3024">
        <v>197.8759</v>
      </c>
      <c r="J3024">
        <v>-186.33860000000001</v>
      </c>
      <c r="K3024">
        <v>1.1144559999999999</v>
      </c>
      <c r="L3024">
        <v>120.14060000000001</v>
      </c>
      <c r="M3024">
        <v>-0.1664794</v>
      </c>
      <c r="N3024">
        <v>0</v>
      </c>
      <c r="O3024">
        <v>0.98593850000000005</v>
      </c>
      <c r="P3024">
        <v>-0.35177079999999999</v>
      </c>
      <c r="Q3024">
        <v>0.17224149999999999</v>
      </c>
      <c r="R3024">
        <v>0.92010340000000002</v>
      </c>
      <c r="S3024">
        <v>-1.619553</v>
      </c>
      <c r="T3024">
        <v>7.9861280000000007E-2</v>
      </c>
      <c r="U3024">
        <v>2.65629599999999</v>
      </c>
      <c r="V3024">
        <v>-0.198406</v>
      </c>
      <c r="W3024">
        <v>0.18115680000000001</v>
      </c>
      <c r="X3024">
        <v>0.9632328</v>
      </c>
      <c r="Y3024">
        <v>-0.37097239999999998</v>
      </c>
      <c r="Z3024">
        <v>2.6125369999999998E-2</v>
      </c>
      <c r="AA3024">
        <v>0.92827630000000005</v>
      </c>
      <c r="AB3024">
        <v>27</v>
      </c>
      <c r="AC3024">
        <v>-47.594900000000003</v>
      </c>
      <c r="AD3024">
        <v>2.3515749999999902</v>
      </c>
      <c r="AE3024">
        <v>77.735299999999995</v>
      </c>
      <c r="AF3024">
        <v>-33.965277589198102</v>
      </c>
      <c r="AG3024">
        <v>2.3515749999999902</v>
      </c>
      <c r="AH3024">
        <v>84.518415229356293</v>
      </c>
      <c r="AI3024">
        <v>88.521149076540993</v>
      </c>
      <c r="AJ3024">
        <v>111.893634125432</v>
      </c>
      <c r="AK3024">
        <v>91.118233628477498</v>
      </c>
    </row>
    <row r="3025" spans="1:37" x14ac:dyDescent="0.2">
      <c r="A3025" t="str">
        <f>"20200111150701851"</f>
        <v>20200111150701851</v>
      </c>
      <c r="B3025" t="str">
        <f>"1578726421839551"</f>
        <v>1578726421839551</v>
      </c>
      <c r="C3025" t="s">
        <v>37</v>
      </c>
      <c r="D3025">
        <v>4.8420870000000003</v>
      </c>
      <c r="E3025">
        <v>0.40089219999999998</v>
      </c>
      <c r="F3025" t="s">
        <v>108</v>
      </c>
      <c r="G3025">
        <v>-237.10810000000001</v>
      </c>
      <c r="H3025">
        <v>1.820846</v>
      </c>
      <c r="I3025">
        <v>192.0368</v>
      </c>
      <c r="J3025">
        <v>-186.40049999999999</v>
      </c>
      <c r="K3025">
        <v>1.1146149999999999</v>
      </c>
      <c r="L3025">
        <v>120.4063</v>
      </c>
      <c r="M3025">
        <v>-0.18214910000000001</v>
      </c>
      <c r="N3025">
        <v>0</v>
      </c>
      <c r="O3025">
        <v>0.98316299999999901</v>
      </c>
      <c r="P3025">
        <v>-0.37771949999999999</v>
      </c>
      <c r="Q3025">
        <v>0.17336199999999999</v>
      </c>
      <c r="R3025">
        <v>0.90954579999999996</v>
      </c>
      <c r="S3025">
        <v>-1.810349</v>
      </c>
      <c r="T3025">
        <v>2.518857E-2</v>
      </c>
      <c r="U3025">
        <v>2.5636899999999998</v>
      </c>
      <c r="V3025">
        <v>-0.210548599999999</v>
      </c>
      <c r="W3025">
        <v>0.18191969999999999</v>
      </c>
      <c r="X3025">
        <v>0.96050740000000001</v>
      </c>
      <c r="Y3025">
        <v>-0.41835040000000001</v>
      </c>
      <c r="Z3025">
        <v>8.2117739999999998E-3</v>
      </c>
      <c r="AA3025">
        <v>0.90824859999999896</v>
      </c>
      <c r="AB3025">
        <v>27</v>
      </c>
      <c r="AC3025">
        <v>-50.707599999999999</v>
      </c>
      <c r="AD3025">
        <v>0.70623100000000005</v>
      </c>
      <c r="AE3025">
        <v>71.630499999999998</v>
      </c>
      <c r="AF3025">
        <v>-36.807927664725703</v>
      </c>
      <c r="AG3025">
        <v>0.70623100000000005</v>
      </c>
      <c r="AH3025">
        <v>79.664096439190303</v>
      </c>
      <c r="AI3025">
        <v>89.538914925468902</v>
      </c>
      <c r="AJ3025">
        <v>114.798783406244</v>
      </c>
      <c r="AK3025">
        <v>87.759276220065004</v>
      </c>
    </row>
    <row r="3026" spans="1:37" x14ac:dyDescent="0.2">
      <c r="A3026" t="str">
        <f>"20200111150701876"</f>
        <v>20200111150701876</v>
      </c>
      <c r="B3026" t="str">
        <f>"1578726421869808"</f>
        <v>1578726421869808</v>
      </c>
      <c r="C3026" t="s">
        <v>37</v>
      </c>
      <c r="D3026">
        <v>4.8226290000000001</v>
      </c>
      <c r="E3026">
        <v>0.3934009</v>
      </c>
      <c r="F3026" t="s">
        <v>109</v>
      </c>
      <c r="G3026">
        <v>-230.2336</v>
      </c>
      <c r="H3026">
        <v>1.184828</v>
      </c>
      <c r="I3026">
        <v>178.81780000000001</v>
      </c>
      <c r="J3026">
        <v>-186.47020000000001</v>
      </c>
      <c r="K3026">
        <v>1.114749</v>
      </c>
      <c r="L3026">
        <v>120.6819</v>
      </c>
      <c r="M3026">
        <v>-0.19869539999999999</v>
      </c>
      <c r="N3026">
        <v>0</v>
      </c>
      <c r="O3026">
        <v>0.97995189999999999</v>
      </c>
      <c r="P3026">
        <v>-0.40475699999999998</v>
      </c>
      <c r="Q3026">
        <v>0.17195529999999901</v>
      </c>
      <c r="R3026">
        <v>0.89811090000000005</v>
      </c>
      <c r="S3026">
        <v>-1.88671899999999</v>
      </c>
      <c r="T3026">
        <v>3.0239820000000001E-3</v>
      </c>
      <c r="U3026">
        <v>2.514221</v>
      </c>
      <c r="V3026">
        <v>-0.2230808</v>
      </c>
      <c r="W3026">
        <v>0.18014189999999999</v>
      </c>
      <c r="X3026">
        <v>0.95801039999999904</v>
      </c>
      <c r="Y3026">
        <v>-0.42930259999999998</v>
      </c>
      <c r="Z3026">
        <v>9.8594380000000003E-4</v>
      </c>
      <c r="AA3026">
        <v>0.90316019999999897</v>
      </c>
      <c r="AB3026">
        <v>27</v>
      </c>
      <c r="AC3026">
        <v>-43.763399999999898</v>
      </c>
      <c r="AD3026">
        <v>7.0079000000000002E-2</v>
      </c>
      <c r="AE3026">
        <v>58.135899999999999</v>
      </c>
      <c r="AF3026">
        <v>-31.338021812526101</v>
      </c>
      <c r="AG3026">
        <v>7.0079000000000002E-2</v>
      </c>
      <c r="AH3026">
        <v>65.672951929457298</v>
      </c>
      <c r="AI3026">
        <v>89.944820587200496</v>
      </c>
      <c r="AJ3026">
        <v>115.509687059489</v>
      </c>
      <c r="AK3026">
        <v>72.766840918906297</v>
      </c>
    </row>
    <row r="3027" spans="1:37" x14ac:dyDescent="0.2">
      <c r="A3027" t="str">
        <f>"20200111150701897"</f>
        <v>20200111150701897</v>
      </c>
      <c r="B3027" t="str">
        <f>"1578726421890305"</f>
        <v>1578726421890305</v>
      </c>
      <c r="C3027" t="s">
        <v>37</v>
      </c>
      <c r="D3027">
        <v>5.0915480000000004</v>
      </c>
      <c r="E3027">
        <v>0.3919608</v>
      </c>
      <c r="F3027" t="s">
        <v>109</v>
      </c>
      <c r="G3027">
        <v>-233.58770000000001</v>
      </c>
      <c r="H3027">
        <v>1.2659819999999999</v>
      </c>
      <c r="I3027">
        <v>177.61060000000001</v>
      </c>
      <c r="J3027">
        <v>-186.53569999999999</v>
      </c>
      <c r="K3027">
        <v>1.1148559999999901</v>
      </c>
      <c r="L3027">
        <v>120.9243</v>
      </c>
      <c r="M3027">
        <v>-0.2134433</v>
      </c>
      <c r="N3027">
        <v>0</v>
      </c>
      <c r="O3027">
        <v>0.97684470000000001</v>
      </c>
      <c r="P3027">
        <v>-0.42840820000000002</v>
      </c>
      <c r="Q3027">
        <v>0.17049449999999999</v>
      </c>
      <c r="R3027">
        <v>0.88735459999999999</v>
      </c>
      <c r="S3027">
        <v>-2.0128629999999998</v>
      </c>
      <c r="T3027">
        <v>6.4624549999999998E-3</v>
      </c>
      <c r="U3027">
        <v>2.4319919999999899</v>
      </c>
      <c r="V3027">
        <v>-0.23398629999999901</v>
      </c>
      <c r="W3027">
        <v>0.1783527</v>
      </c>
      <c r="X3027">
        <v>0.9557409</v>
      </c>
      <c r="Y3027">
        <v>-0.45845649999999899</v>
      </c>
      <c r="Z3027">
        <v>2.1059519999999999E-3</v>
      </c>
      <c r="AA3027">
        <v>0.88871440000000002</v>
      </c>
      <c r="AB3027">
        <v>27</v>
      </c>
      <c r="AC3027">
        <v>-47.052</v>
      </c>
      <c r="AD3027">
        <v>0.15112600000000001</v>
      </c>
      <c r="AE3027">
        <v>56.686300000000003</v>
      </c>
      <c r="AF3027">
        <v>-33.866707786590503</v>
      </c>
      <c r="AG3027">
        <v>0.15112600000000001</v>
      </c>
      <c r="AH3027">
        <v>65.423449446970196</v>
      </c>
      <c r="AI3027">
        <v>89.882463154023199</v>
      </c>
      <c r="AJ3027">
        <v>117.368522345899</v>
      </c>
      <c r="AK3027">
        <v>73.669562730550098</v>
      </c>
    </row>
    <row r="3028" spans="1:37" x14ac:dyDescent="0.2">
      <c r="A3028" t="str">
        <f>"20200111150701918"</f>
        <v>20200111150701918</v>
      </c>
      <c r="B3028" t="str">
        <f>"1578726421909973"</f>
        <v>1578726421909973</v>
      </c>
      <c r="C3028" t="s">
        <v>37</v>
      </c>
      <c r="D3028">
        <v>4.9801909999999996</v>
      </c>
      <c r="E3028">
        <v>0.39102929999999902</v>
      </c>
      <c r="F3028" t="s">
        <v>75</v>
      </c>
      <c r="G3028">
        <v>-231.10509999999999</v>
      </c>
      <c r="H3028">
        <v>0.95639229999999997</v>
      </c>
      <c r="I3028">
        <v>171.702</v>
      </c>
      <c r="J3028">
        <v>-186.60480000000001</v>
      </c>
      <c r="K3028">
        <v>1.11496</v>
      </c>
      <c r="L3028">
        <v>121.1651</v>
      </c>
      <c r="M3028">
        <v>-0.2282544</v>
      </c>
      <c r="N3028">
        <v>0</v>
      </c>
      <c r="O3028">
        <v>0.97348959999999995</v>
      </c>
      <c r="P3028">
        <v>-0.45024589999999998</v>
      </c>
      <c r="Q3028">
        <v>0.17371329999999999</v>
      </c>
      <c r="R3028">
        <v>0.87584379999999995</v>
      </c>
      <c r="S3028">
        <v>-2.0851439999999899</v>
      </c>
      <c r="T3028">
        <v>-7.4130300000000001E-3</v>
      </c>
      <c r="U3028">
        <v>2.3755950000000001</v>
      </c>
      <c r="V3028">
        <v>-0.24341849999999901</v>
      </c>
      <c r="W3028">
        <v>0.181276399999999</v>
      </c>
      <c r="X3028">
        <v>0.95283069999999903</v>
      </c>
      <c r="Y3028">
        <v>-0.47068339999999997</v>
      </c>
      <c r="Z3028">
        <v>-2.4171710000000001E-3</v>
      </c>
      <c r="AA3028">
        <v>0.8822989</v>
      </c>
      <c r="AB3028">
        <v>26</v>
      </c>
      <c r="AC3028">
        <v>-44.500299999999903</v>
      </c>
      <c r="AD3028">
        <v>-0.15856769999999901</v>
      </c>
      <c r="AE3028">
        <v>50.536900000000003</v>
      </c>
      <c r="AF3028">
        <v>-31.788597196686698</v>
      </c>
      <c r="AG3028">
        <v>-0.15856769999999901</v>
      </c>
      <c r="AH3028">
        <v>59.360675223199003</v>
      </c>
      <c r="AI3028">
        <v>90.134923002239006</v>
      </c>
      <c r="AJ3028">
        <v>118.169766239886</v>
      </c>
      <c r="AK3028">
        <v>67.336689986981</v>
      </c>
    </row>
    <row r="3029" spans="1:37" x14ac:dyDescent="0.2">
      <c r="A3029" t="str">
        <f>"20200111150701962"</f>
        <v>20200111150701962</v>
      </c>
      <c r="B3029" t="str">
        <f>"1578726421959749"</f>
        <v>1578726421959749</v>
      </c>
      <c r="C3029" t="s">
        <v>37</v>
      </c>
      <c r="D3029">
        <v>5.0101659999999999</v>
      </c>
      <c r="E3029">
        <v>0.39245170000000001</v>
      </c>
      <c r="F3029" t="s">
        <v>75</v>
      </c>
      <c r="G3029">
        <v>-231.14850000000001</v>
      </c>
      <c r="H3029">
        <v>1.0178769999999999</v>
      </c>
      <c r="I3029">
        <v>169.23670000000001</v>
      </c>
      <c r="J3029">
        <v>-186.75409999999999</v>
      </c>
      <c r="K3029">
        <v>1.115105</v>
      </c>
      <c r="L3029">
        <v>121.6421</v>
      </c>
      <c r="M3029">
        <v>-0.25797689999999901</v>
      </c>
      <c r="N3029">
        <v>0</v>
      </c>
      <c r="O3029">
        <v>0.96603680000000003</v>
      </c>
      <c r="P3029">
        <v>-0.49646590000000002</v>
      </c>
      <c r="Q3029">
        <v>0.18041260000000001</v>
      </c>
      <c r="R3029">
        <v>0.849101199999999</v>
      </c>
      <c r="S3029">
        <v>-2.1504209999999899</v>
      </c>
      <c r="T3029">
        <v>-4.6862359999999999E-3</v>
      </c>
      <c r="U3029">
        <v>2.3207399999999998</v>
      </c>
      <c r="V3029">
        <v>-0.26581670000000002</v>
      </c>
      <c r="W3029">
        <v>0.1872702</v>
      </c>
      <c r="X3029">
        <v>0.94565919999999903</v>
      </c>
      <c r="Y3029">
        <v>-0.4674162</v>
      </c>
      <c r="Z3029">
        <v>-1.525827E-3</v>
      </c>
      <c r="AA3029">
        <v>0.88403609999999899</v>
      </c>
      <c r="AB3029">
        <v>26</v>
      </c>
      <c r="AC3029">
        <v>-44.394399999999997</v>
      </c>
      <c r="AD3029">
        <v>-9.7227999999999801E-2</v>
      </c>
      <c r="AE3029">
        <v>47.5946</v>
      </c>
      <c r="AF3029">
        <v>-30.611628462149099</v>
      </c>
      <c r="AG3029">
        <v>-9.7227999999999801E-2</v>
      </c>
      <c r="AH3029">
        <v>57.4370785896241</v>
      </c>
      <c r="AI3029">
        <v>90.085591587789807</v>
      </c>
      <c r="AJ3029">
        <v>118.05580220980499</v>
      </c>
      <c r="AK3029">
        <v>65.085322825498096</v>
      </c>
    </row>
    <row r="3030" spans="1:37" x14ac:dyDescent="0.2">
      <c r="A3030" t="str">
        <f>"20200111150701985"</f>
        <v>20200111150701985</v>
      </c>
      <c r="B3030" t="str">
        <f>"1578726421980245"</f>
        <v>1578726421980245</v>
      </c>
      <c r="C3030" t="s">
        <v>37</v>
      </c>
      <c r="D3030">
        <v>5.0427220000000004</v>
      </c>
      <c r="E3030">
        <v>0.39331109999999903</v>
      </c>
      <c r="F3030" t="s">
        <v>75</v>
      </c>
      <c r="G3030">
        <v>-230.97329999999999</v>
      </c>
      <c r="H3030">
        <v>0.76950810000000003</v>
      </c>
      <c r="I3030">
        <v>164.89709999999999</v>
      </c>
      <c r="J3030">
        <v>-186.839</v>
      </c>
      <c r="K3030">
        <v>1.1151420000000001</v>
      </c>
      <c r="L3030">
        <v>121.8925</v>
      </c>
      <c r="M3030">
        <v>-0.27375379999999999</v>
      </c>
      <c r="N3030">
        <v>0</v>
      </c>
      <c r="O3030">
        <v>0.96168439999999999</v>
      </c>
      <c r="P3030">
        <v>-0.51945259999999904</v>
      </c>
      <c r="Q3030">
        <v>0.17810239999999999</v>
      </c>
      <c r="R3030">
        <v>0.83573229999999998</v>
      </c>
      <c r="S3030">
        <v>-2.2630309999999998</v>
      </c>
      <c r="T3030">
        <v>-1.7686130000000001E-2</v>
      </c>
      <c r="U3030">
        <v>2.2136840000000002</v>
      </c>
      <c r="V3030">
        <v>-0.27598240000000002</v>
      </c>
      <c r="W3030">
        <v>0.1846507</v>
      </c>
      <c r="X3030">
        <v>0.94325919999999897</v>
      </c>
      <c r="Y3030">
        <v>-0.49608269999999999</v>
      </c>
      <c r="Z3030">
        <v>-5.7793849999999997E-3</v>
      </c>
      <c r="AA3030">
        <v>0.86825599999999903</v>
      </c>
      <c r="AB3030">
        <v>26</v>
      </c>
      <c r="AC3030">
        <v>-44.134299999999897</v>
      </c>
      <c r="AD3030">
        <v>-0.34563389999999999</v>
      </c>
      <c r="AE3030">
        <v>43.004600000000003</v>
      </c>
      <c r="AF3030">
        <v>-30.6730347287758</v>
      </c>
      <c r="AG3030">
        <v>-0.34563389999999999</v>
      </c>
      <c r="AH3030">
        <v>53.4430358780847</v>
      </c>
      <c r="AI3030">
        <v>90.321376785980306</v>
      </c>
      <c r="AJ3030">
        <v>119.853188653651</v>
      </c>
      <c r="AK3030">
        <v>61.620715722326402</v>
      </c>
    </row>
    <row r="3031" spans="1:37" x14ac:dyDescent="0.2">
      <c r="A3031" t="str">
        <f>"20200111150702006"</f>
        <v>20200111150702006</v>
      </c>
      <c r="B3031" t="str">
        <f>"1578726421999765"</f>
        <v>1578726421999765</v>
      </c>
      <c r="C3031" t="s">
        <v>37</v>
      </c>
      <c r="D3031">
        <v>4.8789089999999904</v>
      </c>
      <c r="E3031">
        <v>0.39299299999999998</v>
      </c>
      <c r="F3031" t="s">
        <v>110</v>
      </c>
      <c r="G3031">
        <v>-227.72730000000001</v>
      </c>
      <c r="H3031">
        <v>0.39055590000000001</v>
      </c>
      <c r="I3031">
        <v>160.024</v>
      </c>
      <c r="J3031">
        <v>-186.9238</v>
      </c>
      <c r="K3031">
        <v>1.1151719999999901</v>
      </c>
      <c r="L3031">
        <v>122.13</v>
      </c>
      <c r="M3031">
        <v>-0.28880169999999999</v>
      </c>
      <c r="N3031">
        <v>0</v>
      </c>
      <c r="O3031">
        <v>0.95727249999999997</v>
      </c>
      <c r="P3031">
        <v>-0.53865929999999995</v>
      </c>
      <c r="Q3031">
        <v>0.17400650000000001</v>
      </c>
      <c r="R3031">
        <v>0.82435910000000001</v>
      </c>
      <c r="S3031">
        <v>-2.3153839999999999</v>
      </c>
      <c r="T3031">
        <v>-4.1031119999999997E-2</v>
      </c>
      <c r="U3031">
        <v>2.1592709999999999</v>
      </c>
      <c r="V3031">
        <v>-0.28268789999999999</v>
      </c>
      <c r="W3031">
        <v>0.18035860000000001</v>
      </c>
      <c r="X3031">
        <v>0.94210309999999897</v>
      </c>
      <c r="Y3031">
        <v>-0.50310329999999903</v>
      </c>
      <c r="Z3031">
        <v>-1.3416819999999999E-2</v>
      </c>
      <c r="AA3031">
        <v>0.86412219999999995</v>
      </c>
      <c r="AB3031">
        <v>26</v>
      </c>
      <c r="AC3031">
        <v>-40.8035</v>
      </c>
      <c r="AD3031">
        <v>-0.72461609999999899</v>
      </c>
      <c r="AE3031">
        <v>37.893999999999998</v>
      </c>
      <c r="AF3031">
        <v>-28.1145908457265</v>
      </c>
      <c r="AG3031">
        <v>-0.72461609999999899</v>
      </c>
      <c r="AH3031">
        <v>48.0562249818908</v>
      </c>
      <c r="AI3031">
        <v>90.745653542158806</v>
      </c>
      <c r="AJ3031">
        <v>120.329143481328</v>
      </c>
      <c r="AK3031">
        <v>55.680840927783201</v>
      </c>
    </row>
    <row r="3032" spans="1:37" x14ac:dyDescent="0.2">
      <c r="A3032" t="str">
        <f>"20200111150702030"</f>
        <v>20200111150702030</v>
      </c>
      <c r="B3032" t="str">
        <f>"1578726422020261"</f>
        <v>1578726422020261</v>
      </c>
      <c r="C3032" t="s">
        <v>37</v>
      </c>
      <c r="D3032">
        <v>4.937678</v>
      </c>
      <c r="E3032">
        <v>0.39321230000000001</v>
      </c>
      <c r="F3032" t="s">
        <v>46</v>
      </c>
      <c r="G3032">
        <v>-232.91550000000001</v>
      </c>
      <c r="H3032">
        <v>-0.05</v>
      </c>
      <c r="I3032">
        <v>163.10849999999999</v>
      </c>
      <c r="J3032">
        <v>-187.01849999999999</v>
      </c>
      <c r="K3032">
        <v>1.1152089999999999</v>
      </c>
      <c r="L3032">
        <v>122.3822</v>
      </c>
      <c r="M3032">
        <v>-0.30486479999999999</v>
      </c>
      <c r="N3032">
        <v>0</v>
      </c>
      <c r="O3032">
        <v>0.95227799999999996</v>
      </c>
      <c r="P3032">
        <v>-0.55752179999999996</v>
      </c>
      <c r="Q3032">
        <v>0.1760138</v>
      </c>
      <c r="R3032">
        <v>0.81128829999999996</v>
      </c>
      <c r="S3032">
        <v>-2.3645320000000001</v>
      </c>
      <c r="T3032">
        <v>-5.9904099999999898E-2</v>
      </c>
      <c r="U3032">
        <v>2.1067960000000001</v>
      </c>
      <c r="V3032">
        <v>-0.28877209999999998</v>
      </c>
      <c r="W3032">
        <v>0.1821739</v>
      </c>
      <c r="X3032">
        <v>0.93990599999999902</v>
      </c>
      <c r="Y3032">
        <v>-0.50809689999999996</v>
      </c>
      <c r="Z3032">
        <v>-1.958592E-2</v>
      </c>
      <c r="AA3032">
        <v>0.86107719999999899</v>
      </c>
      <c r="AB3032">
        <v>26</v>
      </c>
      <c r="AC3032">
        <v>-45.896999999999998</v>
      </c>
      <c r="AD3032">
        <v>-1.1652089999999999</v>
      </c>
      <c r="AE3032">
        <v>40.726300000000002</v>
      </c>
      <c r="AF3032">
        <v>-31.2829136547528</v>
      </c>
      <c r="AG3032">
        <v>-1.1652089999999999</v>
      </c>
      <c r="AH3032">
        <v>52.762026856361899</v>
      </c>
      <c r="AI3032">
        <v>91.088275213663906</v>
      </c>
      <c r="AJ3032">
        <v>120.663949132943</v>
      </c>
      <c r="AK3032">
        <v>61.349897120825403</v>
      </c>
    </row>
    <row r="3033" spans="1:37" x14ac:dyDescent="0.2">
      <c r="A3033" t="str">
        <f>"20200111150702054"</f>
        <v>20200111150702054</v>
      </c>
      <c r="B3033" t="str">
        <f>"1578726422050519"</f>
        <v>1578726422050519</v>
      </c>
      <c r="C3033" t="s">
        <v>37</v>
      </c>
      <c r="D3033">
        <v>4.994421</v>
      </c>
      <c r="E3033">
        <v>0.39407059999999999</v>
      </c>
      <c r="F3033" t="s">
        <v>46</v>
      </c>
      <c r="G3033">
        <v>-234.59530000000001</v>
      </c>
      <c r="H3033">
        <v>-0.05</v>
      </c>
      <c r="I3033">
        <v>162.87690000000001</v>
      </c>
      <c r="J3033">
        <v>-187.11660000000001</v>
      </c>
      <c r="K3033">
        <v>1.115245</v>
      </c>
      <c r="L3033">
        <v>122.6301</v>
      </c>
      <c r="M3033">
        <v>-0.32074849999999999</v>
      </c>
      <c r="N3033">
        <v>0</v>
      </c>
      <c r="O3033">
        <v>0.94704560000000004</v>
      </c>
      <c r="P3033">
        <v>-0.57676309999999997</v>
      </c>
      <c r="Q3033">
        <v>0.18011640000000001</v>
      </c>
      <c r="R3033">
        <v>0.79680759999999995</v>
      </c>
      <c r="S3033">
        <v>-2.41209399999999</v>
      </c>
      <c r="T3033">
        <v>-5.9074880000000003E-2</v>
      </c>
      <c r="U3033">
        <v>2.0530400000000002</v>
      </c>
      <c r="V3033">
        <v>-0.29596139999999999</v>
      </c>
      <c r="W3033">
        <v>0.18604100000000001</v>
      </c>
      <c r="X3033">
        <v>0.9369075</v>
      </c>
      <c r="Y3033">
        <v>-0.51320129999999997</v>
      </c>
      <c r="Z3033">
        <v>-1.9313879999999999E-2</v>
      </c>
      <c r="AA3033">
        <v>0.85805089999999995</v>
      </c>
      <c r="AB3033">
        <v>26</v>
      </c>
      <c r="AC3033">
        <v>-47.478700000000003</v>
      </c>
      <c r="AD3033">
        <v>-1.1652450000000001</v>
      </c>
      <c r="AE3033">
        <v>40.2468</v>
      </c>
      <c r="AF3033">
        <v>-32.047768230189803</v>
      </c>
      <c r="AG3033">
        <v>-1.1652450000000001</v>
      </c>
      <c r="AH3033">
        <v>53.331587737236497</v>
      </c>
      <c r="AI3033">
        <v>91.072901143002298</v>
      </c>
      <c r="AJ3033">
        <v>121.00230279930901</v>
      </c>
      <c r="AK3033">
        <v>62.230824315772502</v>
      </c>
    </row>
    <row r="3034" spans="1:37" x14ac:dyDescent="0.2">
      <c r="A3034" t="str">
        <f>"20200111150702099"</f>
        <v>20200111150702099</v>
      </c>
      <c r="B3034" t="str">
        <f>"1578726422090532"</f>
        <v>1578726422090532</v>
      </c>
      <c r="C3034" t="s">
        <v>37</v>
      </c>
      <c r="D3034">
        <v>5.004518</v>
      </c>
      <c r="E3034">
        <v>0.3954529</v>
      </c>
      <c r="F3034" t="s">
        <v>46</v>
      </c>
      <c r="G3034">
        <v>-237.24789999999999</v>
      </c>
      <c r="H3034">
        <v>-0.05</v>
      </c>
      <c r="I3034">
        <v>163.4238</v>
      </c>
      <c r="J3034">
        <v>-187.32239999999999</v>
      </c>
      <c r="K3034">
        <v>1.115289</v>
      </c>
      <c r="L3034">
        <v>123.1131</v>
      </c>
      <c r="M3034">
        <v>-0.351935099999999</v>
      </c>
      <c r="N3034">
        <v>0</v>
      </c>
      <c r="O3034">
        <v>0.93590339999999905</v>
      </c>
      <c r="P3034">
        <v>-0.61510149999999997</v>
      </c>
      <c r="Q3034">
        <v>0.18039249999999901</v>
      </c>
      <c r="R3034">
        <v>0.76753419999999895</v>
      </c>
      <c r="S3034">
        <v>-2.4570470000000002</v>
      </c>
      <c r="T3034">
        <v>-5.7111259999999997E-2</v>
      </c>
      <c r="U3034">
        <v>1.99939</v>
      </c>
      <c r="V3034">
        <v>-0.3108937</v>
      </c>
      <c r="W3034">
        <v>0.185840899999999</v>
      </c>
      <c r="X3034">
        <v>0.93209889999999995</v>
      </c>
      <c r="Y3034">
        <v>-0.50371489999999997</v>
      </c>
      <c r="Z3034">
        <v>-1.8587619999999999E-2</v>
      </c>
      <c r="AA3034">
        <v>0.86367000000000005</v>
      </c>
      <c r="AB3034">
        <v>26</v>
      </c>
      <c r="AC3034">
        <v>-49.9255</v>
      </c>
      <c r="AD3034">
        <v>-1.165289</v>
      </c>
      <c r="AE3034">
        <v>40.310699999999997</v>
      </c>
      <c r="AF3034">
        <v>-32.531652278895002</v>
      </c>
      <c r="AG3034">
        <v>-1.165289</v>
      </c>
      <c r="AH3034">
        <v>55.285488427770403</v>
      </c>
      <c r="AI3034">
        <v>91.0407213970241</v>
      </c>
      <c r="AJ3034">
        <v>120.47384170480601</v>
      </c>
      <c r="AK3034">
        <v>64.157240660315097</v>
      </c>
    </row>
    <row r="3035" spans="1:37" x14ac:dyDescent="0.2">
      <c r="A3035" t="str">
        <f>"20200111150702120"</f>
        <v>20200111150702120</v>
      </c>
      <c r="B3035" t="str">
        <f>"1578726422110053"</f>
        <v>1578726422110053</v>
      </c>
      <c r="C3035" t="s">
        <v>37</v>
      </c>
      <c r="D3035">
        <v>5.0826709999999897</v>
      </c>
      <c r="E3035">
        <v>0.39620309999999997</v>
      </c>
      <c r="F3035" t="s">
        <v>39</v>
      </c>
      <c r="G3035">
        <v>-225.73830000000001</v>
      </c>
      <c r="H3035">
        <v>7.9985680000000003E-2</v>
      </c>
      <c r="I3035">
        <v>151.58760000000001</v>
      </c>
      <c r="J3035">
        <v>-187.42420000000001</v>
      </c>
      <c r="K3035">
        <v>1.1153</v>
      </c>
      <c r="L3035">
        <v>123.33669999999999</v>
      </c>
      <c r="M3035">
        <v>-0.3664616</v>
      </c>
      <c r="N3035">
        <v>0</v>
      </c>
      <c r="O3035">
        <v>0.93031109999999995</v>
      </c>
      <c r="P3035">
        <v>-0.63179810000000003</v>
      </c>
      <c r="Q3035">
        <v>0.1792068</v>
      </c>
      <c r="R3035">
        <v>0.75413260000000004</v>
      </c>
      <c r="S3035">
        <v>-2.5441889999999998</v>
      </c>
      <c r="T3035">
        <v>-6.8565609999999999E-2</v>
      </c>
      <c r="U3035">
        <v>1.8858029999999999</v>
      </c>
      <c r="V3035">
        <v>-0.31672080000000002</v>
      </c>
      <c r="W3035">
        <v>0.18447259999999999</v>
      </c>
      <c r="X3035">
        <v>0.93040730000000005</v>
      </c>
      <c r="Y3035">
        <v>-0.52901759999999998</v>
      </c>
      <c r="Z3035">
        <v>-2.2410590000000001E-2</v>
      </c>
      <c r="AA3035">
        <v>0.84831489999999998</v>
      </c>
      <c r="AB3035">
        <v>26</v>
      </c>
      <c r="AC3035">
        <v>-38.314100000000003</v>
      </c>
      <c r="AD3035">
        <v>-1.0353143199999999</v>
      </c>
      <c r="AE3035">
        <v>28.250900000000001</v>
      </c>
      <c r="AF3035">
        <v>-25.282076846187199</v>
      </c>
      <c r="AG3035">
        <v>-1.0353143199999999</v>
      </c>
      <c r="AH3035">
        <v>40.308286598910101</v>
      </c>
      <c r="AI3035">
        <v>91.246504179950307</v>
      </c>
      <c r="AJ3035">
        <v>122.096670781516</v>
      </c>
      <c r="AK3035">
        <v>47.592155382348402</v>
      </c>
    </row>
    <row r="3036" spans="1:37" x14ac:dyDescent="0.2">
      <c r="A3036" t="str">
        <f>"20200111150702146"</f>
        <v>20200111150702146</v>
      </c>
      <c r="B3036" t="str">
        <f>"1578726422140309"</f>
        <v>1578726422140309</v>
      </c>
      <c r="C3036" t="s">
        <v>37</v>
      </c>
      <c r="D3036">
        <v>5.0907929999999997</v>
      </c>
      <c r="E3036">
        <v>0.39771329999999999</v>
      </c>
      <c r="F3036" t="s">
        <v>38</v>
      </c>
      <c r="G3036">
        <v>-188.2818</v>
      </c>
      <c r="H3036">
        <v>1.08958</v>
      </c>
      <c r="I3036">
        <v>123.9464</v>
      </c>
      <c r="J3036">
        <v>-187.54490000000001</v>
      </c>
      <c r="K3036">
        <v>1.115318</v>
      </c>
      <c r="L3036">
        <v>123.59059999999999</v>
      </c>
      <c r="M3036">
        <v>-0.38302789999999998</v>
      </c>
      <c r="N3036">
        <v>0</v>
      </c>
      <c r="O3036">
        <v>0.92361349999999998</v>
      </c>
      <c r="P3036">
        <v>-0.64865509999999904</v>
      </c>
      <c r="Q3036">
        <v>0.1805486</v>
      </c>
      <c r="R3036">
        <v>0.73935709999999999</v>
      </c>
      <c r="S3036">
        <v>-2.5806269999999998</v>
      </c>
      <c r="T3036">
        <v>-7.7379470000000006E-2</v>
      </c>
      <c r="U3036">
        <v>1.834457</v>
      </c>
      <c r="V3036">
        <v>-0.32126830000000001</v>
      </c>
      <c r="W3036">
        <v>0.18566759999999999</v>
      </c>
      <c r="X3036">
        <v>0.92860880000000001</v>
      </c>
      <c r="Y3036">
        <v>-0.53066049999999998</v>
      </c>
      <c r="Z3036">
        <v>-2.525749E-2</v>
      </c>
      <c r="AA3036">
        <v>0.84720810000000002</v>
      </c>
      <c r="AB3036">
        <v>26</v>
      </c>
      <c r="AC3036">
        <v>-0.73689999999999101</v>
      </c>
      <c r="AD3036">
        <v>-2.5738E-2</v>
      </c>
      <c r="AE3036">
        <v>0.355800000000002</v>
      </c>
      <c r="AF3036">
        <v>-0.54385342256883196</v>
      </c>
      <c r="AG3036">
        <v>-2.5738E-2</v>
      </c>
      <c r="AH3036">
        <v>0.61034070725661205</v>
      </c>
      <c r="AI3036">
        <v>91.803311515369302</v>
      </c>
      <c r="AJ3036">
        <v>131.70312349063499</v>
      </c>
      <c r="AK3036">
        <v>0.81789655141609097</v>
      </c>
    </row>
    <row r="3037" spans="1:37" x14ac:dyDescent="0.2">
      <c r="A3037" t="str">
        <f>"20200111150702166"</f>
        <v>20200111150702166</v>
      </c>
      <c r="B3037" t="str">
        <f>"1578726422159830"</f>
        <v>1578726422159830</v>
      </c>
      <c r="C3037" t="s">
        <v>37</v>
      </c>
      <c r="D3037">
        <v>5.0374040000000004</v>
      </c>
      <c r="E3037">
        <v>0.39876800000000001</v>
      </c>
      <c r="F3037" t="s">
        <v>38</v>
      </c>
      <c r="G3037">
        <v>-188.3828</v>
      </c>
      <c r="H3037">
        <v>1.088929</v>
      </c>
      <c r="I3037">
        <v>124.16289999999999</v>
      </c>
      <c r="J3037">
        <v>-187.65</v>
      </c>
      <c r="K3037">
        <v>1.1153329999999999</v>
      </c>
      <c r="L3037">
        <v>123.8026</v>
      </c>
      <c r="M3037">
        <v>-0.3969278</v>
      </c>
      <c r="N3037">
        <v>0</v>
      </c>
      <c r="O3037">
        <v>0.91772559999999903</v>
      </c>
      <c r="P3037">
        <v>-0.66238160000000001</v>
      </c>
      <c r="Q3037">
        <v>0.181417299999999</v>
      </c>
      <c r="R3037">
        <v>0.72686890000000004</v>
      </c>
      <c r="S3037">
        <v>-2.613556</v>
      </c>
      <c r="T3037">
        <v>-8.2283739999999994E-2</v>
      </c>
      <c r="U3037">
        <v>1.784729</v>
      </c>
      <c r="V3037">
        <v>-0.32475579999999998</v>
      </c>
      <c r="W3037">
        <v>0.18642139999999999</v>
      </c>
      <c r="X3037">
        <v>0.92724359999999995</v>
      </c>
      <c r="Y3037">
        <v>-0.53378429999999999</v>
      </c>
      <c r="Z3037">
        <v>-2.684083E-2</v>
      </c>
      <c r="AA3037">
        <v>0.84519460000000002</v>
      </c>
      <c r="AB3037">
        <v>26</v>
      </c>
      <c r="AC3037">
        <v>-0.73279999999999701</v>
      </c>
      <c r="AD3037">
        <v>-2.6403999999999799E-2</v>
      </c>
      <c r="AE3037">
        <v>0.36029999999999501</v>
      </c>
      <c r="AF3037">
        <v>-0.52900352953497398</v>
      </c>
      <c r="AG3037">
        <v>-2.6403999999999799E-2</v>
      </c>
      <c r="AH3037">
        <v>0.620946887423799</v>
      </c>
      <c r="AI3037">
        <v>91.853928165638393</v>
      </c>
      <c r="AJ3037">
        <v>130.42868659168599</v>
      </c>
      <c r="AK3037">
        <v>0.81615987556223601</v>
      </c>
    </row>
    <row r="3038" spans="1:37" x14ac:dyDescent="0.2">
      <c r="A3038" t="str">
        <f>"20200111150702189"</f>
        <v>20200111150702189</v>
      </c>
      <c r="B3038" t="str">
        <f>"1578726422180325"</f>
        <v>1578726422180325</v>
      </c>
      <c r="C3038" t="s">
        <v>37</v>
      </c>
      <c r="D3038">
        <v>5.1443510000000003</v>
      </c>
      <c r="E3038">
        <v>0.39992800000000001</v>
      </c>
      <c r="F3038" t="s">
        <v>38</v>
      </c>
      <c r="G3038">
        <v>-188.47110000000001</v>
      </c>
      <c r="H3038">
        <v>1.088795</v>
      </c>
      <c r="I3038">
        <v>124.3447</v>
      </c>
      <c r="J3038">
        <v>-187.76910000000001</v>
      </c>
      <c r="K3038">
        <v>1.1153500000000001</v>
      </c>
      <c r="L3038">
        <v>124.03360000000001</v>
      </c>
      <c r="M3038">
        <v>-0.41213519999999998</v>
      </c>
      <c r="N3038">
        <v>0</v>
      </c>
      <c r="O3038">
        <v>0.91099719999999995</v>
      </c>
      <c r="P3038">
        <v>-0.67618369999999905</v>
      </c>
      <c r="Q3038">
        <v>0.18023429999999999</v>
      </c>
      <c r="R3038">
        <v>0.71434679999999995</v>
      </c>
      <c r="S3038">
        <v>-2.6400299999999999</v>
      </c>
      <c r="T3038">
        <v>-8.5331679999999993E-2</v>
      </c>
      <c r="U3038">
        <v>1.7427979999999901</v>
      </c>
      <c r="V3038">
        <v>-0.3269551</v>
      </c>
      <c r="W3038">
        <v>0.18517</v>
      </c>
      <c r="X3038">
        <v>0.92672129999999997</v>
      </c>
      <c r="Y3038">
        <v>-0.53294019999999898</v>
      </c>
      <c r="Z3038">
        <v>-2.77779999999999E-2</v>
      </c>
      <c r="AA3038">
        <v>0.84569689999999997</v>
      </c>
      <c r="AB3038">
        <v>26</v>
      </c>
      <c r="AC3038">
        <v>-0.70199999999999796</v>
      </c>
      <c r="AD3038">
        <v>-2.6554999999999801E-2</v>
      </c>
      <c r="AE3038">
        <v>0.31109999999999599</v>
      </c>
      <c r="AF3038">
        <v>-0.51075236726777395</v>
      </c>
      <c r="AG3038">
        <v>-2.6554999999999801E-2</v>
      </c>
      <c r="AH3038">
        <v>0.572111369815541</v>
      </c>
      <c r="AI3038">
        <v>91.983081507619701</v>
      </c>
      <c r="AJ3038">
        <v>131.75688049403999</v>
      </c>
      <c r="AK3038">
        <v>0.76738814700700797</v>
      </c>
    </row>
    <row r="3039" spans="1:37" x14ac:dyDescent="0.2">
      <c r="A3039" t="str">
        <f>"20200111150702233"</f>
        <v>20200111150702233</v>
      </c>
      <c r="B3039" t="str">
        <f>"1578726422230101"</f>
        <v>1578726422230101</v>
      </c>
      <c r="C3039" t="s">
        <v>37</v>
      </c>
      <c r="D3039">
        <v>5.2079690000000003</v>
      </c>
      <c r="E3039">
        <v>0.42331220000000003</v>
      </c>
      <c r="F3039" t="s">
        <v>38</v>
      </c>
      <c r="G3039">
        <v>-188.5308</v>
      </c>
      <c r="H3039">
        <v>1.0882099999999999</v>
      </c>
      <c r="I3039">
        <v>124.51949999999999</v>
      </c>
      <c r="J3039">
        <v>-188.00579999999999</v>
      </c>
      <c r="K3039">
        <v>1.1153819999999901</v>
      </c>
      <c r="L3039">
        <v>124.4662</v>
      </c>
      <c r="M3039">
        <v>-0.440834</v>
      </c>
      <c r="N3039">
        <v>0</v>
      </c>
      <c r="O3039">
        <v>0.89746079999999995</v>
      </c>
      <c r="P3039">
        <v>-0.700574699999999</v>
      </c>
      <c r="Q3039">
        <v>0.18380469999999999</v>
      </c>
      <c r="R3039">
        <v>0.68950059999999902</v>
      </c>
      <c r="S3039">
        <v>-2.6654819999999999</v>
      </c>
      <c r="T3039">
        <v>-9.4953300000000004E-2</v>
      </c>
      <c r="U3039">
        <v>1.70048499999999</v>
      </c>
      <c r="V3039">
        <v>-0.33026100000000003</v>
      </c>
      <c r="W3039">
        <v>0.18862089999999901</v>
      </c>
      <c r="X3039">
        <v>0.92485130000000004</v>
      </c>
      <c r="Y3039">
        <v>-0.5191403</v>
      </c>
      <c r="Z3039">
        <v>-3.0650839999999999E-2</v>
      </c>
      <c r="AA3039">
        <v>0.85413930000000005</v>
      </c>
      <c r="AB3039">
        <v>26</v>
      </c>
      <c r="AC3039">
        <v>-0.52500000000000502</v>
      </c>
      <c r="AD3039">
        <v>-2.71719999999997E-2</v>
      </c>
      <c r="AE3039">
        <v>5.3299999999992999E-2</v>
      </c>
      <c r="AF3039">
        <v>-0.446537906559344</v>
      </c>
      <c r="AG3039">
        <v>-2.71719999999997E-2</v>
      </c>
      <c r="AH3039">
        <v>0.27856597928739601</v>
      </c>
      <c r="AI3039">
        <v>92.955444245303795</v>
      </c>
      <c r="AJ3039">
        <v>148.042641224801</v>
      </c>
      <c r="AK3039">
        <v>0.52700419770125895</v>
      </c>
    </row>
    <row r="3040" spans="1:37" x14ac:dyDescent="0.2">
      <c r="A3040" t="str">
        <f>"20200111150702276"</f>
        <v>20200111150702276</v>
      </c>
      <c r="B3040" t="str">
        <f>"1578726422270117"</f>
        <v>1578726422270117</v>
      </c>
      <c r="C3040" t="s">
        <v>37</v>
      </c>
      <c r="D3040">
        <v>4.6984709999999996</v>
      </c>
      <c r="E3040">
        <v>0.37555949999999999</v>
      </c>
      <c r="F3040" t="s">
        <v>38</v>
      </c>
      <c r="G3040">
        <v>-188.70679999999999</v>
      </c>
      <c r="H3040">
        <v>1.0686990000000001</v>
      </c>
      <c r="I3040">
        <v>124.93799999999899</v>
      </c>
      <c r="J3040">
        <v>-188.2646</v>
      </c>
      <c r="K3040">
        <v>1.1153999999999999</v>
      </c>
      <c r="L3040">
        <v>124.9032</v>
      </c>
      <c r="M3040">
        <v>-0.4701014</v>
      </c>
      <c r="N3040">
        <v>0</v>
      </c>
      <c r="O3040">
        <v>0.88248189999999904</v>
      </c>
      <c r="P3040">
        <v>-0.72443630000000003</v>
      </c>
      <c r="Q3040">
        <v>0.18439990000000001</v>
      </c>
      <c r="R3040">
        <v>0.66422040000000004</v>
      </c>
      <c r="S3040">
        <v>-2.6032869999999999</v>
      </c>
      <c r="T3040">
        <v>-0.173325799999999</v>
      </c>
      <c r="U3040">
        <v>1.7521059999999999</v>
      </c>
      <c r="V3040">
        <v>-0.33255609999999902</v>
      </c>
      <c r="W3040">
        <v>0.18914349999999999</v>
      </c>
      <c r="X3040">
        <v>0.92392160000000001</v>
      </c>
      <c r="Y3040">
        <v>-0.46829599999999999</v>
      </c>
      <c r="Z3040">
        <v>-5.5137970000000001E-2</v>
      </c>
      <c r="AA3040">
        <v>0.88184959999999901</v>
      </c>
      <c r="AB3040">
        <v>26</v>
      </c>
      <c r="AC3040">
        <v>-0.44219999999998499</v>
      </c>
      <c r="AD3040">
        <v>-4.6700999999999798E-2</v>
      </c>
      <c r="AE3040">
        <v>3.4799999999989902E-2</v>
      </c>
      <c r="AF3040">
        <v>-0.36981763213291302</v>
      </c>
      <c r="AG3040">
        <v>-4.6700999999999798E-2</v>
      </c>
      <c r="AH3040">
        <v>0.23600064213683</v>
      </c>
      <c r="AI3040">
        <v>96.076374423308593</v>
      </c>
      <c r="AJ3040">
        <v>147.45584938092099</v>
      </c>
      <c r="AK3040">
        <v>0.44118291844357499</v>
      </c>
    </row>
    <row r="3041" spans="1:37" x14ac:dyDescent="0.2">
      <c r="A3041" t="str">
        <f>"20200111150702300"</f>
        <v>20200111150702300</v>
      </c>
      <c r="B3041" t="str">
        <f>"1578726422290613"</f>
        <v>1578726422290613</v>
      </c>
      <c r="C3041" t="s">
        <v>37</v>
      </c>
      <c r="D3041">
        <v>5.2903890000000002</v>
      </c>
      <c r="E3041">
        <v>0.39117659999999999</v>
      </c>
      <c r="F3041" t="s">
        <v>111</v>
      </c>
      <c r="G3041">
        <v>-459.58620000000002</v>
      </c>
      <c r="H3041">
        <v>12.02449</v>
      </c>
      <c r="I3041">
        <v>249.83590000000001</v>
      </c>
      <c r="J3041">
        <v>-188.40369999999999</v>
      </c>
      <c r="K3041">
        <v>1.115389</v>
      </c>
      <c r="L3041">
        <v>125.1253</v>
      </c>
      <c r="M3041">
        <v>-0.48505229999999999</v>
      </c>
      <c r="N3041">
        <v>0</v>
      </c>
      <c r="O3041">
        <v>0.87435319999999905</v>
      </c>
      <c r="P3041">
        <v>-0.73400410000000005</v>
      </c>
      <c r="Q3041">
        <v>0.18280550000000001</v>
      </c>
      <c r="R3041">
        <v>0.65407959999999998</v>
      </c>
      <c r="S3041">
        <v>-2.891006</v>
      </c>
      <c r="T3041">
        <v>0.11623940000000001</v>
      </c>
      <c r="U3041">
        <v>1.3311919999999999</v>
      </c>
      <c r="V3041">
        <v>-0.3299782</v>
      </c>
      <c r="W3041">
        <v>0.18764819999999999</v>
      </c>
      <c r="X3041">
        <v>0.92515000000000003</v>
      </c>
      <c r="Y3041">
        <v>-0.59069099999999997</v>
      </c>
      <c r="Z3041">
        <v>3.7709529999999998E-2</v>
      </c>
      <c r="AA3041">
        <v>0.80601630000000002</v>
      </c>
      <c r="AB3041">
        <v>26</v>
      </c>
      <c r="AC3041">
        <v>-271.1825</v>
      </c>
      <c r="AD3041">
        <v>10.909101</v>
      </c>
      <c r="AE3041">
        <v>124.7106</v>
      </c>
      <c r="AF3041">
        <v>-176.402868012216</v>
      </c>
      <c r="AG3041">
        <v>10.909101</v>
      </c>
      <c r="AH3041">
        <v>240.28559945812199</v>
      </c>
      <c r="AI3041">
        <v>87.904071150511498</v>
      </c>
      <c r="AJ3041">
        <v>126.28381933996999</v>
      </c>
      <c r="AK3041">
        <v>298.28534934607899</v>
      </c>
    </row>
    <row r="3042" spans="1:37" x14ac:dyDescent="0.2">
      <c r="A3042" t="str">
        <f>"20200111150702321"</f>
        <v>20200111150702321</v>
      </c>
      <c r="B3042" t="str">
        <f>"1578726422310133"</f>
        <v>1578726422310133</v>
      </c>
      <c r="C3042" t="s">
        <v>37</v>
      </c>
      <c r="D3042">
        <v>5.283423</v>
      </c>
      <c r="E3042">
        <v>0.38697690000000001</v>
      </c>
      <c r="F3042" t="s">
        <v>38</v>
      </c>
      <c r="G3042">
        <v>-189.309</v>
      </c>
      <c r="H3042">
        <v>1.0892959999999901</v>
      </c>
      <c r="I3042">
        <v>125.57470000000001</v>
      </c>
      <c r="J3042">
        <v>-188.5343</v>
      </c>
      <c r="K3042">
        <v>1.1153690000000001</v>
      </c>
      <c r="L3042">
        <v>125.3266</v>
      </c>
      <c r="M3042">
        <v>-0.49864330000000001</v>
      </c>
      <c r="N3042">
        <v>0</v>
      </c>
      <c r="O3042">
        <v>0.86667399999999895</v>
      </c>
      <c r="P3042">
        <v>-0.74317219999999995</v>
      </c>
      <c r="Q3042">
        <v>0.18100289999999999</v>
      </c>
      <c r="R3042">
        <v>0.64415310000000003</v>
      </c>
      <c r="S3042">
        <v>-2.8482059999999998</v>
      </c>
      <c r="T3042">
        <v>-8.2049730000000001E-2</v>
      </c>
      <c r="U3042">
        <v>1.4133</v>
      </c>
      <c r="V3042">
        <v>-0.32829559999999902</v>
      </c>
      <c r="W3042">
        <v>0.18591679999999999</v>
      </c>
      <c r="X3042">
        <v>0.92609769999999902</v>
      </c>
      <c r="Y3042">
        <v>-0.55442979999999997</v>
      </c>
      <c r="Z3042">
        <v>-2.6254940000000001E-2</v>
      </c>
      <c r="AA3042">
        <v>0.83181620000000001</v>
      </c>
      <c r="AB3042">
        <v>26</v>
      </c>
      <c r="AC3042">
        <v>-0.77470000000002404</v>
      </c>
      <c r="AD3042">
        <v>-2.60730000000002E-2</v>
      </c>
      <c r="AE3042">
        <v>0.24810000000000801</v>
      </c>
      <c r="AF3042">
        <v>-0.54720006789902098</v>
      </c>
      <c r="AG3042">
        <v>-2.60730000000002E-2</v>
      </c>
      <c r="AH3042">
        <v>0.60077306474013903</v>
      </c>
      <c r="AI3042">
        <v>91.837703952478094</v>
      </c>
      <c r="AJ3042">
        <v>132.32808972252701</v>
      </c>
      <c r="AK3042">
        <v>0.81304119880541903</v>
      </c>
    </row>
    <row r="3043" spans="1:37" x14ac:dyDescent="0.2">
      <c r="A3043" t="str">
        <f>"20200111150702346"</f>
        <v>20200111150702346</v>
      </c>
      <c r="B3043" t="str">
        <f>"1578726422340389"</f>
        <v>1578726422340389</v>
      </c>
      <c r="C3043" t="s">
        <v>37</v>
      </c>
      <c r="D3043">
        <v>5.2655089999999998</v>
      </c>
      <c r="E3043">
        <v>0.38833220000000002</v>
      </c>
      <c r="F3043" t="s">
        <v>39</v>
      </c>
      <c r="G3043">
        <v>-240.72149999999999</v>
      </c>
      <c r="H3043">
        <v>2.095021E-2</v>
      </c>
      <c r="I3043">
        <v>149.6163</v>
      </c>
      <c r="J3043">
        <v>-188.68870000000001</v>
      </c>
      <c r="K3043">
        <v>1.115354</v>
      </c>
      <c r="L3043">
        <v>125.5561</v>
      </c>
      <c r="M3043">
        <v>-0.514177</v>
      </c>
      <c r="N3043">
        <v>0</v>
      </c>
      <c r="O3043">
        <v>0.85754940000000002</v>
      </c>
      <c r="P3043">
        <v>-0.75335529999999995</v>
      </c>
      <c r="Q3043">
        <v>0.17929919999999999</v>
      </c>
      <c r="R3043">
        <v>0.63269880000000001</v>
      </c>
      <c r="S3043">
        <v>-2.8868559999999999</v>
      </c>
      <c r="T3043">
        <v>-6.0540320000000002E-2</v>
      </c>
      <c r="U3043">
        <v>1.3436429999999999</v>
      </c>
      <c r="V3043">
        <v>-0.326078599999999</v>
      </c>
      <c r="W3043">
        <v>0.1843062</v>
      </c>
      <c r="X3043">
        <v>0.92720219999999898</v>
      </c>
      <c r="Y3043">
        <v>-0.56037349999999997</v>
      </c>
      <c r="Z3043">
        <v>-1.9300250000000001E-2</v>
      </c>
      <c r="AA3043">
        <v>0.8280151</v>
      </c>
      <c r="AB3043">
        <v>26</v>
      </c>
      <c r="AC3043">
        <v>-52.032799999999902</v>
      </c>
      <c r="AD3043">
        <v>-1.0944037900000001</v>
      </c>
      <c r="AE3043">
        <v>24.060199999999899</v>
      </c>
      <c r="AF3043">
        <v>-32.2414704046354</v>
      </c>
      <c r="AG3043">
        <v>-1.0944037900000001</v>
      </c>
      <c r="AH3043">
        <v>47.375087922183198</v>
      </c>
      <c r="AI3043">
        <v>91.094086643749506</v>
      </c>
      <c r="AJ3043">
        <v>124.237538097781</v>
      </c>
      <c r="AK3043">
        <v>57.315871180181297</v>
      </c>
    </row>
    <row r="3044" spans="1:37" x14ac:dyDescent="0.2">
      <c r="A3044" t="str">
        <f>"20200111150702371"</f>
        <v>20200111150702371</v>
      </c>
      <c r="B3044" t="str">
        <f>"1578726422359909"</f>
        <v>1578726422359909</v>
      </c>
      <c r="C3044" t="s">
        <v>37</v>
      </c>
      <c r="D3044">
        <v>5.2730649999999999</v>
      </c>
      <c r="E3044">
        <v>0.39070890000000003</v>
      </c>
      <c r="F3044" t="s">
        <v>39</v>
      </c>
      <c r="G3044">
        <v>-235.00229999999999</v>
      </c>
      <c r="H3044" s="1">
        <v>-3.78106999999999E-6</v>
      </c>
      <c r="I3044">
        <v>146.42259999999999</v>
      </c>
      <c r="J3044">
        <v>-188.8536</v>
      </c>
      <c r="K3044">
        <v>1.115343</v>
      </c>
      <c r="L3044">
        <v>125.792</v>
      </c>
      <c r="M3044">
        <v>-0.53018460000000001</v>
      </c>
      <c r="N3044">
        <v>0</v>
      </c>
      <c r="O3044">
        <v>0.84774579999999999</v>
      </c>
      <c r="P3044">
        <v>-0.76308849999999995</v>
      </c>
      <c r="Q3044">
        <v>0.17858840000000001</v>
      </c>
      <c r="R3044">
        <v>0.62112979999999995</v>
      </c>
      <c r="S3044">
        <v>-2.9010769999999999</v>
      </c>
      <c r="T3044">
        <v>-6.9865940000000001E-2</v>
      </c>
      <c r="U3044">
        <v>1.307083</v>
      </c>
      <c r="V3044">
        <v>-0.32292559999999998</v>
      </c>
      <c r="W3044">
        <v>0.18371850000000001</v>
      </c>
      <c r="X3044">
        <v>0.92842159999999996</v>
      </c>
      <c r="Y3044">
        <v>-0.55493999999999999</v>
      </c>
      <c r="Z3044">
        <v>-2.2139220000000001E-2</v>
      </c>
      <c r="AA3044">
        <v>0.8315958</v>
      </c>
      <c r="AB3044">
        <v>26</v>
      </c>
      <c r="AC3044">
        <v>-46.148699999999899</v>
      </c>
      <c r="AD3044">
        <v>-1.11534678107</v>
      </c>
      <c r="AE3044">
        <v>20.630599999999902</v>
      </c>
      <c r="AF3044">
        <v>-28.1738851779626</v>
      </c>
      <c r="AG3044">
        <v>-1.11534678107</v>
      </c>
      <c r="AH3044">
        <v>41.941270614979501</v>
      </c>
      <c r="AI3044">
        <v>91.264591897237196</v>
      </c>
      <c r="AJ3044">
        <v>123.891078032468</v>
      </c>
      <c r="AK3044">
        <v>50.537926206582803</v>
      </c>
    </row>
    <row r="3045" spans="1:37" x14ac:dyDescent="0.2">
      <c r="A3045" t="str">
        <f>"20200111150702395"</f>
        <v>20200111150702395</v>
      </c>
      <c r="B3045" t="str">
        <f>"1578726422390165"</f>
        <v>1578726422390165</v>
      </c>
      <c r="C3045" t="s">
        <v>37</v>
      </c>
      <c r="D3045">
        <v>5.3393119999999996</v>
      </c>
      <c r="E3045">
        <v>0.39190989999999998</v>
      </c>
      <c r="F3045" t="s">
        <v>38</v>
      </c>
      <c r="G3045">
        <v>-189.75309999999999</v>
      </c>
      <c r="H3045">
        <v>1.088754</v>
      </c>
      <c r="I3045">
        <v>126.18689999999999</v>
      </c>
      <c r="J3045">
        <v>-189.00569999999999</v>
      </c>
      <c r="K3045">
        <v>1.115329</v>
      </c>
      <c r="L3045">
        <v>126.00109999999999</v>
      </c>
      <c r="M3045">
        <v>-0.54441779999999995</v>
      </c>
      <c r="N3045">
        <v>0</v>
      </c>
      <c r="O3045">
        <v>0.83867619999999898</v>
      </c>
      <c r="P3045">
        <v>-0.77092059999999996</v>
      </c>
      <c r="Q3045">
        <v>0.17850489999999999</v>
      </c>
      <c r="R3045">
        <v>0.61140609999999995</v>
      </c>
      <c r="S3045">
        <v>-2.9111020000000001</v>
      </c>
      <c r="T3045">
        <v>-8.6071010000000003E-2</v>
      </c>
      <c r="U3045">
        <v>1.2782290000000001</v>
      </c>
      <c r="V3045">
        <v>-0.31901979999999902</v>
      </c>
      <c r="W3045">
        <v>0.18377850000000001</v>
      </c>
      <c r="X3045">
        <v>0.929759</v>
      </c>
      <c r="Y3045">
        <v>-0.54871440000000005</v>
      </c>
      <c r="Z3045">
        <v>-2.710516E-2</v>
      </c>
      <c r="AA3045">
        <v>0.83557039999999905</v>
      </c>
      <c r="AB3045">
        <v>26</v>
      </c>
      <c r="AC3045">
        <v>-0.74739999999999895</v>
      </c>
      <c r="AD3045">
        <v>-2.6575000000000001E-2</v>
      </c>
      <c r="AE3045">
        <v>0.18579999999999999</v>
      </c>
      <c r="AF3045">
        <v>-0.52510937825248205</v>
      </c>
      <c r="AG3045">
        <v>-2.6575000000000001E-2</v>
      </c>
      <c r="AH3045">
        <v>0.56211973664190695</v>
      </c>
      <c r="AI3045">
        <v>91.978634859939604</v>
      </c>
      <c r="AJ3045">
        <v>133.050347632605</v>
      </c>
      <c r="AK3045">
        <v>0.76969129401083602</v>
      </c>
    </row>
    <row r="3046" spans="1:37" x14ac:dyDescent="0.2">
      <c r="A3046" t="str">
        <f>"20200111150702437"</f>
        <v>20200111150702437</v>
      </c>
      <c r="B3046" t="str">
        <f>"1578726422430180"</f>
        <v>1578726422430180</v>
      </c>
      <c r="C3046" t="s">
        <v>37</v>
      </c>
      <c r="D3046">
        <v>5.1364210000000003</v>
      </c>
      <c r="E3046">
        <v>0.390895099999999</v>
      </c>
      <c r="F3046" t="s">
        <v>38</v>
      </c>
      <c r="G3046">
        <v>-189.99379999999999</v>
      </c>
      <c r="H3046">
        <v>1.083737</v>
      </c>
      <c r="I3046">
        <v>126.4234</v>
      </c>
      <c r="J3046">
        <v>-189.2937</v>
      </c>
      <c r="K3046">
        <v>1.1153090000000001</v>
      </c>
      <c r="L3046">
        <v>126.37739999999999</v>
      </c>
      <c r="M3046">
        <v>-0.57012240000000003</v>
      </c>
      <c r="N3046">
        <v>0</v>
      </c>
      <c r="O3046">
        <v>0.8214188</v>
      </c>
      <c r="P3046">
        <v>-0.78601080000000001</v>
      </c>
      <c r="Q3046">
        <v>0.17996789999999999</v>
      </c>
      <c r="R3046">
        <v>0.59143780000000001</v>
      </c>
      <c r="S3046">
        <v>-2.9224700000000001</v>
      </c>
      <c r="T3046">
        <v>-9.3445420000000001E-2</v>
      </c>
      <c r="U3046">
        <v>1.249023</v>
      </c>
      <c r="V3046">
        <v>-0.31381100000000001</v>
      </c>
      <c r="W3046">
        <v>0.1854333</v>
      </c>
      <c r="X3046">
        <v>0.93120199999999997</v>
      </c>
      <c r="Y3046">
        <v>-0.53088259999999998</v>
      </c>
      <c r="Z3046">
        <v>-2.89629E-2</v>
      </c>
      <c r="AA3046">
        <v>0.84695039999999999</v>
      </c>
      <c r="AB3046">
        <v>26</v>
      </c>
      <c r="AC3046">
        <v>-0.70009999999999195</v>
      </c>
      <c r="AD3046">
        <v>-3.1571999999999899E-2</v>
      </c>
      <c r="AE3046">
        <v>4.6000000000006397E-2</v>
      </c>
      <c r="AF3046">
        <v>-0.54780396769388895</v>
      </c>
      <c r="AG3046">
        <v>-3.1571999999999899E-2</v>
      </c>
      <c r="AH3046">
        <v>0.43609549372140599</v>
      </c>
      <c r="AI3046">
        <v>92.581746969388703</v>
      </c>
      <c r="AJ3046">
        <v>141.477423243788</v>
      </c>
      <c r="AK3046">
        <v>0.70090317294850601</v>
      </c>
    </row>
    <row r="3047" spans="1:37" x14ac:dyDescent="0.2">
      <c r="A3047" t="str">
        <f>"20200111150702478"</f>
        <v>20200111150702478</v>
      </c>
      <c r="B3047" t="str">
        <f>"1578726422470197"</f>
        <v>1578726422470197</v>
      </c>
      <c r="C3047" t="s">
        <v>37</v>
      </c>
      <c r="D3047">
        <v>5.1707720000000004</v>
      </c>
      <c r="E3047">
        <v>0.39142359999999998</v>
      </c>
      <c r="F3047" t="s">
        <v>38</v>
      </c>
      <c r="G3047">
        <v>-190.27109999999999</v>
      </c>
      <c r="H3047">
        <v>1.087879</v>
      </c>
      <c r="I3047">
        <v>126.762999999999</v>
      </c>
      <c r="J3047">
        <v>-189.59110000000001</v>
      </c>
      <c r="K3047">
        <v>1.115289</v>
      </c>
      <c r="L3047">
        <v>126.742</v>
      </c>
      <c r="M3047">
        <v>-0.59512670000000001</v>
      </c>
      <c r="N3047">
        <v>0</v>
      </c>
      <c r="O3047">
        <v>0.80348779999999997</v>
      </c>
      <c r="P3047">
        <v>-0.80182769999999903</v>
      </c>
      <c r="Q3047">
        <v>0.18348739999999999</v>
      </c>
      <c r="R3047">
        <v>0.56868699999999905</v>
      </c>
      <c r="S3047">
        <v>-2.9576720000000001</v>
      </c>
      <c r="T3047">
        <v>-8.3010669999999995E-2</v>
      </c>
      <c r="U3047">
        <v>1.1669769999999999</v>
      </c>
      <c r="V3047">
        <v>-0.31126359999999997</v>
      </c>
      <c r="W3047">
        <v>0.18904939999999901</v>
      </c>
      <c r="X3047">
        <v>0.93132990000000004</v>
      </c>
      <c r="Y3047">
        <v>-0.52869299999999997</v>
      </c>
      <c r="Z3047">
        <v>-2.5417169999999999E-2</v>
      </c>
      <c r="AA3047">
        <v>0.84843250000000003</v>
      </c>
      <c r="AB3047">
        <v>26</v>
      </c>
      <c r="AC3047">
        <v>-0.67999999999997796</v>
      </c>
      <c r="AD3047">
        <v>-2.74099999999999E-2</v>
      </c>
      <c r="AE3047">
        <v>2.0999999999986502E-2</v>
      </c>
      <c r="AF3047">
        <v>-0.53307055917733803</v>
      </c>
      <c r="AG3047">
        <v>-2.74099999999999E-2</v>
      </c>
      <c r="AH3047">
        <v>0.420924949991553</v>
      </c>
      <c r="AI3047">
        <v>92.310918170374705</v>
      </c>
      <c r="AJ3047">
        <v>141.704555217261</v>
      </c>
      <c r="AK3047">
        <v>0.67977447928488099</v>
      </c>
    </row>
    <row r="3048" spans="1:37" x14ac:dyDescent="0.2">
      <c r="A3048" t="str">
        <f>"20200111150702502"</f>
        <v>20200111150702502</v>
      </c>
      <c r="B3048" t="str">
        <f>"1578726422489717"</f>
        <v>1578726422489717</v>
      </c>
      <c r="C3048" t="s">
        <v>37</v>
      </c>
      <c r="D3048">
        <v>5.2386109999999997</v>
      </c>
      <c r="E3048">
        <v>0.39202090000000001</v>
      </c>
      <c r="F3048" t="s">
        <v>38</v>
      </c>
      <c r="G3048">
        <v>-190.63980000000001</v>
      </c>
      <c r="H3048">
        <v>1.0902240000000001</v>
      </c>
      <c r="I3048">
        <v>127.12260000000001</v>
      </c>
      <c r="J3048">
        <v>-189.76730000000001</v>
      </c>
      <c r="K3048">
        <v>1.11527</v>
      </c>
      <c r="L3048">
        <v>126.94750000000001</v>
      </c>
      <c r="M3048">
        <v>-0.60926159999999996</v>
      </c>
      <c r="N3048">
        <v>0</v>
      </c>
      <c r="O3048">
        <v>0.79282330000000001</v>
      </c>
      <c r="P3048">
        <v>-0.81180259999999904</v>
      </c>
      <c r="Q3048">
        <v>0.1830686</v>
      </c>
      <c r="R3048">
        <v>0.55449289999999996</v>
      </c>
      <c r="S3048">
        <v>-2.9885250000000001</v>
      </c>
      <c r="T3048">
        <v>-7.1434860000000003E-2</v>
      </c>
      <c r="U3048">
        <v>1.0846709999999999</v>
      </c>
      <c r="V3048">
        <v>-0.31121090000000001</v>
      </c>
      <c r="W3048">
        <v>0.1886457</v>
      </c>
      <c r="X3048">
        <v>0.93142930000000002</v>
      </c>
      <c r="Y3048">
        <v>-0.53718859999999902</v>
      </c>
      <c r="Z3048">
        <v>-2.1801839999999999E-2</v>
      </c>
      <c r="AA3048">
        <v>0.84318040000000005</v>
      </c>
      <c r="AB3048">
        <v>26</v>
      </c>
      <c r="AC3048">
        <v>-0.87250000000000205</v>
      </c>
      <c r="AD3048">
        <v>-2.5045999999999902E-2</v>
      </c>
      <c r="AE3048">
        <v>0.17510000000000001</v>
      </c>
      <c r="AF3048">
        <v>-0.58466123154570304</v>
      </c>
      <c r="AG3048">
        <v>-2.5045999999999902E-2</v>
      </c>
      <c r="AH3048">
        <v>0.669951034957463</v>
      </c>
      <c r="AI3048">
        <v>91.613431180816207</v>
      </c>
      <c r="AJ3048">
        <v>131.110958891845</v>
      </c>
      <c r="AK3048">
        <v>0.88954507869422506</v>
      </c>
    </row>
    <row r="3049" spans="1:37" x14ac:dyDescent="0.2">
      <c r="A3049" t="str">
        <f>"20200111150702522"</f>
        <v>20200111150702522</v>
      </c>
      <c r="B3049" t="str">
        <f>"1578726422519973"</f>
        <v>1578726422519973</v>
      </c>
      <c r="C3049" t="s">
        <v>37</v>
      </c>
      <c r="D3049">
        <v>5.2210779999999897</v>
      </c>
      <c r="E3049">
        <v>0.39215699999999998</v>
      </c>
      <c r="F3049" t="s">
        <v>38</v>
      </c>
      <c r="G3049">
        <v>-190.7835</v>
      </c>
      <c r="H3049">
        <v>1.0895079999999999</v>
      </c>
      <c r="I3049">
        <v>127.2979</v>
      </c>
      <c r="J3049">
        <v>-189.9212</v>
      </c>
      <c r="K3049">
        <v>1.1152439999999999</v>
      </c>
      <c r="L3049">
        <v>127.12130000000001</v>
      </c>
      <c r="M3049">
        <v>-0.62124169999999901</v>
      </c>
      <c r="N3049">
        <v>0</v>
      </c>
      <c r="O3049">
        <v>0.78347129999999998</v>
      </c>
      <c r="P3049">
        <v>-0.81954559999999999</v>
      </c>
      <c r="Q3049">
        <v>0.18177399999999999</v>
      </c>
      <c r="R3049">
        <v>0.54341799999999996</v>
      </c>
      <c r="S3049">
        <v>-3.0050050000000001</v>
      </c>
      <c r="T3049">
        <v>-7.6156260000000003E-2</v>
      </c>
      <c r="U3049">
        <v>1.036011</v>
      </c>
      <c r="V3049">
        <v>-0.30987949999999997</v>
      </c>
      <c r="W3049">
        <v>0.187408399999999</v>
      </c>
      <c r="X3049">
        <v>0.93212269999999897</v>
      </c>
      <c r="Y3049">
        <v>-0.53795950000000003</v>
      </c>
      <c r="Z3049">
        <v>-2.3114389999999999E-2</v>
      </c>
      <c r="AA3049">
        <v>0.84265380000000001</v>
      </c>
      <c r="AB3049">
        <v>26</v>
      </c>
      <c r="AC3049">
        <v>-0.86230000000000395</v>
      </c>
      <c r="AD3049">
        <v>-2.57360000000002E-2</v>
      </c>
      <c r="AE3049">
        <v>0.17659999999999301</v>
      </c>
      <c r="AF3049">
        <v>-0.56545810480899295</v>
      </c>
      <c r="AG3049">
        <v>-2.57360000000002E-2</v>
      </c>
      <c r="AH3049">
        <v>0.67355994173505096</v>
      </c>
      <c r="AI3049">
        <v>91.6762176451671</v>
      </c>
      <c r="AJ3049">
        <v>130.01368498754599</v>
      </c>
      <c r="AK3049">
        <v>0.87982282597140204</v>
      </c>
    </row>
    <row r="3050" spans="1:37" x14ac:dyDescent="0.2">
      <c r="A3050" t="str">
        <f>"20200111150702546"</f>
        <v>20200111150702546</v>
      </c>
      <c r="B3050" t="str">
        <f>"1578726422540468"</f>
        <v>1578726422540468</v>
      </c>
      <c r="C3050" t="s">
        <v>37</v>
      </c>
      <c r="D3050">
        <v>5.1416779999999997</v>
      </c>
      <c r="E3050">
        <v>0.39215129999999998</v>
      </c>
      <c r="F3050" t="s">
        <v>38</v>
      </c>
      <c r="G3050">
        <v>-190.90639999999999</v>
      </c>
      <c r="H3050">
        <v>1.0892440000000001</v>
      </c>
      <c r="I3050">
        <v>127.446</v>
      </c>
      <c r="J3050">
        <v>-190.10040000000001</v>
      </c>
      <c r="K3050">
        <v>1.1152200000000001</v>
      </c>
      <c r="L3050">
        <v>127.3171</v>
      </c>
      <c r="M3050">
        <v>-0.63475979999999999</v>
      </c>
      <c r="N3050">
        <v>0</v>
      </c>
      <c r="O3050">
        <v>0.77255980000000002</v>
      </c>
      <c r="P3050">
        <v>-0.82662979999999997</v>
      </c>
      <c r="Q3050">
        <v>0.18032129999999999</v>
      </c>
      <c r="R3050">
        <v>0.53307340000000003</v>
      </c>
      <c r="S3050">
        <v>-3.0186310000000001</v>
      </c>
      <c r="T3050">
        <v>-7.9669950000000003E-2</v>
      </c>
      <c r="U3050">
        <v>0.9947357</v>
      </c>
      <c r="V3050">
        <v>-0.30558269999999998</v>
      </c>
      <c r="W3050">
        <v>0.18611269999999999</v>
      </c>
      <c r="X3050">
        <v>0.93379939999999995</v>
      </c>
      <c r="Y3050">
        <v>-0.53480890000000003</v>
      </c>
      <c r="Z3050">
        <v>-2.397577E-2</v>
      </c>
      <c r="AA3050">
        <v>0.84463279999999996</v>
      </c>
      <c r="AB3050">
        <v>26</v>
      </c>
      <c r="AC3050">
        <v>-0.80599999999998295</v>
      </c>
      <c r="AD3050">
        <v>-2.5975999999999999E-2</v>
      </c>
      <c r="AE3050">
        <v>0.12890000000000101</v>
      </c>
      <c r="AF3050">
        <v>-0.54037796300720398</v>
      </c>
      <c r="AG3050">
        <v>-2.5975999999999999E-2</v>
      </c>
      <c r="AH3050">
        <v>0.61065162676159901</v>
      </c>
      <c r="AI3050">
        <v>91.824604205672799</v>
      </c>
      <c r="AJ3050">
        <v>131.506264635934</v>
      </c>
      <c r="AK3050">
        <v>0.81582994842454903</v>
      </c>
    </row>
    <row r="3051" spans="1:37" x14ac:dyDescent="0.2">
      <c r="A3051" t="str">
        <f>"20200111150702590"</f>
        <v>20200111150702590</v>
      </c>
      <c r="B3051" t="str">
        <f>"1578726422580485"</f>
        <v>1578726422580485</v>
      </c>
      <c r="C3051" t="s">
        <v>37</v>
      </c>
      <c r="D3051">
        <v>5.150182</v>
      </c>
      <c r="E3051">
        <v>0.39272829999999997</v>
      </c>
      <c r="F3051" t="s">
        <v>38</v>
      </c>
      <c r="G3051">
        <v>-191.07650000000001</v>
      </c>
      <c r="H3051">
        <v>1.088557</v>
      </c>
      <c r="I3051">
        <v>127.62479999999999</v>
      </c>
      <c r="J3051">
        <v>-190.43790000000001</v>
      </c>
      <c r="K3051">
        <v>1.1151770000000001</v>
      </c>
      <c r="L3051">
        <v>127.6682</v>
      </c>
      <c r="M3051">
        <v>-0.65906330000000002</v>
      </c>
      <c r="N3051">
        <v>0</v>
      </c>
      <c r="O3051">
        <v>0.75193369999999904</v>
      </c>
      <c r="P3051">
        <v>-0.83739589999999997</v>
      </c>
      <c r="Q3051">
        <v>0.1736106</v>
      </c>
      <c r="R3051">
        <v>0.5182928</v>
      </c>
      <c r="S3051">
        <v>-3.0310969999999999</v>
      </c>
      <c r="T3051">
        <v>-8.2791569999999995E-2</v>
      </c>
      <c r="U3051">
        <v>0.95544430000000002</v>
      </c>
      <c r="V3051">
        <v>-0.29321419999999998</v>
      </c>
      <c r="W3051">
        <v>0.179845</v>
      </c>
      <c r="X3051">
        <v>0.9389788</v>
      </c>
      <c r="Y3051">
        <v>-0.51871650000000002</v>
      </c>
      <c r="Z3051">
        <v>-2.4386910000000001E-2</v>
      </c>
      <c r="AA3051">
        <v>0.85459850000000004</v>
      </c>
      <c r="AB3051">
        <v>26</v>
      </c>
      <c r="AC3051">
        <v>-0.63859999999999595</v>
      </c>
      <c r="AD3051">
        <v>-2.6620000000000001E-2</v>
      </c>
      <c r="AE3051">
        <v>-4.34000000000054E-2</v>
      </c>
      <c r="AF3051">
        <v>-0.50796844870234104</v>
      </c>
      <c r="AG3051">
        <v>-2.6620000000000001E-2</v>
      </c>
      <c r="AH3051">
        <v>0.38761836239729303</v>
      </c>
      <c r="AI3051">
        <v>92.385616295205907</v>
      </c>
      <c r="AJ3051">
        <v>142.653628398363</v>
      </c>
      <c r="AK3051">
        <v>0.63952213733742103</v>
      </c>
    </row>
    <row r="3052" spans="1:37" x14ac:dyDescent="0.2">
      <c r="A3052" t="str">
        <f>"20200111150702612"</f>
        <v>20200111150702612</v>
      </c>
      <c r="B3052" t="str">
        <f>"1578726422609765"</f>
        <v>1578726422609765</v>
      </c>
      <c r="C3052" t="s">
        <v>37</v>
      </c>
      <c r="D3052">
        <v>5.0828509999999998</v>
      </c>
      <c r="E3052">
        <v>0.39344950000000001</v>
      </c>
      <c r="F3052" t="s">
        <v>38</v>
      </c>
      <c r="G3052">
        <v>-191.28360000000001</v>
      </c>
      <c r="H3052">
        <v>1.084832</v>
      </c>
      <c r="I3052">
        <v>127.9198</v>
      </c>
      <c r="J3052">
        <v>-190.6182</v>
      </c>
      <c r="K3052">
        <v>1.115137</v>
      </c>
      <c r="L3052">
        <v>127.84699999999999</v>
      </c>
      <c r="M3052">
        <v>-0.67146919999999899</v>
      </c>
      <c r="N3052">
        <v>0</v>
      </c>
      <c r="O3052">
        <v>0.7408766</v>
      </c>
      <c r="P3052">
        <v>-0.84367420000000004</v>
      </c>
      <c r="Q3052">
        <v>0.16831199999999999</v>
      </c>
      <c r="R3052">
        <v>0.50978900000000005</v>
      </c>
      <c r="S3052">
        <v>-3.0447540000000002</v>
      </c>
      <c r="T3052">
        <v>-0.10920239999999901</v>
      </c>
      <c r="U3052">
        <v>0.9054565</v>
      </c>
      <c r="V3052">
        <v>-0.28773109999999902</v>
      </c>
      <c r="W3052">
        <v>0.17474999999999999</v>
      </c>
      <c r="X3052">
        <v>0.94163330000000001</v>
      </c>
      <c r="Y3052">
        <v>-0.51817849999999999</v>
      </c>
      <c r="Z3052">
        <v>-3.1908850000000002E-2</v>
      </c>
      <c r="AA3052">
        <v>0.85467709999999997</v>
      </c>
      <c r="AB3052">
        <v>26</v>
      </c>
      <c r="AC3052">
        <v>-0.66540000000000499</v>
      </c>
      <c r="AD3052">
        <v>-3.0304999999999999E-2</v>
      </c>
      <c r="AE3052">
        <v>7.2799999999986598E-2</v>
      </c>
      <c r="AF3052">
        <v>-0.44323911110675801</v>
      </c>
      <c r="AG3052">
        <v>-3.0304999999999999E-2</v>
      </c>
      <c r="AH3052">
        <v>0.49976488101546401</v>
      </c>
      <c r="AI3052">
        <v>92.597537821540996</v>
      </c>
      <c r="AJ3052">
        <v>131.56966728544501</v>
      </c>
      <c r="AK3052">
        <v>0.66868844683911699</v>
      </c>
    </row>
    <row r="3053" spans="1:37" x14ac:dyDescent="0.2">
      <c r="A3053" t="str">
        <f>"20200111150702635"</f>
        <v>20200111150702635</v>
      </c>
      <c r="B3053" t="str">
        <f>"1578726422630261"</f>
        <v>1578726422630261</v>
      </c>
      <c r="C3053" t="s">
        <v>37</v>
      </c>
      <c r="D3053">
        <v>5.1470219999999998</v>
      </c>
      <c r="E3053">
        <v>0.3936133</v>
      </c>
      <c r="F3053" t="s">
        <v>38</v>
      </c>
      <c r="G3053">
        <v>-191.4333</v>
      </c>
      <c r="H3053">
        <v>1.081399</v>
      </c>
      <c r="I3053">
        <v>128.08090000000001</v>
      </c>
      <c r="J3053">
        <v>-190.79689999999999</v>
      </c>
      <c r="K3053">
        <v>1.1151089999999999</v>
      </c>
      <c r="L3053">
        <v>128.0181</v>
      </c>
      <c r="M3053">
        <v>-0.68332680000000001</v>
      </c>
      <c r="N3053">
        <v>0</v>
      </c>
      <c r="O3053">
        <v>0.72995459999999901</v>
      </c>
      <c r="P3053">
        <v>-0.84903719999999905</v>
      </c>
      <c r="Q3053">
        <v>0.16573950000000001</v>
      </c>
      <c r="R3053">
        <v>0.50166339999999998</v>
      </c>
      <c r="S3053">
        <v>-3.0521389999999999</v>
      </c>
      <c r="T3053">
        <v>-0.1263167</v>
      </c>
      <c r="U3053">
        <v>0.87536619999999998</v>
      </c>
      <c r="V3053">
        <v>-0.28184940000000003</v>
      </c>
      <c r="W3053">
        <v>0.17239640000000001</v>
      </c>
      <c r="X3053">
        <v>0.9438434</v>
      </c>
      <c r="Y3053">
        <v>-0.51250949999999995</v>
      </c>
      <c r="Z3053">
        <v>-3.6521430000000001E-2</v>
      </c>
      <c r="AA3053">
        <v>0.85790460000000002</v>
      </c>
      <c r="AB3053">
        <v>26</v>
      </c>
      <c r="AC3053">
        <v>-0.63640000000000896</v>
      </c>
      <c r="AD3053">
        <v>-3.37099999999999E-2</v>
      </c>
      <c r="AE3053">
        <v>6.2800000000009903E-2</v>
      </c>
      <c r="AF3053">
        <v>-0.42051035115586299</v>
      </c>
      <c r="AG3053">
        <v>-3.37099999999999E-2</v>
      </c>
      <c r="AH3053">
        <v>0.47943357661965902</v>
      </c>
      <c r="AI3053">
        <v>93.025854364049707</v>
      </c>
      <c r="AJ3053">
        <v>131.25394410832001</v>
      </c>
      <c r="AK3053">
        <v>0.638609328086856</v>
      </c>
    </row>
    <row r="3054" spans="1:37" x14ac:dyDescent="0.2">
      <c r="A3054" t="str">
        <f>"20200111150702657"</f>
        <v>20200111150702657</v>
      </c>
      <c r="B3054" t="str">
        <f>"1578726422649781"</f>
        <v>1578726422649781</v>
      </c>
      <c r="C3054" t="s">
        <v>37</v>
      </c>
      <c r="D3054">
        <v>5.1318970000000004</v>
      </c>
      <c r="E3054">
        <v>0.39394449999999998</v>
      </c>
      <c r="F3054" t="s">
        <v>38</v>
      </c>
      <c r="G3054">
        <v>-191.8098</v>
      </c>
      <c r="H3054">
        <v>1.071488</v>
      </c>
      <c r="I3054">
        <v>128.29740000000001</v>
      </c>
      <c r="J3054">
        <v>-190.9804</v>
      </c>
      <c r="K3054">
        <v>1.1150389999999999</v>
      </c>
      <c r="L3054">
        <v>128.1883</v>
      </c>
      <c r="M3054">
        <v>-0.69505269999999997</v>
      </c>
      <c r="N3054">
        <v>0</v>
      </c>
      <c r="O3054">
        <v>0.71879869999999901</v>
      </c>
      <c r="P3054">
        <v>-0.85290889999999997</v>
      </c>
      <c r="Q3054">
        <v>0.167239</v>
      </c>
      <c r="R3054">
        <v>0.49454799999999899</v>
      </c>
      <c r="S3054">
        <v>-3.0606080000000002</v>
      </c>
      <c r="T3054">
        <v>-0.13178519999999999</v>
      </c>
      <c r="U3054">
        <v>0.84376530000000005</v>
      </c>
      <c r="V3054">
        <v>-0.27422999999999997</v>
      </c>
      <c r="W3054">
        <v>0.17417669999999999</v>
      </c>
      <c r="X3054">
        <v>0.94575919999999902</v>
      </c>
      <c r="Y3054">
        <v>-0.50738260000000002</v>
      </c>
      <c r="Z3054">
        <v>-3.7684769999999999E-2</v>
      </c>
      <c r="AA3054">
        <v>0.86089649999999995</v>
      </c>
      <c r="AB3054">
        <v>26</v>
      </c>
      <c r="AC3054">
        <v>-0.82939999999999203</v>
      </c>
      <c r="AD3054">
        <v>-4.3550999999999798E-2</v>
      </c>
      <c r="AE3054">
        <v>0.10910000000001201</v>
      </c>
      <c r="AF3054">
        <v>-0.51899465398256095</v>
      </c>
      <c r="AG3054">
        <v>-4.3550999999999798E-2</v>
      </c>
      <c r="AH3054">
        <v>0.653202653243938</v>
      </c>
      <c r="AI3054">
        <v>92.988223152618701</v>
      </c>
      <c r="AJ3054">
        <v>128.46849372206901</v>
      </c>
      <c r="AK3054">
        <v>0.83541956325453504</v>
      </c>
    </row>
    <row r="3055" spans="1:37" x14ac:dyDescent="0.2">
      <c r="A3055" t="str">
        <f>"20200111150702680"</f>
        <v>20200111150702680</v>
      </c>
      <c r="B3055" t="str">
        <f>"1578726422670278"</f>
        <v>1578726422670278</v>
      </c>
      <c r="C3055" t="s">
        <v>37</v>
      </c>
      <c r="D3055">
        <v>5.081372</v>
      </c>
      <c r="E3055">
        <v>0.39428759999999902</v>
      </c>
      <c r="F3055" t="s">
        <v>38</v>
      </c>
      <c r="G3055">
        <v>-191.9665</v>
      </c>
      <c r="H3055">
        <v>1.074837</v>
      </c>
      <c r="I3055">
        <v>128.45150000000001</v>
      </c>
      <c r="J3055">
        <v>-191.17160000000001</v>
      </c>
      <c r="K3055">
        <v>1.114886</v>
      </c>
      <c r="L3055">
        <v>128.36019999999999</v>
      </c>
      <c r="M3055">
        <v>-0.70678369999999902</v>
      </c>
      <c r="N3055">
        <v>0</v>
      </c>
      <c r="O3055">
        <v>0.7072676</v>
      </c>
      <c r="P3055">
        <v>-0.85577139999999996</v>
      </c>
      <c r="Q3055">
        <v>0.16767770000000001</v>
      </c>
      <c r="R3055">
        <v>0.48942780000000002</v>
      </c>
      <c r="S3055">
        <v>-3.0673219999999999</v>
      </c>
      <c r="T3055">
        <v>-0.12504660000000001</v>
      </c>
      <c r="U3055">
        <v>0.81846619999999903</v>
      </c>
      <c r="V3055">
        <v>-0.26419690000000001</v>
      </c>
      <c r="W3055">
        <v>0.17498520000000001</v>
      </c>
      <c r="X3055">
        <v>0.94846200000000003</v>
      </c>
      <c r="Y3055">
        <v>-0.50039350000000005</v>
      </c>
      <c r="Z3055">
        <v>-3.531252E-2</v>
      </c>
      <c r="AA3055">
        <v>0.86507769999999995</v>
      </c>
      <c r="AB3055">
        <v>26</v>
      </c>
      <c r="AC3055">
        <v>-0.79489999999998395</v>
      </c>
      <c r="AD3055">
        <v>-4.0049000000000001E-2</v>
      </c>
      <c r="AE3055">
        <v>9.1300000000018103E-2</v>
      </c>
      <c r="AF3055">
        <v>-0.49649086477791698</v>
      </c>
      <c r="AG3055">
        <v>-4.0049000000000001E-2</v>
      </c>
      <c r="AH3055">
        <v>0.62490214542371403</v>
      </c>
      <c r="AI3055">
        <v>92.872622013055306</v>
      </c>
      <c r="AJ3055">
        <v>128.467485028162</v>
      </c>
      <c r="AK3055">
        <v>0.79913064799448497</v>
      </c>
    </row>
    <row r="3056" spans="1:37" x14ac:dyDescent="0.2">
      <c r="A3056" t="str">
        <f>"20200111150702701"</f>
        <v>20200111150702701</v>
      </c>
      <c r="B3056" t="str">
        <f>"1578726422689797"</f>
        <v>1578726422689797</v>
      </c>
      <c r="C3056" t="s">
        <v>37</v>
      </c>
      <c r="D3056">
        <v>5.1834680000000004</v>
      </c>
      <c r="E3056">
        <v>0.39457609999999999</v>
      </c>
      <c r="F3056" t="s">
        <v>38</v>
      </c>
      <c r="G3056">
        <v>-192.1223</v>
      </c>
      <c r="H3056">
        <v>1.07643</v>
      </c>
      <c r="I3056">
        <v>128.60839999999999</v>
      </c>
      <c r="J3056">
        <v>-191.35390000000001</v>
      </c>
      <c r="K3056">
        <v>1.1146510000000001</v>
      </c>
      <c r="L3056">
        <v>128.51929999999999</v>
      </c>
      <c r="M3056">
        <v>-0.7174587</v>
      </c>
      <c r="N3056">
        <v>0</v>
      </c>
      <c r="O3056">
        <v>0.69643719999999998</v>
      </c>
      <c r="P3056">
        <v>-0.85600350000000003</v>
      </c>
      <c r="Q3056">
        <v>0.1685091</v>
      </c>
      <c r="R3056">
        <v>0.48873610000000001</v>
      </c>
      <c r="S3056">
        <v>-3.071167</v>
      </c>
      <c r="T3056">
        <v>-0.12424159999999999</v>
      </c>
      <c r="U3056">
        <v>0.80220029999999998</v>
      </c>
      <c r="V3056">
        <v>-0.2503068</v>
      </c>
      <c r="W3056">
        <v>0.1763188</v>
      </c>
      <c r="X3056">
        <v>0.95197589999999999</v>
      </c>
      <c r="Y3056">
        <v>-0.49178059999999901</v>
      </c>
      <c r="Z3056">
        <v>-3.4629489999999999E-2</v>
      </c>
      <c r="AA3056">
        <v>0.87003019999999998</v>
      </c>
      <c r="AB3056">
        <v>26</v>
      </c>
      <c r="AC3056">
        <v>-0.76839999999998498</v>
      </c>
      <c r="AD3056">
        <v>-3.8220999999999998E-2</v>
      </c>
      <c r="AE3056">
        <v>8.91000000000019E-2</v>
      </c>
      <c r="AF3056">
        <v>-0.470122827416808</v>
      </c>
      <c r="AG3056">
        <v>-3.8220999999999998E-2</v>
      </c>
      <c r="AH3056">
        <v>0.61192391031180304</v>
      </c>
      <c r="AI3056">
        <v>92.835576028282205</v>
      </c>
      <c r="AJ3056">
        <v>127.533994534698</v>
      </c>
      <c r="AK3056">
        <v>0.77261063266736196</v>
      </c>
    </row>
    <row r="3057" spans="1:37" x14ac:dyDescent="0.2">
      <c r="A3057" t="str">
        <f>"20200111150702747"</f>
        <v>20200111150702747</v>
      </c>
      <c r="B3057" t="str">
        <f>"1578726422740549"</f>
        <v>1578726422740549</v>
      </c>
      <c r="C3057" t="s">
        <v>37</v>
      </c>
      <c r="D3057">
        <v>5.1461069999999998</v>
      </c>
      <c r="E3057">
        <v>0.3946885</v>
      </c>
      <c r="F3057" t="s">
        <v>38</v>
      </c>
      <c r="G3057">
        <v>-192.28149999999999</v>
      </c>
      <c r="H3057">
        <v>1.076819</v>
      </c>
      <c r="I3057">
        <v>128.76220000000001</v>
      </c>
      <c r="J3057">
        <v>-191.74119999999999</v>
      </c>
      <c r="K3057">
        <v>1.1138349999999999</v>
      </c>
      <c r="L3057">
        <v>128.84379999999999</v>
      </c>
      <c r="M3057">
        <v>-0.73807349999999905</v>
      </c>
      <c r="N3057">
        <v>0</v>
      </c>
      <c r="O3057">
        <v>0.67455480000000001</v>
      </c>
      <c r="P3057">
        <v>-0.85145179999999998</v>
      </c>
      <c r="Q3057">
        <v>0.16899400000000001</v>
      </c>
      <c r="R3057">
        <v>0.49645839999999902</v>
      </c>
      <c r="S3057">
        <v>-3.0703130000000001</v>
      </c>
      <c r="T3057">
        <v>-0.12521740000000001</v>
      </c>
      <c r="U3057">
        <v>0.8038788</v>
      </c>
      <c r="V3057">
        <v>-0.21241579999999999</v>
      </c>
      <c r="W3057">
        <v>0.17818239999999999</v>
      </c>
      <c r="X3057">
        <v>0.96079680000000001</v>
      </c>
      <c r="Y3057">
        <v>-0.46489469999999999</v>
      </c>
      <c r="Z3057">
        <v>-3.3781810000000002E-2</v>
      </c>
      <c r="AA3057">
        <v>0.88472129999999904</v>
      </c>
      <c r="AB3057">
        <v>26</v>
      </c>
      <c r="AC3057">
        <v>-0.540300000000002</v>
      </c>
      <c r="AD3057">
        <v>-3.7016000000000097E-2</v>
      </c>
      <c r="AE3057">
        <v>-8.1599999999980299E-2</v>
      </c>
      <c r="AF3057">
        <v>-0.42279599244841898</v>
      </c>
      <c r="AG3057">
        <v>-3.7016000000000097E-2</v>
      </c>
      <c r="AH3057">
        <v>0.34220546265000701</v>
      </c>
      <c r="AI3057">
        <v>93.893132159751005</v>
      </c>
      <c r="AJ3057">
        <v>141.013751256196</v>
      </c>
      <c r="AK3057">
        <v>0.54518915447204996</v>
      </c>
    </row>
    <row r="3058" spans="1:37" x14ac:dyDescent="0.2">
      <c r="A3058" t="str">
        <f>"20200111150702768"</f>
        <v>20200111150702768</v>
      </c>
      <c r="B3058" t="str">
        <f>"1578726422760069"</f>
        <v>1578726422760069</v>
      </c>
      <c r="C3058" t="s">
        <v>37</v>
      </c>
      <c r="D3058">
        <v>5.217905</v>
      </c>
      <c r="E3058">
        <v>0.52744440000000004</v>
      </c>
      <c r="F3058" t="s">
        <v>38</v>
      </c>
      <c r="G3058">
        <v>-192.6782</v>
      </c>
      <c r="H3058">
        <v>1.074074</v>
      </c>
      <c r="I3058">
        <v>129.1002</v>
      </c>
      <c r="J3058">
        <v>-191.93440000000001</v>
      </c>
      <c r="K3058">
        <v>1.113183</v>
      </c>
      <c r="L3058">
        <v>129.00020000000001</v>
      </c>
      <c r="M3058">
        <v>-0.74713079999999998</v>
      </c>
      <c r="N3058">
        <v>0</v>
      </c>
      <c r="O3058">
        <v>0.66451179999999999</v>
      </c>
      <c r="P3058">
        <v>-0.84611429999999999</v>
      </c>
      <c r="Q3058">
        <v>0.169212</v>
      </c>
      <c r="R3058">
        <v>0.5054284</v>
      </c>
      <c r="S3058">
        <v>-3.0610499999999998</v>
      </c>
      <c r="T3058">
        <v>-0.1298588</v>
      </c>
      <c r="U3058">
        <v>0.83711239999999998</v>
      </c>
      <c r="V3058">
        <v>-0.18885450000000001</v>
      </c>
      <c r="W3058">
        <v>0.17921500000000001</v>
      </c>
      <c r="X3058">
        <v>0.96551330000000002</v>
      </c>
      <c r="Y3058">
        <v>-0.44313229999999998</v>
      </c>
      <c r="Z3058">
        <v>-3.4322279999999997E-2</v>
      </c>
      <c r="AA3058">
        <v>0.89579900000000001</v>
      </c>
      <c r="AB3058">
        <v>26</v>
      </c>
      <c r="AC3058">
        <v>-0.74379999999999302</v>
      </c>
      <c r="AD3058">
        <v>-3.9108999999999998E-2</v>
      </c>
      <c r="AE3058">
        <v>9.9999999999994302E-2</v>
      </c>
      <c r="AF3058">
        <v>-0.41846051934244899</v>
      </c>
      <c r="AG3058">
        <v>-3.9108999999999998E-2</v>
      </c>
      <c r="AH3058">
        <v>0.62055025705869904</v>
      </c>
      <c r="AI3058">
        <v>92.991136063444898</v>
      </c>
      <c r="AJ3058">
        <v>123.99327824715699</v>
      </c>
      <c r="AK3058">
        <v>0.74948071467181199</v>
      </c>
    </row>
    <row r="3059" spans="1:37" x14ac:dyDescent="0.2">
      <c r="A3059" t="str">
        <f>"20200111150702791"</f>
        <v>20200111150702791</v>
      </c>
      <c r="B3059" t="str">
        <f>"1578726422780565"</f>
        <v>1578726422780565</v>
      </c>
      <c r="C3059" t="s">
        <v>37</v>
      </c>
      <c r="D3059">
        <v>5.0983599999999996</v>
      </c>
      <c r="E3059">
        <v>0.53196449999999995</v>
      </c>
      <c r="F3059" t="s">
        <v>39</v>
      </c>
      <c r="G3059">
        <v>-222.80430000000001</v>
      </c>
      <c r="H3059">
        <v>7.9986269999999998E-2</v>
      </c>
      <c r="I3059">
        <v>150.86099999999999</v>
      </c>
      <c r="J3059">
        <v>-192.1251</v>
      </c>
      <c r="K3059">
        <v>1.1124149999999999</v>
      </c>
      <c r="L3059">
        <v>129.15180000000001</v>
      </c>
      <c r="M3059">
        <v>-0.75520159999999903</v>
      </c>
      <c r="N3059">
        <v>0</v>
      </c>
      <c r="O3059">
        <v>0.65532819999999903</v>
      </c>
      <c r="P3059">
        <v>-0.84015699999999904</v>
      </c>
      <c r="Q3059">
        <v>0.16852029999999901</v>
      </c>
      <c r="R3059">
        <v>0.51549699999999998</v>
      </c>
      <c r="S3059">
        <v>-2.5033720000000002</v>
      </c>
      <c r="T3059">
        <v>-8.3786490000000005E-2</v>
      </c>
      <c r="U3059">
        <v>1.772797</v>
      </c>
      <c r="V3059">
        <v>-0.16515239999999901</v>
      </c>
      <c r="W3059">
        <v>0.17929619999999999</v>
      </c>
      <c r="X3059">
        <v>0.96983379999999997</v>
      </c>
      <c r="Y3059">
        <v>-9.8145609999999994E-2</v>
      </c>
      <c r="Z3059">
        <v>-1.891149E-2</v>
      </c>
      <c r="AA3059">
        <v>0.9949924</v>
      </c>
      <c r="AB3059">
        <v>26</v>
      </c>
      <c r="AC3059">
        <v>-30.679200000000002</v>
      </c>
      <c r="AD3059">
        <v>-1.0324287299999999</v>
      </c>
      <c r="AE3059">
        <v>21.7091999999999</v>
      </c>
      <c r="AF3059">
        <v>-3.70772421780948</v>
      </c>
      <c r="AG3059">
        <v>-1.0324287299999999</v>
      </c>
      <c r="AH3059">
        <v>37.371460379508299</v>
      </c>
      <c r="AI3059">
        <v>91.574730747562398</v>
      </c>
      <c r="AJ3059">
        <v>95.665928430271094</v>
      </c>
      <c r="AK3059">
        <v>37.569125340564199</v>
      </c>
    </row>
    <row r="3060" spans="1:37" x14ac:dyDescent="0.2">
      <c r="A3060" t="str">
        <f>"20200111150702836"</f>
        <v>20200111150702836</v>
      </c>
      <c r="B3060" t="str">
        <f>"1578726422830341"</f>
        <v>1578726422830341</v>
      </c>
      <c r="C3060" t="s">
        <v>37</v>
      </c>
      <c r="D3060">
        <v>5.1206319999999996</v>
      </c>
      <c r="E3060">
        <v>0.53182640000000003</v>
      </c>
      <c r="F3060" t="s">
        <v>78</v>
      </c>
      <c r="G3060">
        <v>-209.59010000000001</v>
      </c>
      <c r="H3060" s="1">
        <v>-6.2169669999999997E-6</v>
      </c>
      <c r="I3060">
        <v>142.1429</v>
      </c>
      <c r="J3060">
        <v>-192.5164</v>
      </c>
      <c r="K3060">
        <v>1.1106320000000001</v>
      </c>
      <c r="L3060">
        <v>129.45650000000001</v>
      </c>
      <c r="M3060">
        <v>-0.76890709999999995</v>
      </c>
      <c r="N3060">
        <v>0</v>
      </c>
      <c r="O3060">
        <v>0.63919840000000006</v>
      </c>
      <c r="P3060">
        <v>-0.83438210000000002</v>
      </c>
      <c r="Q3060">
        <v>0.16668279999999999</v>
      </c>
      <c r="R3060">
        <v>0.52537939999999905</v>
      </c>
      <c r="S3060">
        <v>-2.473465</v>
      </c>
      <c r="T3060">
        <v>-0.15754509999999999</v>
      </c>
      <c r="U3060">
        <v>1.8398589999999999</v>
      </c>
      <c r="V3060">
        <v>-0.13243659999999999</v>
      </c>
      <c r="W3060">
        <v>0.17850849999999999</v>
      </c>
      <c r="X3060">
        <v>0.97498479999999998</v>
      </c>
      <c r="Y3060">
        <v>-5.3257720000000001E-2</v>
      </c>
      <c r="Z3060">
        <v>-3.3686870000000001E-2</v>
      </c>
      <c r="AA3060">
        <v>0.99801240000000002</v>
      </c>
      <c r="AB3060">
        <v>26</v>
      </c>
      <c r="AC3060">
        <v>-17.073699999999999</v>
      </c>
      <c r="AD3060">
        <v>-1.1106382169669999</v>
      </c>
      <c r="AE3060">
        <v>12.6863999999999</v>
      </c>
      <c r="AF3060">
        <v>-1.1557878156610599</v>
      </c>
      <c r="AG3060">
        <v>-1.1106382169669999</v>
      </c>
      <c r="AH3060">
        <v>21.181670114347099</v>
      </c>
      <c r="AI3060">
        <v>92.997044020549893</v>
      </c>
      <c r="AJ3060">
        <v>93.123273942313403</v>
      </c>
      <c r="AK3060">
        <v>21.242234147020501</v>
      </c>
    </row>
    <row r="3061" spans="1:37" x14ac:dyDescent="0.2">
      <c r="A3061" t="str">
        <f>"20200111150702858"</f>
        <v>20200111150702858</v>
      </c>
      <c r="B3061" t="str">
        <f>"1578726422849860"</f>
        <v>1578726422849860</v>
      </c>
      <c r="C3061" t="s">
        <v>37</v>
      </c>
      <c r="D3061">
        <v>4.8765130000000001</v>
      </c>
      <c r="E3061">
        <v>0.52906070000000005</v>
      </c>
      <c r="F3061" t="s">
        <v>78</v>
      </c>
      <c r="G3061">
        <v>-203.74879999999999</v>
      </c>
      <c r="H3061" s="1">
        <v>-7.5741349999999999E-6</v>
      </c>
      <c r="I3061">
        <v>138.03729999999999</v>
      </c>
      <c r="J3061">
        <v>-192.7261</v>
      </c>
      <c r="K3061">
        <v>1.1097809999999999</v>
      </c>
      <c r="L3061">
        <v>129.61709999999999</v>
      </c>
      <c r="M3061">
        <v>-0.77487119999999998</v>
      </c>
      <c r="N3061">
        <v>0</v>
      </c>
      <c r="O3061">
        <v>0.63195849999999998</v>
      </c>
      <c r="P3061">
        <v>-0.83395419999999998</v>
      </c>
      <c r="Q3061">
        <v>0.16166659999999999</v>
      </c>
      <c r="R3061">
        <v>0.52762149999999997</v>
      </c>
      <c r="S3061">
        <v>-2.46050999999999</v>
      </c>
      <c r="T3061">
        <v>-0.24329149999999999</v>
      </c>
      <c r="U3061">
        <v>1.8796839999999999</v>
      </c>
      <c r="V3061">
        <v>-0.1208181</v>
      </c>
      <c r="W3061">
        <v>0.17382359999999999</v>
      </c>
      <c r="X3061">
        <v>0.97733740000000002</v>
      </c>
      <c r="Y3061">
        <v>-3.018844E-2</v>
      </c>
      <c r="Z3061">
        <v>-5.0471580000000002E-2</v>
      </c>
      <c r="AA3061">
        <v>0.99826909999999902</v>
      </c>
      <c r="AB3061">
        <v>26</v>
      </c>
      <c r="AC3061">
        <v>-11.022699999999899</v>
      </c>
      <c r="AD3061">
        <v>-1.109788574135</v>
      </c>
      <c r="AE3061">
        <v>8.4201999999999906</v>
      </c>
      <c r="AF3061">
        <v>-0.43855591802311999</v>
      </c>
      <c r="AG3061">
        <v>-1.109788574135</v>
      </c>
      <c r="AH3061">
        <v>13.775614067898299</v>
      </c>
      <c r="AI3061">
        <v>94.603582909626397</v>
      </c>
      <c r="AJ3061">
        <v>91.823433732981101</v>
      </c>
      <c r="AK3061">
        <v>13.827201630127201</v>
      </c>
    </row>
    <row r="3062" spans="1:37" x14ac:dyDescent="0.2">
      <c r="A3062" t="str">
        <f>"20200111150702880"</f>
        <v>20200111150702880</v>
      </c>
      <c r="B3062" t="str">
        <f>"1578726422870357"</f>
        <v>1578726422870357</v>
      </c>
      <c r="C3062" t="s">
        <v>37</v>
      </c>
      <c r="D3062">
        <v>5.0805639999999999</v>
      </c>
      <c r="E3062">
        <v>0.52799549999999995</v>
      </c>
      <c r="F3062" t="s">
        <v>78</v>
      </c>
      <c r="G3062">
        <v>-203.32650000000001</v>
      </c>
      <c r="H3062" s="1">
        <v>-7.6071369999999999E-6</v>
      </c>
      <c r="I3062">
        <v>137.6275</v>
      </c>
      <c r="J3062">
        <v>-192.91759999999999</v>
      </c>
      <c r="K3062">
        <v>1.1092120000000001</v>
      </c>
      <c r="L3062">
        <v>129.76240000000001</v>
      </c>
      <c r="M3062">
        <v>-0.77969460000000002</v>
      </c>
      <c r="N3062">
        <v>0</v>
      </c>
      <c r="O3062">
        <v>0.62600040000000001</v>
      </c>
      <c r="P3062">
        <v>-0.8338141</v>
      </c>
      <c r="Q3062">
        <v>0.157164</v>
      </c>
      <c r="R3062">
        <v>0.52920089999999997</v>
      </c>
      <c r="S3062">
        <v>-2.4676360000000002</v>
      </c>
      <c r="T3062">
        <v>-0.25834439999999997</v>
      </c>
      <c r="U3062">
        <v>1.8647</v>
      </c>
      <c r="V3062">
        <v>-0.11168119999999999</v>
      </c>
      <c r="W3062">
        <v>0.1695188</v>
      </c>
      <c r="X3062">
        <v>0.97917860000000001</v>
      </c>
      <c r="Y3062">
        <v>-2.757799E-2</v>
      </c>
      <c r="Z3062">
        <v>-5.3063440000000003E-2</v>
      </c>
      <c r="AA3062">
        <v>0.99821029999999999</v>
      </c>
      <c r="AB3062">
        <v>26</v>
      </c>
      <c r="AC3062">
        <v>-10.408899999999999</v>
      </c>
      <c r="AD3062">
        <v>-1.109219607137</v>
      </c>
      <c r="AE3062">
        <v>7.8650999999999804</v>
      </c>
      <c r="AF3062">
        <v>-0.38088458153139898</v>
      </c>
      <c r="AG3062">
        <v>-1.109219607137</v>
      </c>
      <c r="AH3062">
        <v>12.9470311291673</v>
      </c>
      <c r="AI3062">
        <v>94.894674705220496</v>
      </c>
      <c r="AJ3062">
        <v>91.685080262357801</v>
      </c>
      <c r="AK3062">
        <v>13.000040625357</v>
      </c>
    </row>
    <row r="3063" spans="1:37" x14ac:dyDescent="0.2">
      <c r="A3063" t="str">
        <f>"20200111150702902"</f>
        <v>20200111150702902</v>
      </c>
      <c r="B3063" t="str">
        <f>"1578726422889877"</f>
        <v>1578726422889877</v>
      </c>
      <c r="C3063" t="s">
        <v>37</v>
      </c>
      <c r="D3063">
        <v>5.0556710000000002</v>
      </c>
      <c r="E3063">
        <v>0.52697349999999998</v>
      </c>
      <c r="F3063" t="s">
        <v>38</v>
      </c>
      <c r="G3063">
        <v>-193.6063</v>
      </c>
      <c r="H3063">
        <v>1.03135</v>
      </c>
      <c r="I3063">
        <v>130.2826</v>
      </c>
      <c r="J3063">
        <v>-193.1217</v>
      </c>
      <c r="K3063">
        <v>1.1086719999999901</v>
      </c>
      <c r="L3063">
        <v>129.91569999999999</v>
      </c>
      <c r="M3063">
        <v>-0.78408109999999998</v>
      </c>
      <c r="N3063">
        <v>0</v>
      </c>
      <c r="O3063">
        <v>0.6205003</v>
      </c>
      <c r="P3063">
        <v>-0.83415720000000004</v>
      </c>
      <c r="Q3063">
        <v>0.15319179999999999</v>
      </c>
      <c r="R3063">
        <v>0.52982459999999998</v>
      </c>
      <c r="S3063">
        <v>-2.467606</v>
      </c>
      <c r="T3063">
        <v>-0.27907009999999899</v>
      </c>
      <c r="U3063">
        <v>1.8638459999999999</v>
      </c>
      <c r="V3063">
        <v>-0.104217</v>
      </c>
      <c r="W3063">
        <v>0.1656861</v>
      </c>
      <c r="X3063">
        <v>0.98065639999999998</v>
      </c>
      <c r="Y3063">
        <v>-2.049436E-2</v>
      </c>
      <c r="Z3063">
        <v>-5.6568340000000002E-2</v>
      </c>
      <c r="AA3063">
        <v>0.99818839999999998</v>
      </c>
      <c r="AB3063">
        <v>26</v>
      </c>
      <c r="AC3063">
        <v>-0.48459999999999998</v>
      </c>
      <c r="AD3063">
        <v>-7.7321999999999794E-2</v>
      </c>
      <c r="AE3063">
        <v>0.36690000000001499</v>
      </c>
      <c r="AF3063">
        <v>-1.28090830421888E-2</v>
      </c>
      <c r="AG3063">
        <v>-7.7321999999999794E-2</v>
      </c>
      <c r="AH3063">
        <v>0.59800955445571802</v>
      </c>
      <c r="AI3063">
        <v>97.365737294407097</v>
      </c>
      <c r="AJ3063">
        <v>91.2270609814517</v>
      </c>
      <c r="AK3063">
        <v>0.60312369503503005</v>
      </c>
    </row>
    <row r="3064" spans="1:37" x14ac:dyDescent="0.2">
      <c r="A3064" t="str">
        <f>"20200111150702925"</f>
        <v>20200111150702925</v>
      </c>
      <c r="B3064" t="str">
        <f>"1578726422920133"</f>
        <v>1578726422920133</v>
      </c>
      <c r="C3064" t="s">
        <v>37</v>
      </c>
      <c r="D3064">
        <v>4.9480059999999897</v>
      </c>
      <c r="E3064">
        <v>0.52499629999999997</v>
      </c>
      <c r="F3064" t="s">
        <v>38</v>
      </c>
      <c r="G3064">
        <v>-193.7851</v>
      </c>
      <c r="H3064">
        <v>1.0284519999999999</v>
      </c>
      <c r="I3064">
        <v>130.4153</v>
      </c>
      <c r="J3064">
        <v>-193.32990000000001</v>
      </c>
      <c r="K3064">
        <v>1.1080129999999999</v>
      </c>
      <c r="L3064">
        <v>130.0711</v>
      </c>
      <c r="M3064">
        <v>-0.78775260000000003</v>
      </c>
      <c r="N3064">
        <v>0</v>
      </c>
      <c r="O3064">
        <v>0.61583520000000003</v>
      </c>
      <c r="P3064">
        <v>-0.83319969999999999</v>
      </c>
      <c r="Q3064">
        <v>0.14955060000000001</v>
      </c>
      <c r="R3064">
        <v>0.53236549999999905</v>
      </c>
      <c r="S3064">
        <v>-2.4702449999999998</v>
      </c>
      <c r="T3064">
        <v>-0.29891109999999999</v>
      </c>
      <c r="U3064">
        <v>1.8595119999999901</v>
      </c>
      <c r="V3064">
        <v>-9.548392E-2</v>
      </c>
      <c r="W3064">
        <v>0.1622015</v>
      </c>
      <c r="X3064">
        <v>0.98212699999999997</v>
      </c>
      <c r="Y3064">
        <v>-1.5915530000000001E-2</v>
      </c>
      <c r="Z3064">
        <v>-5.995578E-2</v>
      </c>
      <c r="AA3064">
        <v>0.99807420000000002</v>
      </c>
      <c r="AB3064">
        <v>26</v>
      </c>
      <c r="AC3064">
        <v>-0.45519999999999</v>
      </c>
      <c r="AD3064">
        <v>-7.9560999999999701E-2</v>
      </c>
      <c r="AE3064">
        <v>0.34420000000000001</v>
      </c>
      <c r="AF3064">
        <v>-9.0095142237829797E-3</v>
      </c>
      <c r="AG3064">
        <v>-7.9560999999999701E-2</v>
      </c>
      <c r="AH3064">
        <v>0.55973150142094696</v>
      </c>
      <c r="AI3064">
        <v>98.088873621360094</v>
      </c>
      <c r="AJ3064">
        <v>90.922161010224599</v>
      </c>
      <c r="AK3064">
        <v>0.56542946310790698</v>
      </c>
    </row>
    <row r="3065" spans="1:37" x14ac:dyDescent="0.2">
      <c r="A3065" t="str">
        <f>"20200111150702968"</f>
        <v>20200111150702968</v>
      </c>
      <c r="B3065" t="str">
        <f>"1578726422960149"</f>
        <v>1578726422960149</v>
      </c>
      <c r="C3065" t="s">
        <v>37</v>
      </c>
      <c r="D3065">
        <v>5.1509089999999897</v>
      </c>
      <c r="E3065">
        <v>0.52307219999999999</v>
      </c>
      <c r="F3065" t="s">
        <v>38</v>
      </c>
      <c r="G3065">
        <v>-193.9667</v>
      </c>
      <c r="H3065">
        <v>1.0257879999999999</v>
      </c>
      <c r="I3065">
        <v>130.54730000000001</v>
      </c>
      <c r="J3065">
        <v>-193.7242</v>
      </c>
      <c r="K3065">
        <v>1.106589</v>
      </c>
      <c r="L3065">
        <v>130.36410000000001</v>
      </c>
      <c r="M3065">
        <v>-0.79297390000000001</v>
      </c>
      <c r="N3065">
        <v>0</v>
      </c>
      <c r="O3065">
        <v>0.60910169999999997</v>
      </c>
      <c r="P3065">
        <v>-0.827982</v>
      </c>
      <c r="Q3065">
        <v>0.14840039999999999</v>
      </c>
      <c r="R3065">
        <v>0.54076159999999995</v>
      </c>
      <c r="S3065">
        <v>-2.475082</v>
      </c>
      <c r="T3065">
        <v>-0.31951750000000001</v>
      </c>
      <c r="U3065">
        <v>1.8512419999999901</v>
      </c>
      <c r="V3065">
        <v>-7.6684589999999997E-2</v>
      </c>
      <c r="W3065">
        <v>0.1613436</v>
      </c>
      <c r="X3065">
        <v>0.98391450000000003</v>
      </c>
      <c r="Y3065">
        <v>-1.018135E-2</v>
      </c>
      <c r="Z3065">
        <v>-6.3159839999999995E-2</v>
      </c>
      <c r="AA3065">
        <v>0.99795149999999999</v>
      </c>
      <c r="AB3065">
        <v>26</v>
      </c>
      <c r="AC3065">
        <v>-0.24250000000000599</v>
      </c>
      <c r="AD3065">
        <v>-8.0801000000000095E-2</v>
      </c>
      <c r="AE3065">
        <v>0.183199999999999</v>
      </c>
      <c r="AF3065">
        <v>-2.2738513792607798E-3</v>
      </c>
      <c r="AG3065">
        <v>-8.0801000000000095E-2</v>
      </c>
      <c r="AH3065">
        <v>0.28384904239435599</v>
      </c>
      <c r="AI3065">
        <v>105.88914837733699</v>
      </c>
      <c r="AJ3065">
        <v>90.458973894840298</v>
      </c>
      <c r="AK3065">
        <v>0.29513429294015903</v>
      </c>
    </row>
    <row r="3066" spans="1:37" x14ac:dyDescent="0.2">
      <c r="A3066" t="str">
        <f>"20200111150702991"</f>
        <v>20200111150702991</v>
      </c>
      <c r="B3066" t="str">
        <f>"1578726422979669"</f>
        <v>1578726422979669</v>
      </c>
      <c r="C3066" t="s">
        <v>37</v>
      </c>
      <c r="D3066">
        <v>5.1605169999999996</v>
      </c>
      <c r="E3066">
        <v>0.52219490000000002</v>
      </c>
      <c r="F3066" t="s">
        <v>38</v>
      </c>
      <c r="G3066">
        <v>-194.3296</v>
      </c>
      <c r="H3066">
        <v>1.0247489999999999</v>
      </c>
      <c r="I3066">
        <v>130.8176</v>
      </c>
      <c r="J3066">
        <v>-193.92930000000001</v>
      </c>
      <c r="K3066">
        <v>1.105993</v>
      </c>
      <c r="L3066">
        <v>130.5163</v>
      </c>
      <c r="M3066">
        <v>-0.79503069999999998</v>
      </c>
      <c r="N3066">
        <v>0</v>
      </c>
      <c r="O3066">
        <v>0.60641630000000002</v>
      </c>
      <c r="P3066">
        <v>-0.82307809999999904</v>
      </c>
      <c r="Q3066">
        <v>0.15391089999999999</v>
      </c>
      <c r="R3066">
        <v>0.54667549999999998</v>
      </c>
      <c r="S3066">
        <v>-2.473373</v>
      </c>
      <c r="T3066">
        <v>-0.33436909999999997</v>
      </c>
      <c r="U3066">
        <v>1.8524020000000001</v>
      </c>
      <c r="V3066">
        <v>-6.545173E-2</v>
      </c>
      <c r="W3066">
        <v>0.16695470000000001</v>
      </c>
      <c r="X3066">
        <v>0.98378969999999899</v>
      </c>
      <c r="Y3066">
        <v>-5.9463040000000003E-3</v>
      </c>
      <c r="Z3066">
        <v>-6.5617720000000004E-2</v>
      </c>
      <c r="AA3066">
        <v>0.99782709999999997</v>
      </c>
      <c r="AB3066">
        <v>25</v>
      </c>
      <c r="AC3066">
        <v>-0.400299999999987</v>
      </c>
      <c r="AD3066">
        <v>-8.1244000000000094E-2</v>
      </c>
      <c r="AE3066">
        <v>0.30129999999999701</v>
      </c>
      <c r="AF3066">
        <v>-3.12385099441983E-3</v>
      </c>
      <c r="AG3066">
        <v>-8.1244000000000094E-2</v>
      </c>
      <c r="AH3066">
        <v>0.48817400378433101</v>
      </c>
      <c r="AI3066">
        <v>99.448618517929603</v>
      </c>
      <c r="AJ3066">
        <v>90.366633686929504</v>
      </c>
      <c r="AK3066">
        <v>0.49489817533696701</v>
      </c>
    </row>
    <row r="3067" spans="1:37" x14ac:dyDescent="0.2">
      <c r="A3067" t="str">
        <f>"20200111150703013"</f>
        <v>20200111150703013</v>
      </c>
      <c r="B3067" t="str">
        <f>"1578726423009925"</f>
        <v>1578726423009925</v>
      </c>
      <c r="C3067" t="s">
        <v>37</v>
      </c>
      <c r="D3067">
        <v>5.2228940000000001</v>
      </c>
      <c r="E3067">
        <v>0.5217482</v>
      </c>
      <c r="F3067" t="s">
        <v>38</v>
      </c>
      <c r="G3067">
        <v>-194.5121</v>
      </c>
      <c r="H3067">
        <v>1.029998</v>
      </c>
      <c r="I3067">
        <v>130.95609999999999</v>
      </c>
      <c r="J3067">
        <v>-194.13380000000001</v>
      </c>
      <c r="K3067">
        <v>1.1055520000000001</v>
      </c>
      <c r="L3067">
        <v>130.66810000000001</v>
      </c>
      <c r="M3067">
        <v>-0.79665509999999995</v>
      </c>
      <c r="N3067">
        <v>0</v>
      </c>
      <c r="O3067">
        <v>0.6042826</v>
      </c>
      <c r="P3067">
        <v>-0.81677489999999997</v>
      </c>
      <c r="Q3067">
        <v>0.1580299</v>
      </c>
      <c r="R3067">
        <v>0.55489219999999995</v>
      </c>
      <c r="S3067">
        <v>-2.4682770000000001</v>
      </c>
      <c r="T3067">
        <v>-0.32195059999999998</v>
      </c>
      <c r="U3067">
        <v>1.8621220000000001</v>
      </c>
      <c r="V3067">
        <v>-5.2271789999999999E-2</v>
      </c>
      <c r="W3067">
        <v>0.17113789999999901</v>
      </c>
      <c r="X3067">
        <v>0.983859499999999</v>
      </c>
      <c r="Y3067" s="1">
        <v>-6.4235649999999999E-6</v>
      </c>
      <c r="Z3067">
        <v>-6.2696810000000006E-2</v>
      </c>
      <c r="AA3067">
        <v>0.99803259999999905</v>
      </c>
      <c r="AB3067">
        <v>25</v>
      </c>
      <c r="AC3067">
        <v>-0.37829999999999497</v>
      </c>
      <c r="AD3067">
        <v>-7.5554000000000093E-2</v>
      </c>
      <c r="AE3067">
        <v>0.28799999999998199</v>
      </c>
      <c r="AF3067">
        <v>8.1603118771944496E-4</v>
      </c>
      <c r="AG3067">
        <v>-7.5554000000000093E-2</v>
      </c>
      <c r="AH3067">
        <v>0.46374103453079502</v>
      </c>
      <c r="AI3067">
        <v>99.253473480282594</v>
      </c>
      <c r="AJ3067">
        <v>89.899178439542993</v>
      </c>
      <c r="AK3067">
        <v>0.46985616940782099</v>
      </c>
    </row>
    <row r="3068" spans="1:37" x14ac:dyDescent="0.2">
      <c r="A3068" t="str">
        <f>"20200111150703038"</f>
        <v>20200111150703038</v>
      </c>
      <c r="B3068" t="str">
        <f>"1578726423030421"</f>
        <v>1578726423030421</v>
      </c>
      <c r="C3068" t="s">
        <v>37</v>
      </c>
      <c r="D3068">
        <v>5.2109259999999997</v>
      </c>
      <c r="E3068">
        <v>0.52081659999999996</v>
      </c>
      <c r="F3068" t="s">
        <v>38</v>
      </c>
      <c r="G3068">
        <v>-194.86490000000001</v>
      </c>
      <c r="H3068">
        <v>1.014902</v>
      </c>
      <c r="I3068">
        <v>131.2285</v>
      </c>
      <c r="J3068">
        <v>-194.357</v>
      </c>
      <c r="K3068">
        <v>1.1051839999999999</v>
      </c>
      <c r="L3068">
        <v>130.83349999999999</v>
      </c>
      <c r="M3068">
        <v>-0.79799219999999904</v>
      </c>
      <c r="N3068">
        <v>0</v>
      </c>
      <c r="O3068">
        <v>0.60251730000000003</v>
      </c>
      <c r="P3068">
        <v>-0.80948419999999999</v>
      </c>
      <c r="Q3068">
        <v>0.158517299999999</v>
      </c>
      <c r="R3068">
        <v>0.56533859999999903</v>
      </c>
      <c r="S3068">
        <v>-2.4540860000000002</v>
      </c>
      <c r="T3068">
        <v>-0.30435859999999998</v>
      </c>
      <c r="U3068">
        <v>1.8808590000000001</v>
      </c>
      <c r="V3068">
        <v>-3.7198250000000002E-2</v>
      </c>
      <c r="W3068">
        <v>0.1716608</v>
      </c>
      <c r="X3068">
        <v>0.98445360000000004</v>
      </c>
      <c r="Y3068">
        <v>9.4853699999999999E-3</v>
      </c>
      <c r="Z3068">
        <v>-5.8748259999999997E-2</v>
      </c>
      <c r="AA3068">
        <v>0.9982278</v>
      </c>
      <c r="AB3068">
        <v>25</v>
      </c>
      <c r="AC3068">
        <v>-0.50790000000000601</v>
      </c>
      <c r="AD3068">
        <v>-9.0281999999999904E-2</v>
      </c>
      <c r="AE3068">
        <v>0.39500000000001001</v>
      </c>
      <c r="AF3068">
        <v>9.0117860064043397E-3</v>
      </c>
      <c r="AG3068">
        <v>-9.0281999999999904E-2</v>
      </c>
      <c r="AH3068">
        <v>0.63093075719471403</v>
      </c>
      <c r="AI3068">
        <v>98.142545888217001</v>
      </c>
      <c r="AJ3068">
        <v>89.181681683390096</v>
      </c>
      <c r="AK3068">
        <v>0.63742111055825601</v>
      </c>
    </row>
    <row r="3069" spans="1:37" x14ac:dyDescent="0.2">
      <c r="A3069" t="str">
        <f>"20200111150703059"</f>
        <v>20200111150703059</v>
      </c>
      <c r="B3069" t="str">
        <f>"1578726423049942"</f>
        <v>1578726423049942</v>
      </c>
      <c r="C3069" t="s">
        <v>37</v>
      </c>
      <c r="D3069">
        <v>5.1391780000000002</v>
      </c>
      <c r="E3069">
        <v>0.51982119999999998</v>
      </c>
      <c r="F3069" t="s">
        <v>38</v>
      </c>
      <c r="G3069">
        <v>-195.0445</v>
      </c>
      <c r="H3069">
        <v>1.020824</v>
      </c>
      <c r="I3069">
        <v>131.37129999999999</v>
      </c>
      <c r="J3069">
        <v>-194.5488</v>
      </c>
      <c r="K3069">
        <v>1.1049389999999999</v>
      </c>
      <c r="L3069">
        <v>130.97559999999999</v>
      </c>
      <c r="M3069">
        <v>-0.79891719999999999</v>
      </c>
      <c r="N3069">
        <v>0</v>
      </c>
      <c r="O3069">
        <v>0.60129160000000004</v>
      </c>
      <c r="P3069">
        <v>-0.80192399999999997</v>
      </c>
      <c r="Q3069">
        <v>0.15701960000000001</v>
      </c>
      <c r="R3069">
        <v>0.5764224</v>
      </c>
      <c r="S3069">
        <v>-2.4349210000000001</v>
      </c>
      <c r="T3069">
        <v>-0.29882159999999902</v>
      </c>
      <c r="U3069">
        <v>1.903915</v>
      </c>
      <c r="V3069">
        <v>-2.2173539999999999E-2</v>
      </c>
      <c r="W3069">
        <v>0.17018269999999999</v>
      </c>
      <c r="X3069">
        <v>0.98516299999999901</v>
      </c>
      <c r="Y3069">
        <v>2.0578510000000001E-2</v>
      </c>
      <c r="Z3069">
        <v>-5.7159740000000001E-2</v>
      </c>
      <c r="AA3069">
        <v>0.99815290000000001</v>
      </c>
      <c r="AB3069">
        <v>25</v>
      </c>
      <c r="AC3069">
        <v>-0.49569999999999897</v>
      </c>
      <c r="AD3069">
        <v>-8.4114999999999898E-2</v>
      </c>
      <c r="AE3069">
        <v>0.39570000000000499</v>
      </c>
      <c r="AF3069">
        <v>1.7760553155871401E-2</v>
      </c>
      <c r="AG3069">
        <v>-8.4114999999999898E-2</v>
      </c>
      <c r="AH3069">
        <v>0.62305346448260102</v>
      </c>
      <c r="AI3069">
        <v>97.685614459180599</v>
      </c>
      <c r="AJ3069">
        <v>88.367187883662695</v>
      </c>
      <c r="AK3069">
        <v>0.62895658838839896</v>
      </c>
    </row>
    <row r="3070" spans="1:37" x14ac:dyDescent="0.2">
      <c r="A3070" t="str">
        <f>"20200111150703107"</f>
        <v>20200111150703107</v>
      </c>
      <c r="B3070" t="str">
        <f>"1578726423100396"</f>
        <v>1578726423100396</v>
      </c>
      <c r="C3070" t="s">
        <v>37</v>
      </c>
      <c r="D3070">
        <v>5.6560899999999998</v>
      </c>
      <c r="E3070">
        <v>0.51770269999999996</v>
      </c>
      <c r="F3070" t="s">
        <v>38</v>
      </c>
      <c r="G3070">
        <v>-195.22120000000001</v>
      </c>
      <c r="H3070">
        <v>1.02115</v>
      </c>
      <c r="I3070">
        <v>131.51329999999999</v>
      </c>
      <c r="J3070">
        <v>-194.96899999999999</v>
      </c>
      <c r="K3070">
        <v>1.1044719999999999</v>
      </c>
      <c r="L3070">
        <v>131.2869</v>
      </c>
      <c r="M3070">
        <v>-0.80035889999999998</v>
      </c>
      <c r="N3070">
        <v>0</v>
      </c>
      <c r="O3070">
        <v>0.59937320000000005</v>
      </c>
      <c r="P3070">
        <v>-0.78705099999999995</v>
      </c>
      <c r="Q3070">
        <v>0.15836829999999999</v>
      </c>
      <c r="R3070">
        <v>0.59621329999999995</v>
      </c>
      <c r="S3070">
        <v>-2.4131619999999998</v>
      </c>
      <c r="T3070">
        <v>-0.30075730000000001</v>
      </c>
      <c r="U3070">
        <v>1.9292450000000001</v>
      </c>
      <c r="V3070">
        <v>5.1527579999999899E-3</v>
      </c>
      <c r="W3070">
        <v>0.171517</v>
      </c>
      <c r="X3070">
        <v>0.98516769999999998</v>
      </c>
      <c r="Y3070">
        <v>3.3735800000000003E-2</v>
      </c>
      <c r="Z3070">
        <v>-5.6853790000000001E-2</v>
      </c>
      <c r="AA3070">
        <v>0.99781239999999904</v>
      </c>
      <c r="AB3070">
        <v>25</v>
      </c>
      <c r="AC3070">
        <v>-0.25219999999998699</v>
      </c>
      <c r="AD3070">
        <v>-8.3321999999999896E-2</v>
      </c>
      <c r="AE3070">
        <v>0.226399999999983</v>
      </c>
      <c r="AF3070">
        <v>2.8329676974859701E-2</v>
      </c>
      <c r="AG3070">
        <v>-8.3321999999999896E-2</v>
      </c>
      <c r="AH3070">
        <v>0.31833738480326701</v>
      </c>
      <c r="AI3070">
        <v>104.612358479101</v>
      </c>
      <c r="AJ3070">
        <v>84.914495599132593</v>
      </c>
      <c r="AK3070">
        <v>0.33027839294280698</v>
      </c>
    </row>
    <row r="3071" spans="1:37" x14ac:dyDescent="0.2">
      <c r="A3071" t="str">
        <f>"20200111150703130"</f>
        <v>20200111150703130</v>
      </c>
      <c r="B3071" t="str">
        <f>"1578726423119916"</f>
        <v>1578726423119916</v>
      </c>
      <c r="C3071" t="s">
        <v>37</v>
      </c>
      <c r="D3071">
        <v>5.0937859999999997</v>
      </c>
      <c r="E3071">
        <v>0.51792749999999999</v>
      </c>
      <c r="F3071" t="s">
        <v>38</v>
      </c>
      <c r="G3071">
        <v>-195.57980000000001</v>
      </c>
      <c r="H3071">
        <v>1.0275019999999999</v>
      </c>
      <c r="I3071">
        <v>131.79519999999999</v>
      </c>
      <c r="J3071">
        <v>-195.19200000000001</v>
      </c>
      <c r="K3071">
        <v>1.1041939999999999</v>
      </c>
      <c r="L3071">
        <v>131.45230000000001</v>
      </c>
      <c r="M3071">
        <v>-0.80083040000000005</v>
      </c>
      <c r="N3071">
        <v>0</v>
      </c>
      <c r="O3071">
        <v>0.59874380000000005</v>
      </c>
      <c r="P3071">
        <v>-0.77955600000000003</v>
      </c>
      <c r="Q3071">
        <v>0.1593628</v>
      </c>
      <c r="R3071">
        <v>0.60571940000000002</v>
      </c>
      <c r="S3071">
        <v>-2.375076</v>
      </c>
      <c r="T3071">
        <v>-0.29932219999999998</v>
      </c>
      <c r="U3071">
        <v>1.97596699999999</v>
      </c>
      <c r="V3071">
        <v>1.8147940000000001E-2</v>
      </c>
      <c r="W3071">
        <v>0.17248659999999999</v>
      </c>
      <c r="X3071">
        <v>0.98484470000000002</v>
      </c>
      <c r="Y3071">
        <v>5.3900379999999998E-2</v>
      </c>
      <c r="Z3071">
        <v>-5.5740970000000001E-2</v>
      </c>
      <c r="AA3071">
        <v>0.99698929999999997</v>
      </c>
      <c r="AB3071">
        <v>25</v>
      </c>
      <c r="AC3071">
        <v>-0.38779999999999798</v>
      </c>
      <c r="AD3071">
        <v>-7.6691999999999899E-2</v>
      </c>
      <c r="AE3071">
        <v>0.34289999999998599</v>
      </c>
      <c r="AF3071">
        <v>4.1504655961389698E-2</v>
      </c>
      <c r="AG3071">
        <v>-7.6691999999999899E-2</v>
      </c>
      <c r="AH3071">
        <v>0.504836158406613</v>
      </c>
      <c r="AI3071">
        <v>98.6094120682111</v>
      </c>
      <c r="AJ3071">
        <v>85.300048645502301</v>
      </c>
      <c r="AK3071">
        <v>0.51231225455304197</v>
      </c>
    </row>
    <row r="3072" spans="1:37" x14ac:dyDescent="0.2">
      <c r="A3072" t="str">
        <f>"20200111150703170"</f>
        <v>20200111150703170</v>
      </c>
      <c r="B3072" t="str">
        <f>"1578726423159932"</f>
        <v>1578726423159932</v>
      </c>
      <c r="C3072" t="s">
        <v>37</v>
      </c>
      <c r="D3072">
        <v>5.0831949999999999</v>
      </c>
      <c r="E3072">
        <v>0.61212500000000003</v>
      </c>
      <c r="F3072" t="s">
        <v>38</v>
      </c>
      <c r="G3072">
        <v>-195.76009999999999</v>
      </c>
      <c r="H3072">
        <v>1.0334369999999999</v>
      </c>
      <c r="I3072">
        <v>131.93680000000001</v>
      </c>
      <c r="J3072">
        <v>-195.5514</v>
      </c>
      <c r="K3072">
        <v>1.103596</v>
      </c>
      <c r="L3072">
        <v>131.72040000000001</v>
      </c>
      <c r="M3072">
        <v>-0.8007959</v>
      </c>
      <c r="N3072">
        <v>0</v>
      </c>
      <c r="O3072">
        <v>0.59878980000000004</v>
      </c>
      <c r="P3072">
        <v>-0.7662755</v>
      </c>
      <c r="Q3072">
        <v>0.15783620000000001</v>
      </c>
      <c r="R3072">
        <v>0.62282399999999905</v>
      </c>
      <c r="S3072">
        <v>-2.3507539999999998</v>
      </c>
      <c r="T3072">
        <v>-0.29276779999999902</v>
      </c>
      <c r="U3072">
        <v>2.0044249999999999</v>
      </c>
      <c r="V3072">
        <v>4.0020229999999997E-2</v>
      </c>
      <c r="W3072">
        <v>0.1709185</v>
      </c>
      <c r="X3072">
        <v>0.98447209999999996</v>
      </c>
      <c r="Y3072">
        <v>6.5801310000000002E-2</v>
      </c>
      <c r="Z3072">
        <v>-5.4085370000000001E-2</v>
      </c>
      <c r="AA3072">
        <v>0.99636589999999903</v>
      </c>
      <c r="AB3072">
        <v>25</v>
      </c>
      <c r="AC3072">
        <v>-0.208699999999993</v>
      </c>
      <c r="AD3072">
        <v>-7.0158999999999805E-2</v>
      </c>
      <c r="AE3072">
        <v>0.21639999999999299</v>
      </c>
      <c r="AF3072">
        <v>4.5833036277652298E-2</v>
      </c>
      <c r="AG3072">
        <v>-7.0158999999999805E-2</v>
      </c>
      <c r="AH3072">
        <v>0.28140529752170901</v>
      </c>
      <c r="AI3072">
        <v>103.824341841528</v>
      </c>
      <c r="AJ3072">
        <v>80.749350749927501</v>
      </c>
      <c r="AK3072">
        <v>0.29361861992848798</v>
      </c>
    </row>
    <row r="3073" spans="1:37" x14ac:dyDescent="0.2">
      <c r="A3073" t="str">
        <f>"20200111150703194"</f>
        <v>20200111150703194</v>
      </c>
      <c r="B3073" t="str">
        <f>"1578726423190188"</f>
        <v>1578726423190188</v>
      </c>
      <c r="C3073" t="s">
        <v>37</v>
      </c>
      <c r="D3073">
        <v>5.0865619999999998</v>
      </c>
      <c r="E3073">
        <v>0.61734330000000004</v>
      </c>
      <c r="F3073" t="s">
        <v>78</v>
      </c>
      <c r="G3073">
        <v>-207.06190000000001</v>
      </c>
      <c r="H3073" s="1">
        <v>-8.9910450000000006E-6</v>
      </c>
      <c r="I3073">
        <v>148.40440000000001</v>
      </c>
      <c r="J3073">
        <v>-195.7629</v>
      </c>
      <c r="K3073">
        <v>1.103167</v>
      </c>
      <c r="L3073">
        <v>131.8794</v>
      </c>
      <c r="M3073">
        <v>-0.80023140000000004</v>
      </c>
      <c r="N3073">
        <v>0</v>
      </c>
      <c r="O3073">
        <v>0.5995431</v>
      </c>
      <c r="P3073">
        <v>-0.75804680000000002</v>
      </c>
      <c r="Q3073">
        <v>0.15942879999999901</v>
      </c>
      <c r="R3073">
        <v>0.63241400000000003</v>
      </c>
      <c r="S3073">
        <v>-1.8138889999999901</v>
      </c>
      <c r="T3073">
        <v>-0.1739117</v>
      </c>
      <c r="U3073">
        <v>2.6291500000000001</v>
      </c>
      <c r="V3073">
        <v>5.1904840000000001E-2</v>
      </c>
      <c r="W3073">
        <v>0.17246729999999999</v>
      </c>
      <c r="X3073">
        <v>0.98364680000000004</v>
      </c>
      <c r="Y3073">
        <v>0.31850020000000001</v>
      </c>
      <c r="Z3073">
        <v>-2.5495199999999999E-2</v>
      </c>
      <c r="AA3073">
        <v>0.94757990000000003</v>
      </c>
      <c r="AB3073">
        <v>25</v>
      </c>
      <c r="AC3073">
        <v>-11.298999999999999</v>
      </c>
      <c r="AD3073">
        <v>-1.1031759910450001</v>
      </c>
      <c r="AE3073">
        <v>16.524999999999999</v>
      </c>
      <c r="AF3073">
        <v>6.4306308964421399</v>
      </c>
      <c r="AG3073">
        <v>-1.1031759910450001</v>
      </c>
      <c r="AH3073">
        <v>18.893571936932101</v>
      </c>
      <c r="AI3073">
        <v>93.163804341798198</v>
      </c>
      <c r="AJ3073">
        <v>71.203439578326694</v>
      </c>
      <c r="AK3073">
        <v>19.988423437818199</v>
      </c>
    </row>
    <row r="3074" spans="1:37" x14ac:dyDescent="0.2">
      <c r="A3074" t="str">
        <f>"20200111150703215"</f>
        <v>20200111150703215</v>
      </c>
      <c r="B3074" t="str">
        <f>"1578726423209707"</f>
        <v>1578726423209707</v>
      </c>
      <c r="C3074" t="s">
        <v>37</v>
      </c>
      <c r="D3074">
        <v>5.0480839999999896</v>
      </c>
      <c r="E3074">
        <v>0.61813929999999995</v>
      </c>
      <c r="F3074" t="s">
        <v>78</v>
      </c>
      <c r="G3074">
        <v>-205.77109999999999</v>
      </c>
      <c r="H3074" s="1">
        <v>-9.2353089999999906E-6</v>
      </c>
      <c r="I3074">
        <v>147.16130000000001</v>
      </c>
      <c r="J3074">
        <v>-195.964</v>
      </c>
      <c r="K3074">
        <v>1.102711</v>
      </c>
      <c r="L3074">
        <v>132.03219999999999</v>
      </c>
      <c r="M3074">
        <v>-0.799216699999999</v>
      </c>
      <c r="N3074">
        <v>0</v>
      </c>
      <c r="O3074">
        <v>0.60089409999999999</v>
      </c>
      <c r="P3074">
        <v>-0.75057669999999999</v>
      </c>
      <c r="Q3074">
        <v>0.1650237</v>
      </c>
      <c r="R3074">
        <v>0.63984529999999995</v>
      </c>
      <c r="S3074">
        <v>-1.7583770000000001</v>
      </c>
      <c r="T3074">
        <v>-0.1938202</v>
      </c>
      <c r="U3074">
        <v>2.6849210000000001</v>
      </c>
      <c r="V3074">
        <v>6.089729E-2</v>
      </c>
      <c r="W3074">
        <v>0.177998499999999</v>
      </c>
      <c r="X3074">
        <v>0.98214469999999998</v>
      </c>
      <c r="Y3074">
        <v>0.33969519999999997</v>
      </c>
      <c r="Z3074">
        <v>-2.7806440000000002E-2</v>
      </c>
      <c r="AA3074">
        <v>0.94012450000000003</v>
      </c>
      <c r="AB3074">
        <v>25</v>
      </c>
      <c r="AC3074">
        <v>-9.8070999999999593</v>
      </c>
      <c r="AD3074">
        <v>-1.102720235309</v>
      </c>
      <c r="AE3074">
        <v>15.129099999999999</v>
      </c>
      <c r="AF3074">
        <v>6.1758533717063697</v>
      </c>
      <c r="AG3074">
        <v>-1.102720235309</v>
      </c>
      <c r="AH3074">
        <v>16.8674036778242</v>
      </c>
      <c r="AI3074">
        <v>93.512991747070799</v>
      </c>
      <c r="AJ3074">
        <v>69.890234243469493</v>
      </c>
      <c r="AK3074">
        <v>17.996290273743998</v>
      </c>
    </row>
    <row r="3075" spans="1:37" x14ac:dyDescent="0.2">
      <c r="A3075" t="str">
        <f>"20200111150703238"</f>
        <v>20200111150703238</v>
      </c>
      <c r="B3075" t="str">
        <f>"1578726423230204"</f>
        <v>1578726423230204</v>
      </c>
      <c r="C3075" t="s">
        <v>37</v>
      </c>
      <c r="D3075">
        <v>5.0589430000000002</v>
      </c>
      <c r="E3075">
        <v>0.61749270000000001</v>
      </c>
      <c r="F3075" t="s">
        <v>78</v>
      </c>
      <c r="G3075">
        <v>-205.96469999999999</v>
      </c>
      <c r="H3075" s="1">
        <v>-9.2967619999999999E-6</v>
      </c>
      <c r="I3075">
        <v>147.7193</v>
      </c>
      <c r="J3075">
        <v>-196.17150000000001</v>
      </c>
      <c r="K3075">
        <v>1.1022609999999999</v>
      </c>
      <c r="L3075">
        <v>132.19130000000001</v>
      </c>
      <c r="M3075">
        <v>-0.79772549999999998</v>
      </c>
      <c r="N3075">
        <v>0</v>
      </c>
      <c r="O3075">
        <v>0.60287100000000005</v>
      </c>
      <c r="P3075">
        <v>-0.74411969999999905</v>
      </c>
      <c r="Q3075">
        <v>0.17064589999999999</v>
      </c>
      <c r="R3075">
        <v>0.64588380000000001</v>
      </c>
      <c r="S3075">
        <v>-1.7280580000000001</v>
      </c>
      <c r="T3075">
        <v>-0.19054289999999999</v>
      </c>
      <c r="U3075">
        <v>2.7106319999999999</v>
      </c>
      <c r="V3075">
        <v>6.7408560000000006E-2</v>
      </c>
      <c r="W3075">
        <v>0.18355729999999901</v>
      </c>
      <c r="X3075">
        <v>0.98069509999999904</v>
      </c>
      <c r="Y3075">
        <v>0.3488695</v>
      </c>
      <c r="Z3075">
        <v>-2.7188239999999999E-2</v>
      </c>
      <c r="AA3075">
        <v>0.93677690000000002</v>
      </c>
      <c r="AB3075">
        <v>25</v>
      </c>
      <c r="AC3075">
        <v>-9.7931999999999793</v>
      </c>
      <c r="AD3075">
        <v>-1.1022702967619999</v>
      </c>
      <c r="AE3075">
        <v>15.527999999999899</v>
      </c>
      <c r="AF3075">
        <v>6.46034076967078</v>
      </c>
      <c r="AG3075">
        <v>-1.1022702967619999</v>
      </c>
      <c r="AH3075">
        <v>17.113521711040601</v>
      </c>
      <c r="AI3075">
        <v>93.448397629094501</v>
      </c>
      <c r="AJ3075">
        <v>69.318518398476598</v>
      </c>
      <c r="AK3075">
        <v>18.325491208195601</v>
      </c>
    </row>
    <row r="3076" spans="1:37" x14ac:dyDescent="0.2">
      <c r="A3076" t="str">
        <f>"20200111150703259"</f>
        <v>20200111150703259</v>
      </c>
      <c r="B3076" t="str">
        <f>"1578726423249724"</f>
        <v>1578726423249724</v>
      </c>
      <c r="C3076" t="s">
        <v>37</v>
      </c>
      <c r="D3076">
        <v>5.0309369999999998</v>
      </c>
      <c r="E3076">
        <v>0.61654500000000001</v>
      </c>
      <c r="F3076" t="s">
        <v>78</v>
      </c>
      <c r="G3076">
        <v>-206.4032</v>
      </c>
      <c r="H3076" s="1">
        <v>-9.306179E-6</v>
      </c>
      <c r="I3076">
        <v>148.49160000000001</v>
      </c>
      <c r="J3076">
        <v>-196.35390000000001</v>
      </c>
      <c r="K3076">
        <v>1.1018729999999901</v>
      </c>
      <c r="L3076">
        <v>132.33269999999999</v>
      </c>
      <c r="M3076">
        <v>-0.79604390000000003</v>
      </c>
      <c r="N3076">
        <v>0</v>
      </c>
      <c r="O3076">
        <v>0.60508839999999997</v>
      </c>
      <c r="P3076">
        <v>-0.7369869</v>
      </c>
      <c r="Q3076">
        <v>0.17390129999999901</v>
      </c>
      <c r="R3076">
        <v>0.65315290000000004</v>
      </c>
      <c r="S3076">
        <v>-1.709686</v>
      </c>
      <c r="T3076">
        <v>-0.18418609999999999</v>
      </c>
      <c r="U3076">
        <v>2.7237239999999998</v>
      </c>
      <c r="V3076">
        <v>7.4975089999999994E-2</v>
      </c>
      <c r="W3076">
        <v>0.18674739999999901</v>
      </c>
      <c r="X3076">
        <v>0.97954279999999905</v>
      </c>
      <c r="Y3076">
        <v>0.35280240000000002</v>
      </c>
      <c r="Z3076">
        <v>-2.631855E-2</v>
      </c>
      <c r="AA3076">
        <v>0.93532760000000004</v>
      </c>
      <c r="AB3076">
        <v>25</v>
      </c>
      <c r="AC3076">
        <v>-10.049299999999899</v>
      </c>
      <c r="AD3076">
        <v>-1.101882306179</v>
      </c>
      <c r="AE3076">
        <v>16.158899999999999</v>
      </c>
      <c r="AF3076">
        <v>6.76042842670154</v>
      </c>
      <c r="AG3076">
        <v>-1.101882306179</v>
      </c>
      <c r="AH3076">
        <v>17.719451372584999</v>
      </c>
      <c r="AI3076">
        <v>93.325142970717096</v>
      </c>
      <c r="AJ3076">
        <v>69.116855082835002</v>
      </c>
      <c r="AK3076">
        <v>18.9972759645858</v>
      </c>
    </row>
    <row r="3077" spans="1:37" x14ac:dyDescent="0.2">
      <c r="A3077" t="str">
        <f>"20200111150703282"</f>
        <v>20200111150703282</v>
      </c>
      <c r="B3077" t="str">
        <f>"1578726423279980"</f>
        <v>1578726423279980</v>
      </c>
      <c r="C3077" t="s">
        <v>37</v>
      </c>
      <c r="D3077">
        <v>5.0706499999999997</v>
      </c>
      <c r="E3077">
        <v>0.61463290000000004</v>
      </c>
      <c r="F3077" t="s">
        <v>78</v>
      </c>
      <c r="G3077">
        <v>-206.4272</v>
      </c>
      <c r="H3077" s="1">
        <v>-9.3355969999999993E-6</v>
      </c>
      <c r="I3077">
        <v>148.64340000000001</v>
      </c>
      <c r="J3077">
        <v>-196.56110000000001</v>
      </c>
      <c r="K3077">
        <v>1.1014389999999901</v>
      </c>
      <c r="L3077">
        <v>132.49520000000001</v>
      </c>
      <c r="M3077">
        <v>-0.79368419999999995</v>
      </c>
      <c r="N3077">
        <v>0</v>
      </c>
      <c r="O3077">
        <v>0.60817869999999996</v>
      </c>
      <c r="P3077">
        <v>-0.72846929999999999</v>
      </c>
      <c r="Q3077">
        <v>0.17368259999999999</v>
      </c>
      <c r="R3077">
        <v>0.66269669999999903</v>
      </c>
      <c r="S3077">
        <v>-1.68962099999999</v>
      </c>
      <c r="T3077">
        <v>-0.1848214</v>
      </c>
      <c r="U3077">
        <v>2.7358250000000002</v>
      </c>
      <c r="V3077">
        <v>8.4113950000000007E-2</v>
      </c>
      <c r="W3077">
        <v>0.18644859999999999</v>
      </c>
      <c r="X3077">
        <v>0.97885739999999999</v>
      </c>
      <c r="Y3077">
        <v>0.35597810000000002</v>
      </c>
      <c r="Z3077">
        <v>-2.6533939999999999E-2</v>
      </c>
      <c r="AA3077">
        <v>0.93411749999999905</v>
      </c>
      <c r="AB3077">
        <v>25</v>
      </c>
      <c r="AC3077">
        <v>-9.8660999999999799</v>
      </c>
      <c r="AD3077">
        <v>-1.10144833559699</v>
      </c>
      <c r="AE3077">
        <v>16.148199999999999</v>
      </c>
      <c r="AF3077">
        <v>6.7938305175466196</v>
      </c>
      <c r="AG3077">
        <v>-1.10144833559699</v>
      </c>
      <c r="AH3077">
        <v>17.593579998467899</v>
      </c>
      <c r="AI3077">
        <v>93.3423950833524</v>
      </c>
      <c r="AJ3077">
        <v>68.885734943835104</v>
      </c>
      <c r="AK3077">
        <v>18.8918865839182</v>
      </c>
    </row>
    <row r="3078" spans="1:37" x14ac:dyDescent="0.2">
      <c r="A3078" t="str">
        <f>"20200111150703304"</f>
        <v>20200111150703304</v>
      </c>
      <c r="B3078" t="str">
        <f>"1578726423300476"</f>
        <v>1578726423300476</v>
      </c>
      <c r="C3078" t="s">
        <v>37</v>
      </c>
      <c r="D3078">
        <v>5.0196269999999998</v>
      </c>
      <c r="E3078">
        <v>0.61438149999999903</v>
      </c>
      <c r="F3078" t="s">
        <v>78</v>
      </c>
      <c r="G3078">
        <v>-205.74930000000001</v>
      </c>
      <c r="H3078" s="1">
        <v>-9.37506E-6</v>
      </c>
      <c r="I3078">
        <v>147.654</v>
      </c>
      <c r="J3078">
        <v>-196.75059999999999</v>
      </c>
      <c r="K3078">
        <v>1.1010329999999999</v>
      </c>
      <c r="L3078">
        <v>132.64590000000001</v>
      </c>
      <c r="M3078">
        <v>-0.79112209999999905</v>
      </c>
      <c r="N3078">
        <v>0</v>
      </c>
      <c r="O3078">
        <v>0.61150649999999995</v>
      </c>
      <c r="P3078">
        <v>-0.71995279999999995</v>
      </c>
      <c r="Q3078">
        <v>0.1729087</v>
      </c>
      <c r="R3078">
        <v>0.67213880000000004</v>
      </c>
      <c r="S3078">
        <v>-1.6657709999999999</v>
      </c>
      <c r="T3078">
        <v>-0.1996858</v>
      </c>
      <c r="U3078">
        <v>2.7481990000000001</v>
      </c>
      <c r="V3078">
        <v>9.2849210000000001E-2</v>
      </c>
      <c r="W3078">
        <v>0.18558459999999999</v>
      </c>
      <c r="X3078">
        <v>0.97823169999999904</v>
      </c>
      <c r="Y3078">
        <v>0.35987720000000001</v>
      </c>
      <c r="Z3078">
        <v>-2.8808899999999998E-2</v>
      </c>
      <c r="AA3078">
        <v>0.93255480000000002</v>
      </c>
      <c r="AB3078">
        <v>25</v>
      </c>
      <c r="AC3078">
        <v>-8.9987000000000101</v>
      </c>
      <c r="AD3078">
        <v>-1.10104237506</v>
      </c>
      <c r="AE3078">
        <v>15.008099999999899</v>
      </c>
      <c r="AF3078">
        <v>6.3459443987205004</v>
      </c>
      <c r="AG3078">
        <v>-1.10104237506</v>
      </c>
      <c r="AH3078">
        <v>16.233865553511301</v>
      </c>
      <c r="AI3078">
        <v>93.614509756599602</v>
      </c>
      <c r="AJ3078">
        <v>68.649084739353697</v>
      </c>
      <c r="AK3078">
        <v>17.464870323962</v>
      </c>
    </row>
    <row r="3079" spans="1:37" x14ac:dyDescent="0.2">
      <c r="A3079" t="str">
        <f>"20200111150703328"</f>
        <v>20200111150703328</v>
      </c>
      <c r="B3079" t="str">
        <f>"1578726423319996"</f>
        <v>1578726423319996</v>
      </c>
      <c r="C3079" t="s">
        <v>37</v>
      </c>
      <c r="D3079">
        <v>5.0111600000000003</v>
      </c>
      <c r="E3079">
        <v>0.61360479999999995</v>
      </c>
      <c r="F3079" t="s">
        <v>78</v>
      </c>
      <c r="G3079">
        <v>-205.58109999999999</v>
      </c>
      <c r="H3079" s="1">
        <v>-9.4485199999999906E-6</v>
      </c>
      <c r="I3079">
        <v>147.6498</v>
      </c>
      <c r="J3079">
        <v>-196.97030000000001</v>
      </c>
      <c r="K3079">
        <v>1.10056</v>
      </c>
      <c r="L3079">
        <v>132.82310000000001</v>
      </c>
      <c r="M3079">
        <v>-0.78769080000000002</v>
      </c>
      <c r="N3079">
        <v>0</v>
      </c>
      <c r="O3079">
        <v>0.61591830000000003</v>
      </c>
      <c r="P3079">
        <v>-0.71134849999999905</v>
      </c>
      <c r="Q3079">
        <v>0.17168900000000001</v>
      </c>
      <c r="R3079">
        <v>0.68154689999999996</v>
      </c>
      <c r="S3079">
        <v>-1.6300509999999999</v>
      </c>
      <c r="T3079">
        <v>-0.2032455</v>
      </c>
      <c r="U3079">
        <v>2.7696230000000002</v>
      </c>
      <c r="V3079">
        <v>0.1002818</v>
      </c>
      <c r="W3079">
        <v>0.18426600000000001</v>
      </c>
      <c r="X3079">
        <v>0.97774719999999904</v>
      </c>
      <c r="Y3079">
        <v>0.36674600000000002</v>
      </c>
      <c r="Z3079">
        <v>-2.9449340000000001E-2</v>
      </c>
      <c r="AA3079">
        <v>0.92985490000000004</v>
      </c>
      <c r="AB3079">
        <v>25</v>
      </c>
      <c r="AC3079">
        <v>-8.6107999999999798</v>
      </c>
      <c r="AD3079">
        <v>-1.1005694485199999</v>
      </c>
      <c r="AE3079">
        <v>14.826699999999899</v>
      </c>
      <c r="AF3079">
        <v>6.34974236334737</v>
      </c>
      <c r="AG3079">
        <v>-1.1005694485199999</v>
      </c>
      <c r="AH3079">
        <v>15.850869544922499</v>
      </c>
      <c r="AI3079">
        <v>93.687812931602195</v>
      </c>
      <c r="AJ3079">
        <v>68.169322143888294</v>
      </c>
      <c r="AK3079">
        <v>17.110831263327199</v>
      </c>
    </row>
    <row r="3080" spans="1:37" x14ac:dyDescent="0.2">
      <c r="A3080" t="str">
        <f>"20200111150703371"</f>
        <v>20200111150703371</v>
      </c>
      <c r="B3080" t="str">
        <f>"1578726423360013"</f>
        <v>1578726423360013</v>
      </c>
      <c r="C3080" t="s">
        <v>37</v>
      </c>
      <c r="D3080">
        <v>5.04603</v>
      </c>
      <c r="E3080">
        <v>0.59035209999999905</v>
      </c>
      <c r="F3080" t="s">
        <v>78</v>
      </c>
      <c r="G3080">
        <v>-205.28049999999999</v>
      </c>
      <c r="H3080" s="1">
        <v>-9.5002820000000003E-6</v>
      </c>
      <c r="I3080">
        <v>147.3408</v>
      </c>
      <c r="J3080">
        <v>-197.3357</v>
      </c>
      <c r="K3080">
        <v>1.0997840000000001</v>
      </c>
      <c r="L3080">
        <v>133.1251</v>
      </c>
      <c r="M3080">
        <v>-0.78081020000000001</v>
      </c>
      <c r="N3080">
        <v>0</v>
      </c>
      <c r="O3080">
        <v>0.62461509999999998</v>
      </c>
      <c r="P3080">
        <v>-0.69491400000000003</v>
      </c>
      <c r="Q3080">
        <v>0.16874690000000001</v>
      </c>
      <c r="R3080">
        <v>0.69901279999999999</v>
      </c>
      <c r="S3080">
        <v>-1.5963750000000001</v>
      </c>
      <c r="T3080">
        <v>-0.21141889999999999</v>
      </c>
      <c r="U3080">
        <v>2.7888489999999999</v>
      </c>
      <c r="V3080">
        <v>0.11363330000000001</v>
      </c>
      <c r="W3080">
        <v>0.18111559999999999</v>
      </c>
      <c r="X3080">
        <v>0.97687489999999999</v>
      </c>
      <c r="Y3080">
        <v>0.36768020000000001</v>
      </c>
      <c r="Z3080">
        <v>-3.1262909999999998E-2</v>
      </c>
      <c r="AA3080">
        <v>0.92942669999999905</v>
      </c>
      <c r="AB3080">
        <v>25</v>
      </c>
      <c r="AC3080">
        <v>-7.9447999999999803</v>
      </c>
      <c r="AD3080">
        <v>-1.0997935002820001</v>
      </c>
      <c r="AE3080">
        <v>14.215699999999901</v>
      </c>
      <c r="AF3080">
        <v>6.1100424144997696</v>
      </c>
      <c r="AG3080">
        <v>-1.0997935002820001</v>
      </c>
      <c r="AH3080">
        <v>15.015682238270699</v>
      </c>
      <c r="AI3080">
        <v>93.881087164820201</v>
      </c>
      <c r="AJ3080">
        <v>67.858064287082598</v>
      </c>
      <c r="AK3080">
        <v>16.2484730707524</v>
      </c>
    </row>
    <row r="3081" spans="1:37" x14ac:dyDescent="0.2">
      <c r="A3081" t="str">
        <f>"20200111150703396"</f>
        <v>20200111150703396</v>
      </c>
      <c r="B3081" t="str">
        <f>"1578726423390268"</f>
        <v>1578726423390268</v>
      </c>
      <c r="C3081" t="s">
        <v>37</v>
      </c>
      <c r="D3081">
        <v>4.9428489999999998</v>
      </c>
      <c r="E3081">
        <v>0.59484130000000002</v>
      </c>
      <c r="F3081" t="s">
        <v>78</v>
      </c>
      <c r="G3081">
        <v>-203.95429999999999</v>
      </c>
      <c r="H3081" s="1">
        <v>-9.1140139999999994E-6</v>
      </c>
      <c r="I3081">
        <v>143.90450000000001</v>
      </c>
      <c r="J3081">
        <v>-197.54169999999999</v>
      </c>
      <c r="K3081">
        <v>1.099415</v>
      </c>
      <c r="L3081">
        <v>133.30009999999999</v>
      </c>
      <c r="M3081">
        <v>-0.77629079999999995</v>
      </c>
      <c r="N3081">
        <v>0</v>
      </c>
      <c r="O3081">
        <v>0.63022140000000004</v>
      </c>
      <c r="P3081">
        <v>-0.68600450000000002</v>
      </c>
      <c r="Q3081">
        <v>0.1697361</v>
      </c>
      <c r="R3081">
        <v>0.70752199999999998</v>
      </c>
      <c r="S3081">
        <v>-1.6617580000000001</v>
      </c>
      <c r="T3081">
        <v>-0.2761287</v>
      </c>
      <c r="U3081">
        <v>2.70642099999999</v>
      </c>
      <c r="V3081">
        <v>0.11898640000000001</v>
      </c>
      <c r="W3081">
        <v>0.18200089999999999</v>
      </c>
      <c r="X3081">
        <v>0.97607269999999902</v>
      </c>
      <c r="Y3081">
        <v>0.3324587</v>
      </c>
      <c r="Z3081">
        <v>-4.3134550000000001E-2</v>
      </c>
      <c r="AA3081">
        <v>0.94213089999999999</v>
      </c>
      <c r="AB3081">
        <v>25</v>
      </c>
      <c r="AC3081">
        <v>-6.4125999999999896</v>
      </c>
      <c r="AD3081">
        <v>-1.099424114014</v>
      </c>
      <c r="AE3081">
        <v>10.6044</v>
      </c>
      <c r="AF3081">
        <v>4.15841664031145</v>
      </c>
      <c r="AG3081">
        <v>-1.099424114014</v>
      </c>
      <c r="AH3081">
        <v>11.5712180158447</v>
      </c>
      <c r="AI3081">
        <v>95.109511593430398</v>
      </c>
      <c r="AJ3081">
        <v>70.232786743617297</v>
      </c>
      <c r="AK3081">
        <v>12.344806547982101</v>
      </c>
    </row>
    <row r="3082" spans="1:37" x14ac:dyDescent="0.2">
      <c r="A3082" t="str">
        <f>"20200111150703418"</f>
        <v>20200111150703418</v>
      </c>
      <c r="B3082" t="str">
        <f>"1578726423409789"</f>
        <v>1578726423409789</v>
      </c>
      <c r="C3082" t="s">
        <v>37</v>
      </c>
      <c r="D3082">
        <v>4.9654850000000001</v>
      </c>
      <c r="E3082">
        <v>0.59137620000000002</v>
      </c>
      <c r="F3082" t="s">
        <v>78</v>
      </c>
      <c r="G3082">
        <v>-203.0026</v>
      </c>
      <c r="H3082" s="1">
        <v>-9.1521089999999996E-6</v>
      </c>
      <c r="I3082">
        <v>142.6917</v>
      </c>
      <c r="J3082">
        <v>-197.74209999999999</v>
      </c>
      <c r="K3082">
        <v>1.099075</v>
      </c>
      <c r="L3082">
        <v>133.47370000000001</v>
      </c>
      <c r="M3082">
        <v>-0.77141879999999996</v>
      </c>
      <c r="N3082">
        <v>0</v>
      </c>
      <c r="O3082">
        <v>0.63617409999999996</v>
      </c>
      <c r="P3082">
        <v>-0.67614600000000002</v>
      </c>
      <c r="Q3082">
        <v>0.1731201</v>
      </c>
      <c r="R3082">
        <v>0.71613970000000005</v>
      </c>
      <c r="S3082">
        <v>-1.6054379999999999</v>
      </c>
      <c r="T3082">
        <v>-0.32321939999999999</v>
      </c>
      <c r="U3082">
        <v>2.761047</v>
      </c>
      <c r="V3082">
        <v>0.1245811</v>
      </c>
      <c r="W3082">
        <v>0.18526509999999999</v>
      </c>
      <c r="X3082">
        <v>0.97475959999999995</v>
      </c>
      <c r="Y3082">
        <v>0.34794190000000003</v>
      </c>
      <c r="Z3082">
        <v>-5.0181480000000001E-2</v>
      </c>
      <c r="AA3082">
        <v>0.93617209999999995</v>
      </c>
      <c r="AB3082">
        <v>25</v>
      </c>
      <c r="AC3082">
        <v>-5.2605000000000004</v>
      </c>
      <c r="AD3082">
        <v>-1.099084152109</v>
      </c>
      <c r="AE3082">
        <v>9.2179999999999893</v>
      </c>
      <c r="AF3082">
        <v>3.7247687472762601</v>
      </c>
      <c r="AG3082">
        <v>-1.099084152109</v>
      </c>
      <c r="AH3082">
        <v>9.81798475655979</v>
      </c>
      <c r="AI3082">
        <v>95.9752062121824</v>
      </c>
      <c r="AJ3082">
        <v>69.224145777035503</v>
      </c>
      <c r="AK3082">
        <v>10.558158592962201</v>
      </c>
    </row>
    <row r="3083" spans="1:37" x14ac:dyDescent="0.2">
      <c r="A3083" t="str">
        <f>"20200111150703441"</f>
        <v>20200111150703441</v>
      </c>
      <c r="B3083" t="str">
        <f>"1578726423430285"</f>
        <v>1578726423430285</v>
      </c>
      <c r="C3083" t="s">
        <v>37</v>
      </c>
      <c r="D3083">
        <v>5.0274529999999897</v>
      </c>
      <c r="E3083">
        <v>0.58964930000000004</v>
      </c>
      <c r="F3083" t="s">
        <v>78</v>
      </c>
      <c r="G3083">
        <v>-203.6506</v>
      </c>
      <c r="H3083" s="1">
        <v>-9.1922130000000004E-6</v>
      </c>
      <c r="I3083">
        <v>143.76769999999999</v>
      </c>
      <c r="J3083">
        <v>-197.9358</v>
      </c>
      <c r="K3083">
        <v>1.0987719999999901</v>
      </c>
      <c r="L3083">
        <v>133.64490000000001</v>
      </c>
      <c r="M3083">
        <v>-0.76629069999999899</v>
      </c>
      <c r="N3083">
        <v>0</v>
      </c>
      <c r="O3083">
        <v>0.64234019999999903</v>
      </c>
      <c r="P3083">
        <v>-0.66574419999999901</v>
      </c>
      <c r="Q3083">
        <v>0.17726149999999999</v>
      </c>
      <c r="R3083">
        <v>0.7248194</v>
      </c>
      <c r="S3083">
        <v>-1.5859219999999901</v>
      </c>
      <c r="T3083">
        <v>-0.29500879999999902</v>
      </c>
      <c r="U3083">
        <v>2.7630619999999899</v>
      </c>
      <c r="V3083">
        <v>0.13027539999999899</v>
      </c>
      <c r="W3083">
        <v>0.18928439999999999</v>
      </c>
      <c r="X3083">
        <v>0.97324189999999999</v>
      </c>
      <c r="Y3083">
        <v>0.34556750000000003</v>
      </c>
      <c r="Z3083">
        <v>-4.6690139999999998E-2</v>
      </c>
      <c r="AA3083">
        <v>0.937231699999999</v>
      </c>
      <c r="AB3083">
        <v>25</v>
      </c>
      <c r="AC3083">
        <v>-5.7147999999999897</v>
      </c>
      <c r="AD3083">
        <v>-1.098781192213</v>
      </c>
      <c r="AE3083">
        <v>10.1227999999999</v>
      </c>
      <c r="AF3083">
        <v>4.0503774322840203</v>
      </c>
      <c r="AG3083">
        <v>-1.098781192213</v>
      </c>
      <c r="AH3083">
        <v>10.786185633009399</v>
      </c>
      <c r="AI3083">
        <v>95.447653160500394</v>
      </c>
      <c r="AJ3083">
        <v>69.418076064028</v>
      </c>
      <c r="AK3083">
        <v>11.5738791233559</v>
      </c>
    </row>
    <row r="3084" spans="1:37" x14ac:dyDescent="0.2">
      <c r="A3084" t="str">
        <f>"20200111150703465"</f>
        <v>20200111150703465</v>
      </c>
      <c r="B3084" t="str">
        <f>"1578726423460541"</f>
        <v>1578726423460541</v>
      </c>
      <c r="C3084" t="s">
        <v>37</v>
      </c>
      <c r="D3084">
        <v>4.8150940000000002</v>
      </c>
      <c r="E3084">
        <v>0.58597559999999904</v>
      </c>
      <c r="F3084" t="s">
        <v>78</v>
      </c>
      <c r="G3084">
        <v>-204.21809999999999</v>
      </c>
      <c r="H3084" s="1">
        <v>-9.2651129999999993E-6</v>
      </c>
      <c r="I3084">
        <v>144.85310000000001</v>
      </c>
      <c r="J3084">
        <v>-198.1181</v>
      </c>
      <c r="K3084">
        <v>1.0985069999999999</v>
      </c>
      <c r="L3084">
        <v>133.8092</v>
      </c>
      <c r="M3084">
        <v>-0.76106770000000001</v>
      </c>
      <c r="N3084">
        <v>0</v>
      </c>
      <c r="O3084">
        <v>0.6485185</v>
      </c>
      <c r="P3084">
        <v>-0.65424599999999999</v>
      </c>
      <c r="Q3084">
        <v>0.18152850000000001</v>
      </c>
      <c r="R3084">
        <v>0.73417270000000001</v>
      </c>
      <c r="S3084">
        <v>-1.5561069999999999</v>
      </c>
      <c r="T3084">
        <v>-0.27216479999999998</v>
      </c>
      <c r="U3084">
        <v>2.7762449999999999</v>
      </c>
      <c r="V3084">
        <v>0.13714979999999999</v>
      </c>
      <c r="W3084">
        <v>0.1934082</v>
      </c>
      <c r="X3084">
        <v>0.97148509999999999</v>
      </c>
      <c r="Y3084">
        <v>0.3474315</v>
      </c>
      <c r="Z3084">
        <v>-4.367737E-2</v>
      </c>
      <c r="AA3084">
        <v>0.93668759999999995</v>
      </c>
      <c r="AB3084">
        <v>25</v>
      </c>
      <c r="AC3084">
        <v>-6.0999999999999899</v>
      </c>
      <c r="AD3084">
        <v>-1.0985162651129901</v>
      </c>
      <c r="AE3084">
        <v>11.043900000000001</v>
      </c>
      <c r="AF3084">
        <v>4.4161578498891503</v>
      </c>
      <c r="AG3084">
        <v>-1.0985162651129901</v>
      </c>
      <c r="AH3084">
        <v>11.717037653750699</v>
      </c>
      <c r="AI3084">
        <v>95.0136902328844</v>
      </c>
      <c r="AJ3084">
        <v>69.348546584091096</v>
      </c>
      <c r="AK3084">
        <v>12.5697318793706</v>
      </c>
    </row>
    <row r="3085" spans="1:37" x14ac:dyDescent="0.2">
      <c r="A3085" t="str">
        <f>"20200111150703486"</f>
        <v>20200111150703486</v>
      </c>
      <c r="B3085" t="str">
        <f>"1578726423480060"</f>
        <v>1578726423480060</v>
      </c>
      <c r="C3085" t="s">
        <v>37</v>
      </c>
      <c r="D3085">
        <v>4.9639480000000002</v>
      </c>
      <c r="E3085">
        <v>0.66763539999999999</v>
      </c>
      <c r="F3085" t="s">
        <v>78</v>
      </c>
      <c r="G3085">
        <v>-204.8389</v>
      </c>
      <c r="H3085" s="1">
        <v>-9.3305149999999992E-6</v>
      </c>
      <c r="I3085">
        <v>145.98609999999999</v>
      </c>
      <c r="J3085">
        <v>-198.3159</v>
      </c>
      <c r="K3085">
        <v>1.098204</v>
      </c>
      <c r="L3085">
        <v>133.9914</v>
      </c>
      <c r="M3085">
        <v>-0.75492760000000003</v>
      </c>
      <c r="N3085">
        <v>0</v>
      </c>
      <c r="O3085">
        <v>0.65565410000000002</v>
      </c>
      <c r="P3085">
        <v>-0.64109559999999999</v>
      </c>
      <c r="Q3085">
        <v>0.18495420000000001</v>
      </c>
      <c r="R3085">
        <v>0.74484110000000003</v>
      </c>
      <c r="S3085">
        <v>-1.534729</v>
      </c>
      <c r="T3085">
        <v>-0.25085249999999998</v>
      </c>
      <c r="U3085">
        <v>2.7806549999999999</v>
      </c>
      <c r="V3085">
        <v>0.1448593</v>
      </c>
      <c r="W3085">
        <v>0.19666420000000001</v>
      </c>
      <c r="X3085">
        <v>0.96971079999999998</v>
      </c>
      <c r="Y3085">
        <v>0.34466910000000001</v>
      </c>
      <c r="Z3085">
        <v>-4.1094609999999997E-2</v>
      </c>
      <c r="AA3085">
        <v>0.93782430000000006</v>
      </c>
      <c r="AB3085">
        <v>25</v>
      </c>
      <c r="AC3085">
        <v>-6.5229999999999899</v>
      </c>
      <c r="AD3085">
        <v>-1.0982133305149999</v>
      </c>
      <c r="AE3085">
        <v>11.9946999999999</v>
      </c>
      <c r="AF3085">
        <v>4.7480631903179802</v>
      </c>
      <c r="AG3085">
        <v>-1.0982133305149999</v>
      </c>
      <c r="AH3085">
        <v>12.707844663928199</v>
      </c>
      <c r="AI3085">
        <v>94.628230229308002</v>
      </c>
      <c r="AJ3085">
        <v>69.512680089068397</v>
      </c>
      <c r="AK3085">
        <v>13.6102715836643</v>
      </c>
    </row>
    <row r="3086" spans="1:37" x14ac:dyDescent="0.2">
      <c r="A3086" t="str">
        <f>"20200111150703507"</f>
        <v>20200111150703507</v>
      </c>
      <c r="B3086" t="str">
        <f>"1578726423500556"</f>
        <v>1578726423500556</v>
      </c>
      <c r="C3086" t="s">
        <v>37</v>
      </c>
      <c r="D3086">
        <v>5.2274440000000002</v>
      </c>
      <c r="E3086">
        <v>0.66763539999999999</v>
      </c>
      <c r="F3086" t="s">
        <v>112</v>
      </c>
      <c r="G3086">
        <v>-233.18770000000001</v>
      </c>
      <c r="H3086">
        <v>7.591863</v>
      </c>
      <c r="I3086">
        <v>250.3931</v>
      </c>
      <c r="J3086">
        <v>-198.47749999999999</v>
      </c>
      <c r="K3086">
        <v>1.0979369999999999</v>
      </c>
      <c r="L3086">
        <v>134.14359999999999</v>
      </c>
      <c r="M3086">
        <v>-0.74949900000000003</v>
      </c>
      <c r="N3086">
        <v>0</v>
      </c>
      <c r="O3086">
        <v>0.66185150000000004</v>
      </c>
      <c r="P3086">
        <v>-0.62643280000000001</v>
      </c>
      <c r="Q3086">
        <v>0.18694720000000001</v>
      </c>
      <c r="R3086">
        <v>0.75672510000000004</v>
      </c>
      <c r="S3086">
        <v>-0.94882199999999906</v>
      </c>
      <c r="T3086">
        <v>0.17668519999999999</v>
      </c>
      <c r="U3086">
        <v>3.16716</v>
      </c>
      <c r="V3086">
        <v>0.15562609999999999</v>
      </c>
      <c r="W3086">
        <v>0.1984311</v>
      </c>
      <c r="X3086">
        <v>0.9676806</v>
      </c>
      <c r="Y3086">
        <v>0.52810040000000003</v>
      </c>
      <c r="Z3086">
        <v>2.3908189999999999E-2</v>
      </c>
      <c r="AA3086">
        <v>0.84884530000000002</v>
      </c>
      <c r="AB3086">
        <v>25</v>
      </c>
      <c r="AC3086">
        <v>-34.7102</v>
      </c>
      <c r="AD3086">
        <v>6.4939260000000001</v>
      </c>
      <c r="AE3086">
        <v>116.2495</v>
      </c>
      <c r="AF3086">
        <v>63.979117551470999</v>
      </c>
      <c r="AG3086">
        <v>6.4939260000000001</v>
      </c>
      <c r="AH3086">
        <v>102.67149408937</v>
      </c>
      <c r="AI3086">
        <v>86.927297679078904</v>
      </c>
      <c r="AJ3086">
        <v>58.071153696452697</v>
      </c>
      <c r="AK3086">
        <v>121.148397662132</v>
      </c>
    </row>
    <row r="3087" spans="1:37" x14ac:dyDescent="0.2">
      <c r="A3087" t="str">
        <f>"20200111150703529"</f>
        <v>20200111150703529</v>
      </c>
      <c r="B3087" t="str">
        <f>"1578726423520076"</f>
        <v>1578726423520076</v>
      </c>
      <c r="C3087" t="s">
        <v>37</v>
      </c>
      <c r="D3087">
        <v>4.9401489999999999</v>
      </c>
      <c r="E3087">
        <v>0.66763539999999999</v>
      </c>
      <c r="F3087" t="s">
        <v>112</v>
      </c>
      <c r="G3087">
        <v>-233.30269999999999</v>
      </c>
      <c r="H3087">
        <v>8.1743389999999998</v>
      </c>
      <c r="I3087">
        <v>258.95639999999997</v>
      </c>
      <c r="J3087">
        <v>-198.66210000000001</v>
      </c>
      <c r="K3087">
        <v>1.0975919999999999</v>
      </c>
      <c r="L3087">
        <v>134.3212</v>
      </c>
      <c r="M3087">
        <v>-0.74283569999999999</v>
      </c>
      <c r="N3087">
        <v>0</v>
      </c>
      <c r="O3087">
        <v>0.66931969999999996</v>
      </c>
      <c r="P3087">
        <v>-0.60836579999999996</v>
      </c>
      <c r="Q3087">
        <v>0.187443</v>
      </c>
      <c r="R3087">
        <v>0.77120440000000001</v>
      </c>
      <c r="S3087">
        <v>-0.88848879999999997</v>
      </c>
      <c r="T3087">
        <v>0.18053900000000001</v>
      </c>
      <c r="U3087">
        <v>3.184326</v>
      </c>
      <c r="V3087">
        <v>0.16893420000000001</v>
      </c>
      <c r="W3087">
        <v>0.1986311</v>
      </c>
      <c r="X3087">
        <v>0.96540499999999996</v>
      </c>
      <c r="Y3087">
        <v>0.5356841</v>
      </c>
      <c r="Z3087">
        <v>2.4745119999999999E-2</v>
      </c>
      <c r="AA3087">
        <v>0.84405580000000002</v>
      </c>
      <c r="AB3087">
        <v>25</v>
      </c>
      <c r="AC3087">
        <v>-34.6405999999999</v>
      </c>
      <c r="AD3087">
        <v>7.0767470000000001</v>
      </c>
      <c r="AE3087">
        <v>124.635199999999</v>
      </c>
      <c r="AF3087">
        <v>69.1979063597406</v>
      </c>
      <c r="AG3087">
        <v>7.0767470000000001</v>
      </c>
      <c r="AH3087">
        <v>108.83860139039901</v>
      </c>
      <c r="AI3087">
        <v>86.859345370388596</v>
      </c>
      <c r="AJ3087">
        <v>57.552427759005198</v>
      </c>
      <c r="AK3087">
        <v>129.16761105359001</v>
      </c>
    </row>
    <row r="3088" spans="1:37" x14ac:dyDescent="0.2">
      <c r="A3088" t="str">
        <f>"20200111150703551"</f>
        <v>20200111150703551</v>
      </c>
      <c r="B3088" t="str">
        <f>"1578726423540574"</f>
        <v>1578726423540574</v>
      </c>
      <c r="C3088" t="s">
        <v>37</v>
      </c>
      <c r="D3088">
        <v>5.0075329999999996</v>
      </c>
      <c r="E3088">
        <v>0.74837240000000005</v>
      </c>
      <c r="F3088" t="s">
        <v>113</v>
      </c>
      <c r="G3088">
        <v>-243.56559999999999</v>
      </c>
      <c r="H3088">
        <v>10.99103</v>
      </c>
      <c r="I3088">
        <v>311.03949999999998</v>
      </c>
      <c r="J3088">
        <v>-198.82810000000001</v>
      </c>
      <c r="K3088">
        <v>1.097264</v>
      </c>
      <c r="L3088">
        <v>134.48500000000001</v>
      </c>
      <c r="M3088">
        <v>-0.73635919999999999</v>
      </c>
      <c r="N3088">
        <v>0</v>
      </c>
      <c r="O3088">
        <v>0.67643640000000005</v>
      </c>
      <c r="P3088">
        <v>-0.59043480000000004</v>
      </c>
      <c r="Q3088">
        <v>0.18802669999999999</v>
      </c>
      <c r="R3088">
        <v>0.78487750000000001</v>
      </c>
      <c r="S3088">
        <v>-0.81416319999999998</v>
      </c>
      <c r="T3088">
        <v>0.17938199999999899</v>
      </c>
      <c r="U3088">
        <v>3.2041469999999999</v>
      </c>
      <c r="V3088">
        <v>0.18197920000000001</v>
      </c>
      <c r="W3088">
        <v>0.19890450000000001</v>
      </c>
      <c r="X3088">
        <v>0.96297479999999902</v>
      </c>
      <c r="Y3088">
        <v>0.54714370000000001</v>
      </c>
      <c r="Z3088">
        <v>2.4778789999999998E-2</v>
      </c>
      <c r="AA3088">
        <v>0.83667179999999997</v>
      </c>
      <c r="AB3088">
        <v>25</v>
      </c>
      <c r="AC3088">
        <v>-44.737499999999898</v>
      </c>
      <c r="AD3088">
        <v>9.8937659999999994</v>
      </c>
      <c r="AE3088">
        <v>176.554499999999</v>
      </c>
      <c r="AF3088">
        <v>99.462384911243603</v>
      </c>
      <c r="AG3088">
        <v>9.8937659999999994</v>
      </c>
      <c r="AH3088">
        <v>151.93834041074399</v>
      </c>
      <c r="AI3088">
        <v>86.881521179388599</v>
      </c>
      <c r="AJ3088">
        <v>56.790305457221699</v>
      </c>
      <c r="AK3088">
        <v>181.867841865092</v>
      </c>
    </row>
    <row r="3089" spans="1:37" x14ac:dyDescent="0.2">
      <c r="A3089" t="str">
        <f>"20200111150703572"</f>
        <v>20200111150703572</v>
      </c>
      <c r="B3089" t="str">
        <f>"1578726423560092"</f>
        <v>1578726423560092</v>
      </c>
      <c r="C3089" t="s">
        <v>37</v>
      </c>
      <c r="D3089">
        <v>5.0980230000000004</v>
      </c>
      <c r="E3089">
        <v>0.74902619999999998</v>
      </c>
      <c r="F3089" t="s">
        <v>39</v>
      </c>
      <c r="G3089">
        <v>-201.2936</v>
      </c>
      <c r="H3089">
        <v>7.9986710000000003E-2</v>
      </c>
      <c r="I3089">
        <v>170.179</v>
      </c>
      <c r="J3089">
        <v>-198.99469999999999</v>
      </c>
      <c r="K3089">
        <v>1.0969329999999999</v>
      </c>
      <c r="L3089">
        <v>134.6534</v>
      </c>
      <c r="M3089">
        <v>-0.72937189999999996</v>
      </c>
      <c r="N3089">
        <v>0</v>
      </c>
      <c r="O3089">
        <v>0.68396299999999999</v>
      </c>
      <c r="P3089">
        <v>-0.57241900000000001</v>
      </c>
      <c r="Q3089">
        <v>0.18920120000000001</v>
      </c>
      <c r="R3089">
        <v>0.79783419999999905</v>
      </c>
      <c r="S3089">
        <v>-0.25260929999999998</v>
      </c>
      <c r="T3089">
        <v>-0.1042299</v>
      </c>
      <c r="U3089">
        <v>3.6571959999999999</v>
      </c>
      <c r="V3089">
        <v>0.19401099999999999</v>
      </c>
      <c r="W3089">
        <v>0.19976429999999901</v>
      </c>
      <c r="X3089">
        <v>0.96044470000000004</v>
      </c>
      <c r="Y3089">
        <v>0.68053759999999996</v>
      </c>
      <c r="Z3089">
        <v>-1.129953E-2</v>
      </c>
      <c r="AA3089">
        <v>0.732626</v>
      </c>
      <c r="AB3089">
        <v>25</v>
      </c>
      <c r="AC3089">
        <v>-2.2989000000000002</v>
      </c>
      <c r="AD3089">
        <v>-1.0169462899999999</v>
      </c>
      <c r="AE3089">
        <v>35.525599999999997</v>
      </c>
      <c r="AF3089">
        <v>24.321736086434701</v>
      </c>
      <c r="AG3089">
        <v>-1.0169462899999999</v>
      </c>
      <c r="AH3089">
        <v>25.9565120878455</v>
      </c>
      <c r="AI3089">
        <v>91.637599818668306</v>
      </c>
      <c r="AJ3089">
        <v>46.862291983235799</v>
      </c>
      <c r="AK3089">
        <v>35.585411979930697</v>
      </c>
    </row>
    <row r="3090" spans="1:37" x14ac:dyDescent="0.2">
      <c r="A3090" t="str">
        <f>"20200111150703595"</f>
        <v>20200111150703595</v>
      </c>
      <c r="B3090" t="str">
        <f>"1578726423590348"</f>
        <v>1578726423590348</v>
      </c>
      <c r="C3090" t="s">
        <v>37</v>
      </c>
      <c r="D3090">
        <v>4.7036369999999996</v>
      </c>
      <c r="E3090">
        <v>0.76406879999999999</v>
      </c>
      <c r="F3090" t="s">
        <v>39</v>
      </c>
      <c r="G3090">
        <v>-200.62029999999999</v>
      </c>
      <c r="H3090">
        <v>7.9986580000000002E-2</v>
      </c>
      <c r="I3090">
        <v>170.5453</v>
      </c>
      <c r="J3090">
        <v>-199.17070000000001</v>
      </c>
      <c r="K3090">
        <v>1.0965780000000001</v>
      </c>
      <c r="L3090">
        <v>134.83609999999999</v>
      </c>
      <c r="M3090">
        <v>-0.72139069999999905</v>
      </c>
      <c r="N3090">
        <v>0</v>
      </c>
      <c r="O3090">
        <v>0.69237360000000003</v>
      </c>
      <c r="P3090">
        <v>-0.55337250000000004</v>
      </c>
      <c r="Q3090">
        <v>0.1906977</v>
      </c>
      <c r="R3090">
        <v>0.81081029999999998</v>
      </c>
      <c r="S3090">
        <v>-0.16601559999999899</v>
      </c>
      <c r="T3090">
        <v>-0.103862</v>
      </c>
      <c r="U3090">
        <v>3.6656949999999999</v>
      </c>
      <c r="V3090">
        <v>0.20558129999999999</v>
      </c>
      <c r="W3090">
        <v>0.20093449999999999</v>
      </c>
      <c r="X3090">
        <v>0.95778999999999903</v>
      </c>
      <c r="Y3090">
        <v>0.689357</v>
      </c>
      <c r="Z3090">
        <v>-1.143255E-2</v>
      </c>
      <c r="AA3090">
        <v>0.72433159999999996</v>
      </c>
      <c r="AB3090">
        <v>25</v>
      </c>
      <c r="AC3090">
        <v>-1.44959999999997</v>
      </c>
      <c r="AD3090">
        <v>-1.0165914199999999</v>
      </c>
      <c r="AE3090">
        <v>35.709200000000003</v>
      </c>
      <c r="AF3090">
        <v>24.739255328340199</v>
      </c>
      <c r="AG3090">
        <v>-1.0165914199999999</v>
      </c>
      <c r="AH3090">
        <v>25.751759945033299</v>
      </c>
      <c r="AI3090">
        <v>91.630667370411302</v>
      </c>
      <c r="AJ3090">
        <v>46.148807697631</v>
      </c>
      <c r="AK3090">
        <v>35.724184421518302</v>
      </c>
    </row>
    <row r="3091" spans="1:37" x14ac:dyDescent="0.2">
      <c r="A3091" t="str">
        <f>"20200111150703619"</f>
        <v>20200111150703619</v>
      </c>
      <c r="B3091" t="str">
        <f>"1578726423609869"</f>
        <v>1578726423609869</v>
      </c>
      <c r="C3091" t="s">
        <v>37</v>
      </c>
      <c r="D3091">
        <v>5.0287439999999997</v>
      </c>
      <c r="E3091">
        <v>0.74373230000000001</v>
      </c>
      <c r="F3091" t="s">
        <v>54</v>
      </c>
      <c r="G3091">
        <v>-195.49930000000001</v>
      </c>
      <c r="H3091">
        <v>20.507110000000001</v>
      </c>
      <c r="I3091">
        <v>391.87</v>
      </c>
      <c r="J3091">
        <v>-199.35980000000001</v>
      </c>
      <c r="K3091">
        <v>1.0962099999999999</v>
      </c>
      <c r="L3091">
        <v>135.0385</v>
      </c>
      <c r="M3091">
        <v>-0.7121149</v>
      </c>
      <c r="N3091">
        <v>0</v>
      </c>
      <c r="O3091">
        <v>0.70190790000000003</v>
      </c>
      <c r="P3091">
        <v>-0.53418559999999904</v>
      </c>
      <c r="Q3091">
        <v>0.19137960000000001</v>
      </c>
      <c r="R3091">
        <v>0.82341949999999997</v>
      </c>
      <c r="S3091">
        <v>5.2429199999999898E-2</v>
      </c>
      <c r="T3091">
        <v>0.27719349999999998</v>
      </c>
      <c r="U3091">
        <v>3.6705930000000002</v>
      </c>
      <c r="V3091">
        <v>0.21542889999999901</v>
      </c>
      <c r="W3091">
        <v>0.201314299999999</v>
      </c>
      <c r="X3091">
        <v>0.95554329999999998</v>
      </c>
      <c r="Y3091">
        <v>0.72177309999999995</v>
      </c>
      <c r="Z3091">
        <v>3.0004039999999999E-2</v>
      </c>
      <c r="AA3091">
        <v>0.69147910000000001</v>
      </c>
      <c r="AB3091">
        <v>24</v>
      </c>
      <c r="AC3091">
        <v>3.8605</v>
      </c>
      <c r="AD3091">
        <v>19.410900000000002</v>
      </c>
      <c r="AE3091">
        <v>256.83150000000001</v>
      </c>
      <c r="AF3091">
        <v>184.56941841655799</v>
      </c>
      <c r="AG3091">
        <v>19.410900000000002</v>
      </c>
      <c r="AH3091">
        <v>176.534112708245</v>
      </c>
      <c r="AI3091">
        <v>85.653797412974797</v>
      </c>
      <c r="AJ3091">
        <v>43.725259935014101</v>
      </c>
      <c r="AK3091">
        <v>256.138529321779</v>
      </c>
    </row>
    <row r="3092" spans="1:37" x14ac:dyDescent="0.2">
      <c r="A3092" t="str">
        <f>"20200111150703662"</f>
        <v>20200111150703662</v>
      </c>
      <c r="B3092" t="str">
        <f>"1578726423649885"</f>
        <v>1578726423649885</v>
      </c>
      <c r="C3092" t="s">
        <v>37</v>
      </c>
      <c r="D3092">
        <v>4.7214269999999896</v>
      </c>
      <c r="E3092">
        <v>0.69439269999999997</v>
      </c>
      <c r="F3092" t="s">
        <v>39</v>
      </c>
      <c r="G3092">
        <v>-199.6842</v>
      </c>
      <c r="H3092" s="1">
        <v>-3.0781490000000001E-6</v>
      </c>
      <c r="I3092">
        <v>170.98419999999999</v>
      </c>
      <c r="J3092">
        <v>-199.6748</v>
      </c>
      <c r="K3092">
        <v>1.095656</v>
      </c>
      <c r="L3092">
        <v>135.39009999999999</v>
      </c>
      <c r="M3092">
        <v>-0.69508610000000004</v>
      </c>
      <c r="N3092">
        <v>0</v>
      </c>
      <c r="O3092">
        <v>0.7187713</v>
      </c>
      <c r="P3092">
        <v>-0.5011504</v>
      </c>
      <c r="Q3092">
        <v>0.19026379999999901</v>
      </c>
      <c r="R3092">
        <v>0.84418479999999996</v>
      </c>
      <c r="S3092">
        <v>-3.2928470000000001E-2</v>
      </c>
      <c r="T3092">
        <v>-0.1112446</v>
      </c>
      <c r="U3092">
        <v>3.6477970000000002</v>
      </c>
      <c r="V3092">
        <v>0.23081959999999899</v>
      </c>
      <c r="W3092">
        <v>0.19972690000000001</v>
      </c>
      <c r="X3092">
        <v>0.95227700000000004</v>
      </c>
      <c r="Y3092">
        <v>0.68859579999999998</v>
      </c>
      <c r="Z3092">
        <v>-1.345497E-2</v>
      </c>
      <c r="AA3092">
        <v>0.72502060000000002</v>
      </c>
      <c r="AB3092">
        <v>24</v>
      </c>
      <c r="AC3092">
        <v>-9.3999999999994002E-3</v>
      </c>
      <c r="AD3092">
        <v>-1.0956590781489901</v>
      </c>
      <c r="AE3092">
        <v>35.594099999999997</v>
      </c>
      <c r="AF3092">
        <v>24.713550728320001</v>
      </c>
      <c r="AG3092">
        <v>-1.0956590781489901</v>
      </c>
      <c r="AH3092">
        <v>25.569179182890501</v>
      </c>
      <c r="AI3092">
        <v>91.764793856605394</v>
      </c>
      <c r="AJ3092">
        <v>45.974870864476799</v>
      </c>
      <c r="AK3092">
        <v>35.577281831297</v>
      </c>
    </row>
    <row r="3093" spans="1:37" x14ac:dyDescent="0.2">
      <c r="A3093" t="str">
        <f>"20200111150703707"</f>
        <v>20200111150703707</v>
      </c>
      <c r="B3093" t="str">
        <f>"1578726423699660"</f>
        <v>1578726423699660</v>
      </c>
      <c r="C3093" t="s">
        <v>37</v>
      </c>
      <c r="D3093">
        <v>5.0164989999999996</v>
      </c>
      <c r="E3093">
        <v>0.69552369999999997</v>
      </c>
      <c r="F3093" t="s">
        <v>39</v>
      </c>
      <c r="G3093">
        <v>-215.31099999999901</v>
      </c>
      <c r="H3093">
        <v>6.6459009999999999E-2</v>
      </c>
      <c r="I3093">
        <v>379.63290000000001</v>
      </c>
      <c r="J3093">
        <v>-199.9991</v>
      </c>
      <c r="K3093">
        <v>1.0951500000000001</v>
      </c>
      <c r="L3093">
        <v>135.77379999999999</v>
      </c>
      <c r="M3093">
        <v>-0.67524039999999996</v>
      </c>
      <c r="N3093">
        <v>0</v>
      </c>
      <c r="O3093">
        <v>0.73744270000000001</v>
      </c>
      <c r="P3093">
        <v>-0.4652442</v>
      </c>
      <c r="Q3093">
        <v>0.18473689999999901</v>
      </c>
      <c r="R3093">
        <v>0.86569050000000003</v>
      </c>
      <c r="S3093">
        <v>-0.219375599999999</v>
      </c>
      <c r="T3093">
        <v>-1.44397E-2</v>
      </c>
      <c r="U3093">
        <v>3.4267430000000001</v>
      </c>
      <c r="V3093">
        <v>0.24583089999999899</v>
      </c>
      <c r="W3093">
        <v>0.193732399999999</v>
      </c>
      <c r="X3093">
        <v>0.94975520000000002</v>
      </c>
      <c r="Y3093">
        <v>0.6268184</v>
      </c>
      <c r="Z3093">
        <v>-2.1009370000000002E-3</v>
      </c>
      <c r="AA3093">
        <v>0.77916249999999998</v>
      </c>
      <c r="AB3093">
        <v>24</v>
      </c>
      <c r="AC3093">
        <v>-15.3118999999999</v>
      </c>
      <c r="AD3093">
        <v>-1.0286909900000001</v>
      </c>
      <c r="AE3093">
        <v>243.85910000000001</v>
      </c>
      <c r="AF3093">
        <v>153.38668709655201</v>
      </c>
      <c r="AG3093">
        <v>-1.0286909900000001</v>
      </c>
      <c r="AH3093">
        <v>190.189702144797</v>
      </c>
      <c r="AI3093">
        <v>90.241223323599598</v>
      </c>
      <c r="AJ3093">
        <v>51.1140624414573</v>
      </c>
      <c r="AK3093">
        <v>244.337178475841</v>
      </c>
    </row>
    <row r="3094" spans="1:37" x14ac:dyDescent="0.2">
      <c r="A3094" t="str">
        <f>"20200111150703728"</f>
        <v>20200111150703728</v>
      </c>
      <c r="B3094" t="str">
        <f>"1578726423720156"</f>
        <v>1578726423720156</v>
      </c>
      <c r="C3094" t="s">
        <v>37</v>
      </c>
      <c r="D3094">
        <v>5.0809699999999998</v>
      </c>
      <c r="E3094">
        <v>0.69773300000000005</v>
      </c>
      <c r="F3094" t="s">
        <v>39</v>
      </c>
      <c r="G3094">
        <v>-201.0625</v>
      </c>
      <c r="H3094">
        <v>7.9985710000000002E-2</v>
      </c>
      <c r="I3094">
        <v>188.55690000000001</v>
      </c>
      <c r="J3094">
        <v>-200.15039999999999</v>
      </c>
      <c r="K3094">
        <v>1.0949249999999999</v>
      </c>
      <c r="L3094">
        <v>135.96119999999999</v>
      </c>
      <c r="M3094">
        <v>-0.66513159999999905</v>
      </c>
      <c r="N3094">
        <v>0</v>
      </c>
      <c r="O3094">
        <v>0.74657119999999999</v>
      </c>
      <c r="P3094">
        <v>-0.44473609999999902</v>
      </c>
      <c r="Q3094">
        <v>0.18335650000000001</v>
      </c>
      <c r="R3094">
        <v>0.87669279999999905</v>
      </c>
      <c r="S3094">
        <v>-6.9351199999999905E-2</v>
      </c>
      <c r="T3094">
        <v>-6.6205260000000002E-2</v>
      </c>
      <c r="U3094">
        <v>3.4423219999999999</v>
      </c>
      <c r="V3094">
        <v>0.25553039999999999</v>
      </c>
      <c r="W3094">
        <v>0.19206019999999999</v>
      </c>
      <c r="X3094">
        <v>0.94753209999999999</v>
      </c>
      <c r="Y3094">
        <v>0.65001819999999999</v>
      </c>
      <c r="Z3094">
        <v>-9.6315540000000005E-3</v>
      </c>
      <c r="AA3094">
        <v>0.75985769999999997</v>
      </c>
      <c r="AB3094">
        <v>24</v>
      </c>
      <c r="AC3094">
        <v>-0.91210000000000901</v>
      </c>
      <c r="AD3094">
        <v>-1.0149392899999901</v>
      </c>
      <c r="AE3094">
        <v>52.595700000000001</v>
      </c>
      <c r="AF3094">
        <v>34.293317802490797</v>
      </c>
      <c r="AG3094">
        <v>-1.0149392899999901</v>
      </c>
      <c r="AH3094">
        <v>39.862876029032698</v>
      </c>
      <c r="AI3094">
        <v>91.105744743280795</v>
      </c>
      <c r="AJ3094">
        <v>49.295179702919803</v>
      </c>
      <c r="AK3094">
        <v>52.593826947380897</v>
      </c>
    </row>
    <row r="3095" spans="1:37" x14ac:dyDescent="0.2">
      <c r="A3095" t="str">
        <f>"20200111150703750"</f>
        <v>20200111150703750</v>
      </c>
      <c r="B3095" t="str">
        <f>"1578726423739677"</f>
        <v>1578726423739677</v>
      </c>
      <c r="C3095" t="s">
        <v>37</v>
      </c>
      <c r="D3095">
        <v>5.1015480000000002</v>
      </c>
      <c r="E3095">
        <v>0.69856019999999996</v>
      </c>
      <c r="F3095" t="s">
        <v>39</v>
      </c>
      <c r="G3095">
        <v>-199.86779999999999</v>
      </c>
      <c r="H3095" s="1">
        <v>-5.3142069999999999E-6</v>
      </c>
      <c r="I3095">
        <v>177.45930000000001</v>
      </c>
      <c r="J3095">
        <v>-200.29679999999999</v>
      </c>
      <c r="K3095">
        <v>1.0947340000000001</v>
      </c>
      <c r="L3095">
        <v>136.14840000000001</v>
      </c>
      <c r="M3095">
        <v>-0.65479080000000001</v>
      </c>
      <c r="N3095">
        <v>0</v>
      </c>
      <c r="O3095">
        <v>0.75565530000000003</v>
      </c>
      <c r="P3095">
        <v>-0.42448609999999998</v>
      </c>
      <c r="Q3095">
        <v>0.18297559999999999</v>
      </c>
      <c r="R3095">
        <v>0.88675329999999997</v>
      </c>
      <c r="S3095">
        <v>2.351379E-2</v>
      </c>
      <c r="T3095">
        <v>-9.1105459999999999E-2</v>
      </c>
      <c r="U3095">
        <v>3.4529109999999998</v>
      </c>
      <c r="V3095">
        <v>0.26439669999999998</v>
      </c>
      <c r="W3095">
        <v>0.1914013</v>
      </c>
      <c r="X3095">
        <v>0.94523009999999996</v>
      </c>
      <c r="Y3095">
        <v>0.65996580000000005</v>
      </c>
      <c r="Z3095">
        <v>-1.342486E-2</v>
      </c>
      <c r="AA3095">
        <v>0.75117579999999995</v>
      </c>
      <c r="AB3095">
        <v>24</v>
      </c>
      <c r="AC3095">
        <v>0.42900000000000199</v>
      </c>
      <c r="AD3095">
        <v>-1.0947393142070001</v>
      </c>
      <c r="AE3095">
        <v>41.310899999999997</v>
      </c>
      <c r="AF3095">
        <v>27.358167544189399</v>
      </c>
      <c r="AG3095">
        <v>-1.0947393142070001</v>
      </c>
      <c r="AH3095">
        <v>30.917806880721699</v>
      </c>
      <c r="AI3095">
        <v>91.518967060012699</v>
      </c>
      <c r="AJ3095">
        <v>48.495423727334398</v>
      </c>
      <c r="AK3095">
        <v>41.298650920527798</v>
      </c>
    </row>
    <row r="3096" spans="1:37" x14ac:dyDescent="0.2">
      <c r="A3096" t="str">
        <f>"20200111150703772"</f>
        <v>20200111150703772</v>
      </c>
      <c r="B3096" t="str">
        <f>"1578726423769932"</f>
        <v>1578726423769932</v>
      </c>
      <c r="C3096" t="s">
        <v>37</v>
      </c>
      <c r="D3096">
        <v>4.8273019999999898</v>
      </c>
      <c r="E3096">
        <v>0.69794460000000003</v>
      </c>
      <c r="F3096" t="s">
        <v>39</v>
      </c>
      <c r="G3096">
        <v>-199.28599999999901</v>
      </c>
      <c r="H3096" s="1">
        <v>-2.5274440000000001E-6</v>
      </c>
      <c r="I3096">
        <v>169.72120000000001</v>
      </c>
      <c r="J3096">
        <v>-200.4425</v>
      </c>
      <c r="K3096">
        <v>1.0945559999999901</v>
      </c>
      <c r="L3096">
        <v>136.34059999999999</v>
      </c>
      <c r="M3096">
        <v>-0.64391759999999998</v>
      </c>
      <c r="N3096">
        <v>0</v>
      </c>
      <c r="O3096">
        <v>0.76494019999999996</v>
      </c>
      <c r="P3096">
        <v>-0.406391</v>
      </c>
      <c r="Q3096">
        <v>0.18411939999999999</v>
      </c>
      <c r="R3096">
        <v>0.89495609999999903</v>
      </c>
      <c r="S3096">
        <v>0.10404969999999999</v>
      </c>
      <c r="T3096">
        <v>-0.11269800000000001</v>
      </c>
      <c r="U3096">
        <v>3.4561609999999998</v>
      </c>
      <c r="V3096">
        <v>0.2700533</v>
      </c>
      <c r="W3096">
        <v>0.19234329999999999</v>
      </c>
      <c r="X3096">
        <v>0.943437999999999</v>
      </c>
      <c r="Y3096">
        <v>0.66666910000000001</v>
      </c>
      <c r="Z3096">
        <v>-1.6909879999999999E-2</v>
      </c>
      <c r="AA3096">
        <v>0.74516199999999999</v>
      </c>
      <c r="AB3096">
        <v>24</v>
      </c>
      <c r="AC3096">
        <v>1.1565000000000201</v>
      </c>
      <c r="AD3096">
        <v>-1.094558527444</v>
      </c>
      <c r="AE3096">
        <v>33.380600000000001</v>
      </c>
      <c r="AF3096">
        <v>22.357647106048201</v>
      </c>
      <c r="AG3096">
        <v>-1.094558527444</v>
      </c>
      <c r="AH3096">
        <v>24.765809133964101</v>
      </c>
      <c r="AI3096">
        <v>91.878959446225295</v>
      </c>
      <c r="AJ3096">
        <v>47.925455983945703</v>
      </c>
      <c r="AK3096">
        <v>33.3827462104083</v>
      </c>
    </row>
    <row r="3097" spans="1:37" x14ac:dyDescent="0.2">
      <c r="A3097" t="str">
        <f>"20200111150703817"</f>
        <v>20200111150703817</v>
      </c>
      <c r="B3097" t="str">
        <f>"1578726423809948"</f>
        <v>1578726423809948</v>
      </c>
      <c r="C3097" t="s">
        <v>37</v>
      </c>
      <c r="D3097">
        <v>5.0759189999999998</v>
      </c>
      <c r="E3097">
        <v>0.69675739999999997</v>
      </c>
      <c r="F3097" t="s">
        <v>39</v>
      </c>
      <c r="G3097">
        <v>-198.45519999999999</v>
      </c>
      <c r="H3097" s="1">
        <v>-4.6997390000000001E-6</v>
      </c>
      <c r="I3097">
        <v>176.38990000000001</v>
      </c>
      <c r="J3097">
        <v>-200.726</v>
      </c>
      <c r="K3097">
        <v>1.094195</v>
      </c>
      <c r="L3097">
        <v>136.7345</v>
      </c>
      <c r="M3097">
        <v>-0.62088369999999904</v>
      </c>
      <c r="N3097">
        <v>0</v>
      </c>
      <c r="O3097">
        <v>0.78374840000000001</v>
      </c>
      <c r="P3097">
        <v>-0.37429020000000002</v>
      </c>
      <c r="Q3097">
        <v>0.18801770000000001</v>
      </c>
      <c r="R3097">
        <v>0.90805079999999905</v>
      </c>
      <c r="S3097">
        <v>0.1711578</v>
      </c>
      <c r="T3097">
        <v>-9.426785E-2</v>
      </c>
      <c r="U3097">
        <v>3.4492029999999998</v>
      </c>
      <c r="V3097">
        <v>0.27534509999999901</v>
      </c>
      <c r="W3097">
        <v>0.1960124</v>
      </c>
      <c r="X3097">
        <v>0.941150499999999</v>
      </c>
      <c r="Y3097">
        <v>0.65900550000000002</v>
      </c>
      <c r="Z3097">
        <v>-1.5016420000000001E-2</v>
      </c>
      <c r="AA3097">
        <v>0.7519882</v>
      </c>
      <c r="AB3097">
        <v>24</v>
      </c>
      <c r="AC3097">
        <v>2.2707999999999999</v>
      </c>
      <c r="AD3097">
        <v>-1.094199699739</v>
      </c>
      <c r="AE3097">
        <v>39.6554</v>
      </c>
      <c r="AF3097">
        <v>26.384298606568699</v>
      </c>
      <c r="AG3097">
        <v>-1.094199699739</v>
      </c>
      <c r="AH3097">
        <v>29.6510412268766</v>
      </c>
      <c r="AI3097">
        <v>91.579157575928306</v>
      </c>
      <c r="AJ3097">
        <v>48.336447225862202</v>
      </c>
      <c r="AK3097">
        <v>39.705323720899599</v>
      </c>
    </row>
    <row r="3098" spans="1:37" x14ac:dyDescent="0.2">
      <c r="A3098" t="str">
        <f>"20200111150703839"</f>
        <v>20200111150703839</v>
      </c>
      <c r="B3098" t="str">
        <f>"1578726423830445"</f>
        <v>1578726423830445</v>
      </c>
      <c r="C3098" t="s">
        <v>37</v>
      </c>
      <c r="D3098">
        <v>5.1412509999999996</v>
      </c>
      <c r="E3098">
        <v>0.69703700000000002</v>
      </c>
      <c r="F3098" t="s">
        <v>39</v>
      </c>
      <c r="G3098">
        <v>-195.63900000000001</v>
      </c>
      <c r="H3098" s="1">
        <v>-4.4566870000000003E-6</v>
      </c>
      <c r="I3098">
        <v>197.14359999999999</v>
      </c>
      <c r="J3098">
        <v>-200.86510000000001</v>
      </c>
      <c r="K3098">
        <v>1.094052</v>
      </c>
      <c r="L3098">
        <v>136.93819999999999</v>
      </c>
      <c r="M3098">
        <v>-0.60864659999999904</v>
      </c>
      <c r="N3098">
        <v>0</v>
      </c>
      <c r="O3098">
        <v>0.79328750000000003</v>
      </c>
      <c r="P3098">
        <v>-0.35979659999999902</v>
      </c>
      <c r="Q3098">
        <v>0.1908599</v>
      </c>
      <c r="R3098">
        <v>0.91330109999999998</v>
      </c>
      <c r="S3098">
        <v>0.28933720000000002</v>
      </c>
      <c r="T3098">
        <v>-6.2235470000000001E-2</v>
      </c>
      <c r="U3098">
        <v>3.4359280000000001</v>
      </c>
      <c r="V3098">
        <v>0.2754972</v>
      </c>
      <c r="W3098">
        <v>0.19882269999999999</v>
      </c>
      <c r="X3098">
        <v>0.94051620000000002</v>
      </c>
      <c r="Y3098">
        <v>0.673129599999999</v>
      </c>
      <c r="Z3098">
        <v>-1.0067059999999999E-2</v>
      </c>
      <c r="AA3098">
        <v>0.739456</v>
      </c>
      <c r="AB3098">
        <v>24</v>
      </c>
      <c r="AC3098">
        <v>5.2260999999999997</v>
      </c>
      <c r="AD3098">
        <v>-1.0940564566869999</v>
      </c>
      <c r="AE3098">
        <v>60.205399999999997</v>
      </c>
      <c r="AF3098">
        <v>40.781228112328897</v>
      </c>
      <c r="AG3098">
        <v>-1.0940564566869999</v>
      </c>
      <c r="AH3098">
        <v>44.570180629779898</v>
      </c>
      <c r="AI3098">
        <v>91.037508565891201</v>
      </c>
      <c r="AJ3098">
        <v>47.541827413388503</v>
      </c>
      <c r="AK3098">
        <v>60.421904366309299</v>
      </c>
    </row>
    <row r="3099" spans="1:37" x14ac:dyDescent="0.2">
      <c r="A3099" t="str">
        <f>"20200111150703860"</f>
        <v>20200111150703860</v>
      </c>
      <c r="B3099" t="str">
        <f>"1578726423849964"</f>
        <v>1578726423849964</v>
      </c>
      <c r="C3099" t="s">
        <v>37</v>
      </c>
      <c r="D3099">
        <v>5.1579309999999996</v>
      </c>
      <c r="E3099">
        <v>0.69691700000000001</v>
      </c>
      <c r="F3099" t="s">
        <v>60</v>
      </c>
      <c r="G3099">
        <v>-192.1876</v>
      </c>
      <c r="H3099" s="1">
        <v>2.2889429999999999E-6</v>
      </c>
      <c r="I3099">
        <v>222.0222</v>
      </c>
      <c r="J3099">
        <v>-201.0001</v>
      </c>
      <c r="K3099">
        <v>1.093928</v>
      </c>
      <c r="L3099">
        <v>137.143</v>
      </c>
      <c r="M3099">
        <v>-0.59613739999999904</v>
      </c>
      <c r="N3099">
        <v>0</v>
      </c>
      <c r="O3099">
        <v>0.80272889999999997</v>
      </c>
      <c r="P3099">
        <v>-0.34362379999999998</v>
      </c>
      <c r="Q3099">
        <v>0.19156779999999901</v>
      </c>
      <c r="R3099">
        <v>0.91936090000000004</v>
      </c>
      <c r="S3099">
        <v>0.35000609999999999</v>
      </c>
      <c r="T3099">
        <v>-4.4128540000000001E-2</v>
      </c>
      <c r="U3099">
        <v>3.4318699999999902</v>
      </c>
      <c r="V3099">
        <v>0.2773486</v>
      </c>
      <c r="W3099">
        <v>0.199462</v>
      </c>
      <c r="X3099">
        <v>0.93983649999999996</v>
      </c>
      <c r="Y3099">
        <v>0.6745795</v>
      </c>
      <c r="Z3099">
        <v>-7.3094509999999998E-3</v>
      </c>
      <c r="AA3099">
        <v>0.73816599999999999</v>
      </c>
      <c r="AB3099">
        <v>24</v>
      </c>
      <c r="AC3099">
        <v>8.8125</v>
      </c>
      <c r="AD3099">
        <v>-1.093925711057</v>
      </c>
      <c r="AE3099">
        <v>84.879199999999997</v>
      </c>
      <c r="AF3099">
        <v>57.671346891034098</v>
      </c>
      <c r="AG3099">
        <v>-1.093925711057</v>
      </c>
      <c r="AH3099">
        <v>62.878945121240598</v>
      </c>
      <c r="AI3099">
        <v>90.734562162545004</v>
      </c>
      <c r="AJ3099">
        <v>47.473556910170203</v>
      </c>
      <c r="AK3099">
        <v>85.328439955546401</v>
      </c>
    </row>
    <row r="3100" spans="1:37" x14ac:dyDescent="0.2">
      <c r="A3100" t="str">
        <f>"20200111150703883"</f>
        <v>20200111150703883</v>
      </c>
      <c r="B3100" t="str">
        <f>"1578726423880220"</f>
        <v>1578726423880220</v>
      </c>
      <c r="C3100" t="s">
        <v>37</v>
      </c>
      <c r="D3100">
        <v>5.174868</v>
      </c>
      <c r="E3100">
        <v>0.69593249999999995</v>
      </c>
      <c r="F3100" t="s">
        <v>39</v>
      </c>
      <c r="G3100">
        <v>-188.7808</v>
      </c>
      <c r="H3100" s="1">
        <v>-4.4000329999999997E-6</v>
      </c>
      <c r="I3100">
        <v>238.4819</v>
      </c>
      <c r="J3100">
        <v>-201.13069999999999</v>
      </c>
      <c r="K3100">
        <v>1.0938110000000001</v>
      </c>
      <c r="L3100">
        <v>137.3484</v>
      </c>
      <c r="M3100">
        <v>-0.583387199999999</v>
      </c>
      <c r="N3100">
        <v>0</v>
      </c>
      <c r="O3100">
        <v>0.81204109999999996</v>
      </c>
      <c r="P3100">
        <v>-0.32378040000000002</v>
      </c>
      <c r="Q3100">
        <v>0.18941759999999999</v>
      </c>
      <c r="R3100">
        <v>0.92697750000000001</v>
      </c>
      <c r="S3100">
        <v>0.41300959999999998</v>
      </c>
      <c r="T3100">
        <v>-3.6974670000000001E-2</v>
      </c>
      <c r="U3100">
        <v>3.4252319999999998</v>
      </c>
      <c r="V3100">
        <v>0.28298240000000002</v>
      </c>
      <c r="W3100">
        <v>0.19714100000000001</v>
      </c>
      <c r="X3100">
        <v>0.93864599999999898</v>
      </c>
      <c r="Y3100">
        <v>0.67647919999999995</v>
      </c>
      <c r="Z3100">
        <v>-6.2675300000000003E-3</v>
      </c>
      <c r="AA3100">
        <v>0.73643510000000001</v>
      </c>
      <c r="AB3100">
        <v>24</v>
      </c>
      <c r="AC3100">
        <v>12.3498999999999</v>
      </c>
      <c r="AD3100">
        <v>-1.093815400033</v>
      </c>
      <c r="AE3100">
        <v>101.1335</v>
      </c>
      <c r="AF3100">
        <v>69.029242408864505</v>
      </c>
      <c r="AG3100">
        <v>-1.093815400033</v>
      </c>
      <c r="AH3100">
        <v>74.920465121952105</v>
      </c>
      <c r="AI3100">
        <v>90.6151638307459</v>
      </c>
      <c r="AJ3100">
        <v>47.3435541660985</v>
      </c>
      <c r="AK3100">
        <v>101.878892974751</v>
      </c>
    </row>
    <row r="3101" spans="1:37" x14ac:dyDescent="0.2">
      <c r="A3101" t="str">
        <f>"20200111150703904"</f>
        <v>20200111150703904</v>
      </c>
      <c r="B3101" t="str">
        <f>"1578726423899740"</f>
        <v>1578726423899740</v>
      </c>
      <c r="C3101" t="s">
        <v>37</v>
      </c>
      <c r="D3101">
        <v>5.0410000000000004</v>
      </c>
      <c r="E3101">
        <v>0.69500669999999898</v>
      </c>
      <c r="F3101" t="s">
        <v>60</v>
      </c>
      <c r="G3101">
        <v>-191.0633</v>
      </c>
      <c r="H3101" s="1">
        <v>4.390448E-6</v>
      </c>
      <c r="I3101">
        <v>208.976</v>
      </c>
      <c r="J3101">
        <v>-201.25489999999999</v>
      </c>
      <c r="K3101">
        <v>1.093709</v>
      </c>
      <c r="L3101">
        <v>137.55119999999999</v>
      </c>
      <c r="M3101">
        <v>-0.57060500000000003</v>
      </c>
      <c r="N3101">
        <v>0</v>
      </c>
      <c r="O3101">
        <v>0.82107199999999902</v>
      </c>
      <c r="P3101">
        <v>-0.30130089999999998</v>
      </c>
      <c r="Q3101">
        <v>0.1875069</v>
      </c>
      <c r="R3101">
        <v>0.93491119999999905</v>
      </c>
      <c r="S3101">
        <v>0.47993469999999999</v>
      </c>
      <c r="T3101">
        <v>-5.2143929999999998E-2</v>
      </c>
      <c r="U3101">
        <v>3.4146269999999999</v>
      </c>
      <c r="V3101">
        <v>0.29119339999999999</v>
      </c>
      <c r="W3101">
        <v>0.19497799999999901</v>
      </c>
      <c r="X3101">
        <v>0.93658419999999898</v>
      </c>
      <c r="Y3101">
        <v>0.67940089999999997</v>
      </c>
      <c r="Z3101">
        <v>-9.0352639999999994E-3</v>
      </c>
      <c r="AA3101">
        <v>0.73371169999999997</v>
      </c>
      <c r="AB3101">
        <v>24</v>
      </c>
      <c r="AC3101">
        <v>10.1915999999999</v>
      </c>
      <c r="AD3101">
        <v>-1.093704609552</v>
      </c>
      <c r="AE3101">
        <v>71.424800000000005</v>
      </c>
      <c r="AF3101">
        <v>49.118256957650203</v>
      </c>
      <c r="AG3101">
        <v>-1.093704609552</v>
      </c>
      <c r="AH3101">
        <v>52.824010108036198</v>
      </c>
      <c r="AI3101">
        <v>90.868687057036993</v>
      </c>
      <c r="AJ3101">
        <v>47.081870178084003</v>
      </c>
      <c r="AK3101">
        <v>72.139970891487195</v>
      </c>
    </row>
    <row r="3102" spans="1:37" x14ac:dyDescent="0.2">
      <c r="A3102" t="str">
        <f>"20200111150703928"</f>
        <v>20200111150703928</v>
      </c>
      <c r="B3102" t="str">
        <f>"1578726423920236"</f>
        <v>1578726423920236</v>
      </c>
      <c r="C3102" t="s">
        <v>37</v>
      </c>
      <c r="D3102">
        <v>5.1443750000000001</v>
      </c>
      <c r="E3102">
        <v>0.65757779999999999</v>
      </c>
      <c r="F3102" t="s">
        <v>39</v>
      </c>
      <c r="G3102">
        <v>-192.19739999999999</v>
      </c>
      <c r="H3102" s="1">
        <v>-2.1169879999999999E-6</v>
      </c>
      <c r="I3102">
        <v>193.1609</v>
      </c>
      <c r="J3102">
        <v>-201.38079999999999</v>
      </c>
      <c r="K3102">
        <v>1.0936090000000001</v>
      </c>
      <c r="L3102">
        <v>137.76480000000001</v>
      </c>
      <c r="M3102">
        <v>-0.55693800000000004</v>
      </c>
      <c r="N3102">
        <v>0</v>
      </c>
      <c r="O3102">
        <v>0.83040179999999997</v>
      </c>
      <c r="P3102">
        <v>-0.27914319999999998</v>
      </c>
      <c r="Q3102">
        <v>0.19032370000000001</v>
      </c>
      <c r="R3102">
        <v>0.94119920000000001</v>
      </c>
      <c r="S3102">
        <v>0.55390930000000005</v>
      </c>
      <c r="T3102">
        <v>-6.6885710000000001E-2</v>
      </c>
      <c r="U3102">
        <v>3.4008029999999998</v>
      </c>
      <c r="V3102">
        <v>0.29763020000000001</v>
      </c>
      <c r="W3102">
        <v>0.19757759999999999</v>
      </c>
      <c r="X3102">
        <v>0.93401250000000002</v>
      </c>
      <c r="Y3102">
        <v>0.68324629999999997</v>
      </c>
      <c r="Z3102">
        <v>-1.18497999999999E-2</v>
      </c>
      <c r="AA3102">
        <v>0.73009190000000002</v>
      </c>
      <c r="AB3102">
        <v>24</v>
      </c>
      <c r="AC3102">
        <v>9.1834000000000007</v>
      </c>
      <c r="AD3102">
        <v>-1.0936111169880001</v>
      </c>
      <c r="AE3102">
        <v>55.396099999999898</v>
      </c>
      <c r="AF3102">
        <v>38.468380389153097</v>
      </c>
      <c r="AG3102">
        <v>-1.0936111169880001</v>
      </c>
      <c r="AH3102">
        <v>40.876103418882998</v>
      </c>
      <c r="AI3102">
        <v>91.116166543233803</v>
      </c>
      <c r="AJ3102">
        <v>46.738117648885499</v>
      </c>
      <c r="AK3102">
        <v>56.141500743665503</v>
      </c>
    </row>
    <row r="3103" spans="1:37" x14ac:dyDescent="0.2">
      <c r="A3103" t="str">
        <f>"20200111150703952"</f>
        <v>20200111150703952</v>
      </c>
      <c r="B3103" t="str">
        <f>"1578726423950492"</f>
        <v>1578726423950492</v>
      </c>
      <c r="C3103" t="s">
        <v>37</v>
      </c>
      <c r="D3103">
        <v>5.295058</v>
      </c>
      <c r="E3103">
        <v>0.67357690000000003</v>
      </c>
      <c r="F3103" t="s">
        <v>54</v>
      </c>
      <c r="G3103">
        <v>-173.86019999999999</v>
      </c>
      <c r="H3103">
        <v>12.638999999999999</v>
      </c>
      <c r="I3103">
        <v>391.00349999999997</v>
      </c>
      <c r="J3103">
        <v>-201.51329999999999</v>
      </c>
      <c r="K3103">
        <v>1.0935059999999901</v>
      </c>
      <c r="L3103">
        <v>137.99879999999999</v>
      </c>
      <c r="M3103">
        <v>-0.54171859999999905</v>
      </c>
      <c r="N3103">
        <v>0</v>
      </c>
      <c r="O3103">
        <v>0.84040809999999999</v>
      </c>
      <c r="P3103">
        <v>-0.25685859999999999</v>
      </c>
      <c r="Q3103">
        <v>0.19833219999999999</v>
      </c>
      <c r="R3103">
        <v>0.94587949999999998</v>
      </c>
      <c r="S3103">
        <v>0.35455320000000001</v>
      </c>
      <c r="T3103">
        <v>0.14874100000000001</v>
      </c>
      <c r="U3103">
        <v>3.2625120000000001</v>
      </c>
      <c r="V3103">
        <v>0.30204449999999999</v>
      </c>
      <c r="W3103">
        <v>0.20540600000000001</v>
      </c>
      <c r="X3103">
        <v>0.93090149999999905</v>
      </c>
      <c r="Y3103">
        <v>0.62930469999999905</v>
      </c>
      <c r="Z3103">
        <v>2.9372860000000001E-2</v>
      </c>
      <c r="AA3103">
        <v>0.77660340000000005</v>
      </c>
      <c r="AB3103">
        <v>24</v>
      </c>
      <c r="AC3103">
        <v>27.653099999999899</v>
      </c>
      <c r="AD3103">
        <v>11.545494</v>
      </c>
      <c r="AE3103">
        <v>253.00470000000001</v>
      </c>
      <c r="AF3103">
        <v>159.988467879767</v>
      </c>
      <c r="AG3103">
        <v>11.545494</v>
      </c>
      <c r="AH3103">
        <v>197.26628224299199</v>
      </c>
      <c r="AI3103">
        <v>87.397314016310403</v>
      </c>
      <c r="AJ3103">
        <v>50.956981638739101</v>
      </c>
      <c r="AK3103">
        <v>254.25104600805699</v>
      </c>
    </row>
    <row r="3104" spans="1:37" x14ac:dyDescent="0.2">
      <c r="A3104" t="str">
        <f>"20200111150703971"</f>
        <v>20200111150703971</v>
      </c>
      <c r="B3104" t="str">
        <f>"1578726423960255"</f>
        <v>1578726423960255</v>
      </c>
      <c r="C3104" t="s">
        <v>37</v>
      </c>
      <c r="D3104">
        <v>5.2062879999999998</v>
      </c>
      <c r="E3104">
        <v>0.67090159999999999</v>
      </c>
      <c r="F3104" t="s">
        <v>39</v>
      </c>
      <c r="G3104">
        <v>-197.9579</v>
      </c>
      <c r="H3104" s="1">
        <v>-2.2385740000000002E-6</v>
      </c>
      <c r="I3104">
        <v>159.84790000000001</v>
      </c>
      <c r="J3104">
        <v>-201.6172</v>
      </c>
      <c r="K3104">
        <v>1.093429</v>
      </c>
      <c r="L3104">
        <v>138.19069999999999</v>
      </c>
      <c r="M3104">
        <v>-0.52904269999999998</v>
      </c>
      <c r="N3104">
        <v>0</v>
      </c>
      <c r="O3104">
        <v>0.84844370000000002</v>
      </c>
      <c r="P3104">
        <v>-0.2371529</v>
      </c>
      <c r="Q3104">
        <v>0.20258609999999999</v>
      </c>
      <c r="R3104">
        <v>0.95011440000000003</v>
      </c>
      <c r="S3104">
        <v>0.54595950000000004</v>
      </c>
      <c r="T3104">
        <v>-0.16791800000000001</v>
      </c>
      <c r="U3104">
        <v>3.3551329999999999</v>
      </c>
      <c r="V3104">
        <v>0.30711430000000001</v>
      </c>
      <c r="W3104">
        <v>0.2094675</v>
      </c>
      <c r="X3104">
        <v>0.92833410000000005</v>
      </c>
      <c r="Y3104">
        <v>0.65835059999999901</v>
      </c>
      <c r="Z3104">
        <v>-3.2063710000000002E-2</v>
      </c>
      <c r="AA3104">
        <v>0.75202819999999904</v>
      </c>
      <c r="AB3104">
        <v>24</v>
      </c>
      <c r="AC3104">
        <v>3.6593</v>
      </c>
      <c r="AD3104">
        <v>-1.0934312385739999</v>
      </c>
      <c r="AE3104">
        <v>21.6572</v>
      </c>
      <c r="AF3104">
        <v>14.5281609103513</v>
      </c>
      <c r="AG3104">
        <v>-1.0934312385739999</v>
      </c>
      <c r="AH3104">
        <v>16.4004574618702</v>
      </c>
      <c r="AI3104">
        <v>92.857025516529106</v>
      </c>
      <c r="AJ3104">
        <v>48.4642329112121</v>
      </c>
      <c r="AK3104">
        <v>21.937138743901102</v>
      </c>
    </row>
    <row r="3105" spans="1:37" x14ac:dyDescent="0.2">
      <c r="A3105" t="str">
        <f>"20200111150703994"</f>
        <v>20200111150703994</v>
      </c>
      <c r="B3105" t="str">
        <f>"1578726423990508"</f>
        <v>1578726423990508</v>
      </c>
      <c r="C3105" t="s">
        <v>37</v>
      </c>
      <c r="D3105">
        <v>5.2062679999999997</v>
      </c>
      <c r="E3105">
        <v>0.66486080000000003</v>
      </c>
      <c r="F3105" t="s">
        <v>39</v>
      </c>
      <c r="G3105">
        <v>-197.5104</v>
      </c>
      <c r="H3105" s="1">
        <v>-2.7897709999999998E-6</v>
      </c>
      <c r="I3105">
        <v>161.26589999999999</v>
      </c>
      <c r="J3105">
        <v>-201.72630000000001</v>
      </c>
      <c r="K3105">
        <v>1.0933349999999999</v>
      </c>
      <c r="L3105">
        <v>138.4007</v>
      </c>
      <c r="M3105">
        <v>-0.51496730000000002</v>
      </c>
      <c r="N3105">
        <v>0</v>
      </c>
      <c r="O3105">
        <v>0.857058599999999</v>
      </c>
      <c r="P3105">
        <v>-0.21514899999999901</v>
      </c>
      <c r="Q3105">
        <v>0.20285349999999999</v>
      </c>
      <c r="R3105">
        <v>0.95528080000000004</v>
      </c>
      <c r="S3105">
        <v>0.594375599999999</v>
      </c>
      <c r="T3105">
        <v>-0.15824969999999999</v>
      </c>
      <c r="U3105">
        <v>3.3396149999999998</v>
      </c>
      <c r="V3105">
        <v>0.31328459999999902</v>
      </c>
      <c r="W3105">
        <v>0.20951129999999901</v>
      </c>
      <c r="X3105">
        <v>0.92626010000000003</v>
      </c>
      <c r="Y3105">
        <v>0.65709510000000004</v>
      </c>
      <c r="Z3105">
        <v>-3.0955610000000001E-2</v>
      </c>
      <c r="AA3105">
        <v>0.75317190000000001</v>
      </c>
      <c r="AB3105">
        <v>24</v>
      </c>
      <c r="AC3105">
        <v>4.2159000000000004</v>
      </c>
      <c r="AD3105">
        <v>-1.0933377897709999</v>
      </c>
      <c r="AE3105">
        <v>22.865199999999898</v>
      </c>
      <c r="AF3105">
        <v>15.356142204475599</v>
      </c>
      <c r="AG3105">
        <v>-1.0933377897709999</v>
      </c>
      <c r="AH3105">
        <v>17.389571933259599</v>
      </c>
      <c r="AI3105">
        <v>92.698239955408098</v>
      </c>
      <c r="AJ3105">
        <v>48.553366767715801</v>
      </c>
      <c r="AK3105">
        <v>23.2250662636004</v>
      </c>
    </row>
    <row r="3106" spans="1:37" x14ac:dyDescent="0.2">
      <c r="A3106" t="str">
        <f>"20200111150704015"</f>
        <v>20200111150704015</v>
      </c>
      <c r="B3106" t="str">
        <f>"1578726424010028"</f>
        <v>1578726424010028</v>
      </c>
      <c r="C3106" t="s">
        <v>37</v>
      </c>
      <c r="D3106">
        <v>5.2148620000000001</v>
      </c>
      <c r="E3106">
        <v>0.66050310000000001</v>
      </c>
      <c r="F3106" t="s">
        <v>39</v>
      </c>
      <c r="G3106">
        <v>-197.71109999999999</v>
      </c>
      <c r="H3106" s="1">
        <v>-2.1057169999999998E-6</v>
      </c>
      <c r="I3106">
        <v>159.70580000000001</v>
      </c>
      <c r="J3106">
        <v>-201.8306</v>
      </c>
      <c r="K3106">
        <v>1.0932200000000001</v>
      </c>
      <c r="L3106">
        <v>138.61009999999999</v>
      </c>
      <c r="M3106">
        <v>-0.50070909999999902</v>
      </c>
      <c r="N3106">
        <v>0</v>
      </c>
      <c r="O3106">
        <v>0.86546460000000003</v>
      </c>
      <c r="P3106">
        <v>-0.19276109999999999</v>
      </c>
      <c r="Q3106">
        <v>0.20291479999999901</v>
      </c>
      <c r="R3106">
        <v>0.96003579999999999</v>
      </c>
      <c r="S3106">
        <v>0.62521359999999904</v>
      </c>
      <c r="T3106">
        <v>-0.170242</v>
      </c>
      <c r="U3106">
        <v>3.3173979999999998</v>
      </c>
      <c r="V3106">
        <v>0.31967429999999902</v>
      </c>
      <c r="W3106">
        <v>0.20933739999999901</v>
      </c>
      <c r="X3106">
        <v>0.92411379999999999</v>
      </c>
      <c r="Y3106">
        <v>0.65221799999999996</v>
      </c>
      <c r="Z3106">
        <v>-3.4241519999999998E-2</v>
      </c>
      <c r="AA3106">
        <v>0.75725769999999903</v>
      </c>
      <c r="AB3106">
        <v>24</v>
      </c>
      <c r="AC3106">
        <v>4.1195000000000102</v>
      </c>
      <c r="AD3106">
        <v>-1.093222105717</v>
      </c>
      <c r="AE3106">
        <v>21.095700000000001</v>
      </c>
      <c r="AF3106">
        <v>14.093479339073101</v>
      </c>
      <c r="AG3106">
        <v>-1.093222105717</v>
      </c>
      <c r="AH3106">
        <v>16.1552360808458</v>
      </c>
      <c r="AI3106">
        <v>92.919151305784993</v>
      </c>
      <c r="AJ3106">
        <v>48.899257540132403</v>
      </c>
      <c r="AK3106">
        <v>21.4665541548049</v>
      </c>
    </row>
    <row r="3107" spans="1:37" x14ac:dyDescent="0.2">
      <c r="A3107" t="str">
        <f>"20200111150704083"</f>
        <v>20200111150704083</v>
      </c>
      <c r="B3107" t="str">
        <f>"1578726424080302"</f>
        <v>1578726424080302</v>
      </c>
      <c r="C3107" t="s">
        <v>37</v>
      </c>
      <c r="D3107">
        <v>5.2415830000000003</v>
      </c>
      <c r="E3107">
        <v>0.80319359999999995</v>
      </c>
      <c r="F3107" t="s">
        <v>78</v>
      </c>
      <c r="G3107">
        <v>-197.65469999999999</v>
      </c>
      <c r="H3107" s="1">
        <v>-1.4872099999999999E-5</v>
      </c>
      <c r="I3107">
        <v>159.19749999999999</v>
      </c>
      <c r="J3107">
        <v>-202.1352</v>
      </c>
      <c r="K3107">
        <v>1.0929389999999899</v>
      </c>
      <c r="L3107">
        <v>139.28360000000001</v>
      </c>
      <c r="M3107">
        <v>-0.45353519999999897</v>
      </c>
      <c r="N3107">
        <v>0</v>
      </c>
      <c r="O3107">
        <v>0.89108799999999899</v>
      </c>
      <c r="P3107">
        <v>-0.1237983</v>
      </c>
      <c r="Q3107">
        <v>0.20842469999999999</v>
      </c>
      <c r="R3107">
        <v>0.97017169999999897</v>
      </c>
      <c r="S3107">
        <v>0.66856380000000004</v>
      </c>
      <c r="T3107">
        <v>-0.17502970000000001</v>
      </c>
      <c r="U3107">
        <v>3.2960820000000002</v>
      </c>
      <c r="V3107">
        <v>0.33581270000000002</v>
      </c>
      <c r="W3107">
        <v>0.21422919999999901</v>
      </c>
      <c r="X3107">
        <v>0.91724349999999999</v>
      </c>
      <c r="Y3107">
        <v>0.6214771</v>
      </c>
      <c r="Z3107">
        <v>-3.8105399999999998E-2</v>
      </c>
      <c r="AA3107">
        <v>0.78250500000000001</v>
      </c>
      <c r="AB3107">
        <v>23</v>
      </c>
      <c r="AC3107">
        <v>4.4805000000000001</v>
      </c>
      <c r="AD3107">
        <v>-1.0929538720999901</v>
      </c>
      <c r="AE3107">
        <v>19.913899999999899</v>
      </c>
      <c r="AF3107">
        <v>12.988679999319199</v>
      </c>
      <c r="AG3107">
        <v>-1.0929538720999901</v>
      </c>
      <c r="AH3107">
        <v>15.670150751354599</v>
      </c>
      <c r="AI3107">
        <v>93.073769824945202</v>
      </c>
      <c r="AJ3107">
        <v>50.345331867356201</v>
      </c>
      <c r="AK3107">
        <v>20.382688263853598</v>
      </c>
    </row>
    <row r="3108" spans="1:37" x14ac:dyDescent="0.2">
      <c r="A3108" t="str">
        <f>"20200111150704104"</f>
        <v>20200111150704104</v>
      </c>
      <c r="B3108" t="str">
        <f>"1578726424099820"</f>
        <v>1578726424099820</v>
      </c>
      <c r="C3108" t="s">
        <v>37</v>
      </c>
      <c r="D3108">
        <v>5.1747059999999996</v>
      </c>
      <c r="E3108">
        <v>0.7519962</v>
      </c>
      <c r="F3108" t="s">
        <v>61</v>
      </c>
      <c r="G3108">
        <v>-168.42400000000001</v>
      </c>
      <c r="H3108">
        <v>24.33408</v>
      </c>
      <c r="I3108">
        <v>190.04140000000001</v>
      </c>
      <c r="J3108">
        <v>-202.22059999999999</v>
      </c>
      <c r="K3108">
        <v>1.092843</v>
      </c>
      <c r="L3108">
        <v>139.49260000000001</v>
      </c>
      <c r="M3108">
        <v>-0.43847140000000001</v>
      </c>
      <c r="N3108">
        <v>0</v>
      </c>
      <c r="O3108">
        <v>0.89859500000000003</v>
      </c>
      <c r="P3108">
        <v>-0.1044335</v>
      </c>
      <c r="Q3108">
        <v>0.2096538</v>
      </c>
      <c r="R3108">
        <v>0.97218259999999901</v>
      </c>
      <c r="S3108">
        <v>2.026138</v>
      </c>
      <c r="T3108">
        <v>1.3968609999999999</v>
      </c>
      <c r="U3108">
        <v>3.0506899999999999</v>
      </c>
      <c r="V3108">
        <v>0.33863509999999902</v>
      </c>
      <c r="W3108">
        <v>0.2153399</v>
      </c>
      <c r="X3108">
        <v>0.91594489999999995</v>
      </c>
      <c r="Y3108">
        <v>0.83987330000000004</v>
      </c>
      <c r="Z3108">
        <v>0.23476900000000001</v>
      </c>
      <c r="AA3108">
        <v>0.48938379999999998</v>
      </c>
      <c r="AB3108">
        <v>23</v>
      </c>
      <c r="AC3108">
        <v>33.796599999999899</v>
      </c>
      <c r="AD3108">
        <v>23.241237000000002</v>
      </c>
      <c r="AE3108">
        <v>50.5488</v>
      </c>
      <c r="AF3108">
        <v>45.843440746274197</v>
      </c>
      <c r="AG3108">
        <v>23.241237000000002</v>
      </c>
      <c r="AH3108">
        <v>26.7065968163115</v>
      </c>
      <c r="AI3108">
        <v>66.343843320394598</v>
      </c>
      <c r="AJ3108">
        <v>30.223405836744799</v>
      </c>
      <c r="AK3108">
        <v>57.922521269851003</v>
      </c>
    </row>
    <row r="3109" spans="1:37" x14ac:dyDescent="0.2">
      <c r="A3109" t="str">
        <f>"20200111150704129"</f>
        <v>20200111150704129</v>
      </c>
      <c r="B3109" t="str">
        <f>"1578726424120317"</f>
        <v>1578726424120317</v>
      </c>
      <c r="C3109" t="s">
        <v>37</v>
      </c>
      <c r="D3109">
        <v>4.9401479999999998</v>
      </c>
      <c r="E3109">
        <v>0.74264830000000004</v>
      </c>
      <c r="F3109" t="s">
        <v>61</v>
      </c>
      <c r="G3109">
        <v>-168.4221</v>
      </c>
      <c r="H3109">
        <v>27.93948</v>
      </c>
      <c r="I3109">
        <v>199.3741</v>
      </c>
      <c r="J3109">
        <v>-202.31450000000001</v>
      </c>
      <c r="K3109">
        <v>1.0927469999999999</v>
      </c>
      <c r="L3109">
        <v>139.7354</v>
      </c>
      <c r="M3109">
        <v>-0.42072549999999997</v>
      </c>
      <c r="N3109">
        <v>0</v>
      </c>
      <c r="O3109">
        <v>0.90703799999999901</v>
      </c>
      <c r="P3109">
        <v>-8.4289840000000005E-2</v>
      </c>
      <c r="Q3109">
        <v>0.21254600000000001</v>
      </c>
      <c r="R3109">
        <v>0.97350879999999995</v>
      </c>
      <c r="S3109">
        <v>1.6811069999999999</v>
      </c>
      <c r="T3109">
        <v>1.335331</v>
      </c>
      <c r="U3109">
        <v>2.9784549999999999</v>
      </c>
      <c r="V3109">
        <v>0.3394702</v>
      </c>
      <c r="W3109">
        <v>0.21817159999999999</v>
      </c>
      <c r="X3109">
        <v>0.91496509999999998</v>
      </c>
      <c r="Y3109">
        <v>0.78942869999999998</v>
      </c>
      <c r="Z3109">
        <v>0.25489040000000002</v>
      </c>
      <c r="AA3109">
        <v>0.55842019999999903</v>
      </c>
      <c r="AB3109">
        <v>23</v>
      </c>
      <c r="AC3109">
        <v>33.892400000000002</v>
      </c>
      <c r="AD3109">
        <v>26.846733</v>
      </c>
      <c r="AE3109">
        <v>59.6387</v>
      </c>
      <c r="AF3109">
        <v>48.423656899836502</v>
      </c>
      <c r="AG3109">
        <v>26.846733</v>
      </c>
      <c r="AH3109">
        <v>34.548692227594501</v>
      </c>
      <c r="AI3109">
        <v>65.709413480864796</v>
      </c>
      <c r="AJ3109">
        <v>35.506613114621103</v>
      </c>
      <c r="AK3109">
        <v>65.262621422705905</v>
      </c>
    </row>
    <row r="3110" spans="1:37" x14ac:dyDescent="0.2">
      <c r="A3110" t="str">
        <f>"20200111150704150"</f>
        <v>20200111150704150</v>
      </c>
      <c r="B3110" t="str">
        <f>"1578726424139836"</f>
        <v>1578726424139836</v>
      </c>
      <c r="C3110" t="s">
        <v>37</v>
      </c>
      <c r="D3110">
        <v>5.1759760000000004</v>
      </c>
      <c r="E3110">
        <v>0.74999729999999998</v>
      </c>
      <c r="F3110" t="s">
        <v>61</v>
      </c>
      <c r="G3110">
        <v>-168.41130000000001</v>
      </c>
      <c r="H3110">
        <v>0.93943980000000005</v>
      </c>
      <c r="I3110">
        <v>204.83349999999999</v>
      </c>
      <c r="J3110">
        <v>-202.3964</v>
      </c>
      <c r="K3110">
        <v>1.0926610000000001</v>
      </c>
      <c r="L3110">
        <v>139.96039999999999</v>
      </c>
      <c r="M3110">
        <v>-0.40404269999999998</v>
      </c>
      <c r="N3110">
        <v>0</v>
      </c>
      <c r="O3110">
        <v>0.91459009999999996</v>
      </c>
      <c r="P3110">
        <v>-6.6164959999999995E-2</v>
      </c>
      <c r="Q3110">
        <v>0.21604799999999999</v>
      </c>
      <c r="R3110">
        <v>0.97413830000000001</v>
      </c>
      <c r="S3110">
        <v>1.6816099999999901</v>
      </c>
      <c r="T3110">
        <v>-7.6024530000000003E-3</v>
      </c>
      <c r="U3110">
        <v>3.2288969999999999</v>
      </c>
      <c r="V3110">
        <v>0.33957769999999998</v>
      </c>
      <c r="W3110">
        <v>0.22163930000000001</v>
      </c>
      <c r="X3110">
        <v>0.91409130000000005</v>
      </c>
      <c r="Y3110">
        <v>0.78092189999999995</v>
      </c>
      <c r="Z3110">
        <v>-1.504544E-3</v>
      </c>
      <c r="AA3110">
        <v>0.62462689999999998</v>
      </c>
      <c r="AB3110">
        <v>23</v>
      </c>
      <c r="AC3110">
        <v>33.985099999999903</v>
      </c>
      <c r="AD3110">
        <v>-0.153221199999999</v>
      </c>
      <c r="AE3110">
        <v>64.873099999999994</v>
      </c>
      <c r="AF3110">
        <v>57.301551324958403</v>
      </c>
      <c r="AG3110">
        <v>-0.153221199999999</v>
      </c>
      <c r="AH3110">
        <v>45.606922590865203</v>
      </c>
      <c r="AI3110">
        <v>90.119872170356302</v>
      </c>
      <c r="AJ3110">
        <v>38.516660284644502</v>
      </c>
      <c r="AK3110">
        <v>73.235801690103301</v>
      </c>
    </row>
    <row r="3111" spans="1:37" x14ac:dyDescent="0.2">
      <c r="A3111" t="str">
        <f>"20200111150704173"</f>
        <v>20200111150704173</v>
      </c>
      <c r="B3111" t="str">
        <f>"1578726424170092"</f>
        <v>1578726424170092</v>
      </c>
      <c r="C3111" t="s">
        <v>37</v>
      </c>
      <c r="D3111">
        <v>4.9689589999999999</v>
      </c>
      <c r="E3111">
        <v>0.75284149999999905</v>
      </c>
      <c r="F3111" t="s">
        <v>61</v>
      </c>
      <c r="G3111">
        <v>-168.4126</v>
      </c>
      <c r="H3111">
        <v>0.38294409999999901</v>
      </c>
      <c r="I3111">
        <v>200.6497</v>
      </c>
      <c r="J3111">
        <v>-202.47219999999999</v>
      </c>
      <c r="K3111">
        <v>1.092581</v>
      </c>
      <c r="L3111">
        <v>140.18170000000001</v>
      </c>
      <c r="M3111">
        <v>-0.38743119999999998</v>
      </c>
      <c r="N3111">
        <v>0</v>
      </c>
      <c r="O3111">
        <v>0.92174859999999903</v>
      </c>
      <c r="P3111">
        <v>-4.838464E-2</v>
      </c>
      <c r="Q3111">
        <v>0.2167702</v>
      </c>
      <c r="R3111">
        <v>0.97502289999999903</v>
      </c>
      <c r="S3111">
        <v>1.7975159999999999</v>
      </c>
      <c r="T3111">
        <v>-3.7537460000000002E-2</v>
      </c>
      <c r="U3111">
        <v>3.2100520000000001</v>
      </c>
      <c r="V3111">
        <v>0.33972529999999901</v>
      </c>
      <c r="W3111">
        <v>0.2223386</v>
      </c>
      <c r="X3111">
        <v>0.91386659999999997</v>
      </c>
      <c r="Y3111">
        <v>0.78847999999999996</v>
      </c>
      <c r="Z3111">
        <v>-7.4753789999999999E-3</v>
      </c>
      <c r="AA3111">
        <v>0.61501490000000003</v>
      </c>
      <c r="AB3111">
        <v>23</v>
      </c>
      <c r="AC3111">
        <v>34.059599999999897</v>
      </c>
      <c r="AD3111">
        <v>-0.70963690000000001</v>
      </c>
      <c r="AE3111">
        <v>60.467999999999897</v>
      </c>
      <c r="AF3111">
        <v>54.823429279832403</v>
      </c>
      <c r="AG3111">
        <v>-0.70963690000000001</v>
      </c>
      <c r="AH3111">
        <v>42.541978880101702</v>
      </c>
      <c r="AI3111">
        <v>90.585903673165106</v>
      </c>
      <c r="AJ3111">
        <v>37.8108090913937</v>
      </c>
      <c r="AK3111">
        <v>69.396915994629296</v>
      </c>
    </row>
    <row r="3112" spans="1:37" x14ac:dyDescent="0.2">
      <c r="A3112" t="str">
        <f>"20200111150704195"</f>
        <v>20200111150704195</v>
      </c>
      <c r="B3112" t="str">
        <f>"1578726424189612"</f>
        <v>1578726424189612</v>
      </c>
      <c r="C3112" t="s">
        <v>37</v>
      </c>
      <c r="D3112">
        <v>4.8524099999999999</v>
      </c>
      <c r="E3112">
        <v>0.75283279999999997</v>
      </c>
      <c r="F3112" t="s">
        <v>61</v>
      </c>
      <c r="G3112">
        <v>-168.41380000000001</v>
      </c>
      <c r="H3112">
        <v>1.240875</v>
      </c>
      <c r="I3112">
        <v>197.59870000000001</v>
      </c>
      <c r="J3112">
        <v>-202.54390000000001</v>
      </c>
      <c r="K3112">
        <v>1.0925</v>
      </c>
      <c r="L3112">
        <v>140.40610000000001</v>
      </c>
      <c r="M3112">
        <v>-0.37039659999999902</v>
      </c>
      <c r="N3112">
        <v>0</v>
      </c>
      <c r="O3112">
        <v>0.92872379999999999</v>
      </c>
      <c r="P3112">
        <v>-3.2383330000000002E-2</v>
      </c>
      <c r="Q3112">
        <v>0.2173977</v>
      </c>
      <c r="R3112">
        <v>0.97554580000000002</v>
      </c>
      <c r="S3112">
        <v>1.8793329999999999</v>
      </c>
      <c r="T3112">
        <v>8.1846709999999993E-3</v>
      </c>
      <c r="U3112">
        <v>3.1682589999999999</v>
      </c>
      <c r="V3112">
        <v>0.33789659999999999</v>
      </c>
      <c r="W3112">
        <v>0.2230201</v>
      </c>
      <c r="X3112">
        <v>0.91437849999999998</v>
      </c>
      <c r="Y3112">
        <v>0.79248719999999995</v>
      </c>
      <c r="Z3112">
        <v>1.658599E-3</v>
      </c>
      <c r="AA3112">
        <v>0.60988629999999999</v>
      </c>
      <c r="AB3112">
        <v>23</v>
      </c>
      <c r="AC3112">
        <v>34.130099999999999</v>
      </c>
      <c r="AD3112">
        <v>0.14837499999999901</v>
      </c>
      <c r="AE3112">
        <v>57.192599999999999</v>
      </c>
      <c r="AF3112">
        <v>52.888482532367</v>
      </c>
      <c r="AG3112">
        <v>0.14837499999999901</v>
      </c>
      <c r="AH3112">
        <v>40.479891381277596</v>
      </c>
      <c r="AI3112">
        <v>89.872357288327805</v>
      </c>
      <c r="AJ3112">
        <v>37.429792148744099</v>
      </c>
      <c r="AK3112">
        <v>66.602066078742197</v>
      </c>
    </row>
    <row r="3113" spans="1:37" x14ac:dyDescent="0.2">
      <c r="A3113" t="str">
        <f>"20200111150704214"</f>
        <v>20200111150704214</v>
      </c>
      <c r="B3113" t="str">
        <f>"1578726424210108"</f>
        <v>1578726424210108</v>
      </c>
      <c r="C3113" t="s">
        <v>37</v>
      </c>
      <c r="D3113">
        <v>5.6693699999999998</v>
      </c>
      <c r="E3113">
        <v>0.74694959999999999</v>
      </c>
      <c r="F3113" t="s">
        <v>61</v>
      </c>
      <c r="G3113">
        <v>-168.41480000000001</v>
      </c>
      <c r="H3113">
        <v>1.94593699999999</v>
      </c>
      <c r="I3113">
        <v>195.54069999999999</v>
      </c>
      <c r="J3113">
        <v>-202.608</v>
      </c>
      <c r="K3113">
        <v>1.0924389999999999</v>
      </c>
      <c r="L3113">
        <v>140.6199</v>
      </c>
      <c r="M3113">
        <v>-0.35400520000000002</v>
      </c>
      <c r="N3113">
        <v>0</v>
      </c>
      <c r="O3113">
        <v>0.93509349999999902</v>
      </c>
      <c r="P3113">
        <v>-1.340512E-2</v>
      </c>
      <c r="Q3113">
        <v>0.21921559999999901</v>
      </c>
      <c r="R3113">
        <v>0.97558429999999996</v>
      </c>
      <c r="S3113">
        <v>1.936707</v>
      </c>
      <c r="T3113">
        <v>4.8431399999999999E-2</v>
      </c>
      <c r="U3113">
        <v>3.1286930000000002</v>
      </c>
      <c r="V3113">
        <v>0.33954429999999902</v>
      </c>
      <c r="W3113">
        <v>0.22477629999999901</v>
      </c>
      <c r="X3113">
        <v>0.91333739999999997</v>
      </c>
      <c r="Y3113">
        <v>0.79325269999999903</v>
      </c>
      <c r="Z3113">
        <v>1.0010979999999999E-2</v>
      </c>
      <c r="AA3113">
        <v>0.60881019999999997</v>
      </c>
      <c r="AB3113">
        <v>23</v>
      </c>
      <c r="AC3113">
        <v>34.193199999999898</v>
      </c>
      <c r="AD3113">
        <v>0.85349799999999898</v>
      </c>
      <c r="AE3113">
        <v>54.9207999999999</v>
      </c>
      <c r="AF3113">
        <v>51.414351169800497</v>
      </c>
      <c r="AG3113">
        <v>0.85349799999999898</v>
      </c>
      <c r="AH3113">
        <v>39.250186690784297</v>
      </c>
      <c r="AI3113">
        <v>89.244031947036802</v>
      </c>
      <c r="AJ3113">
        <v>37.358445772531702</v>
      </c>
      <c r="AK3113">
        <v>64.689575051232197</v>
      </c>
    </row>
    <row r="3114" spans="1:37" x14ac:dyDescent="0.2">
      <c r="A3114" t="str">
        <f>"20200111150704238"</f>
        <v>20200111150704238</v>
      </c>
      <c r="B3114" t="str">
        <f>"1578726424229628"</f>
        <v>1578726424229628</v>
      </c>
      <c r="C3114" t="s">
        <v>37</v>
      </c>
      <c r="D3114">
        <v>4.8016170000000002</v>
      </c>
      <c r="E3114">
        <v>0.74773469999999997</v>
      </c>
      <c r="F3114" t="s">
        <v>61</v>
      </c>
      <c r="G3114">
        <v>-168.41489999999999</v>
      </c>
      <c r="H3114">
        <v>1.5556490000000001</v>
      </c>
      <c r="I3114">
        <v>194.8211</v>
      </c>
      <c r="J3114">
        <v>-202.67400000000001</v>
      </c>
      <c r="K3114">
        <v>1.0923829999999899</v>
      </c>
      <c r="L3114">
        <v>140.85730000000001</v>
      </c>
      <c r="M3114">
        <v>-0.33567039999999998</v>
      </c>
      <c r="N3114">
        <v>0</v>
      </c>
      <c r="O3114">
        <v>0.94182969999999899</v>
      </c>
      <c r="P3114">
        <v>1.101795E-2</v>
      </c>
      <c r="Q3114">
        <v>0.220987399999999</v>
      </c>
      <c r="R3114">
        <v>0.97521440000000004</v>
      </c>
      <c r="S3114">
        <v>1.953125</v>
      </c>
      <c r="T3114">
        <v>2.6460649999999999E-2</v>
      </c>
      <c r="U3114">
        <v>3.095993</v>
      </c>
      <c r="V3114">
        <v>0.34451729999999903</v>
      </c>
      <c r="W3114">
        <v>0.226380899999999</v>
      </c>
      <c r="X3114">
        <v>0.911076</v>
      </c>
      <c r="Y3114">
        <v>0.78651759999999904</v>
      </c>
      <c r="Z3114">
        <v>5.628887E-3</v>
      </c>
      <c r="AA3114">
        <v>0.61754229999999999</v>
      </c>
      <c r="AB3114">
        <v>23</v>
      </c>
      <c r="AC3114">
        <v>34.259099999999997</v>
      </c>
      <c r="AD3114">
        <v>0.46326600000000001</v>
      </c>
      <c r="AE3114">
        <v>53.9637999999999</v>
      </c>
      <c r="AF3114">
        <v>50.3847517577844</v>
      </c>
      <c r="AG3114">
        <v>0.46326600000000001</v>
      </c>
      <c r="AH3114">
        <v>39.3284278429756</v>
      </c>
      <c r="AI3114">
        <v>89.584729669773395</v>
      </c>
      <c r="AJ3114">
        <v>37.974249160565797</v>
      </c>
      <c r="AK3114">
        <v>63.918409411377397</v>
      </c>
    </row>
    <row r="3115" spans="1:37" x14ac:dyDescent="0.2">
      <c r="A3115" t="str">
        <f>"20200111150704260"</f>
        <v>20200111150704260</v>
      </c>
      <c r="B3115" t="str">
        <f>"1578726424250127"</f>
        <v>1578726424250127</v>
      </c>
      <c r="C3115" t="s">
        <v>37</v>
      </c>
      <c r="D3115">
        <v>4.9715160000000003</v>
      </c>
      <c r="E3115">
        <v>0.75121190000000004</v>
      </c>
      <c r="F3115" t="s">
        <v>61</v>
      </c>
      <c r="G3115">
        <v>-168.41579999999999</v>
      </c>
      <c r="H3115">
        <v>1.6595200000000001</v>
      </c>
      <c r="I3115">
        <v>192.0735</v>
      </c>
      <c r="J3115">
        <v>-202.73490000000001</v>
      </c>
      <c r="K3115">
        <v>1.092355</v>
      </c>
      <c r="L3115">
        <v>141.0942</v>
      </c>
      <c r="M3115">
        <v>-0.31723639999999997</v>
      </c>
      <c r="N3115">
        <v>0</v>
      </c>
      <c r="O3115">
        <v>0.94819699999999996</v>
      </c>
      <c r="P3115">
        <v>3.6212840000000003E-2</v>
      </c>
      <c r="Q3115">
        <v>0.22012799999999999</v>
      </c>
      <c r="R3115">
        <v>0.97479859999999896</v>
      </c>
      <c r="S3115">
        <v>2.0371860000000002</v>
      </c>
      <c r="T3115">
        <v>3.3727170000000001E-2</v>
      </c>
      <c r="U3115">
        <v>3.0456089999999998</v>
      </c>
      <c r="V3115">
        <v>0.35034999999999999</v>
      </c>
      <c r="W3115">
        <v>0.22534360000000001</v>
      </c>
      <c r="X3115">
        <v>0.90910679999999999</v>
      </c>
      <c r="Y3115">
        <v>0.79095890000000002</v>
      </c>
      <c r="Z3115">
        <v>7.295663E-3</v>
      </c>
      <c r="AA3115">
        <v>0.61182579999999998</v>
      </c>
      <c r="AB3115">
        <v>23</v>
      </c>
      <c r="AC3115">
        <v>34.319099999999999</v>
      </c>
      <c r="AD3115">
        <v>0.56716500000000003</v>
      </c>
      <c r="AE3115">
        <v>50.979300000000002</v>
      </c>
      <c r="AF3115">
        <v>48.716514910337096</v>
      </c>
      <c r="AG3115">
        <v>0.56716500000000003</v>
      </c>
      <c r="AH3115">
        <v>37.453271662199803</v>
      </c>
      <c r="AI3115">
        <v>89.471188290866706</v>
      </c>
      <c r="AJ3115">
        <v>37.553093818156903</v>
      </c>
      <c r="AK3115">
        <v>61.452160737836202</v>
      </c>
    </row>
    <row r="3116" spans="1:37" x14ac:dyDescent="0.2">
      <c r="A3116" t="str">
        <f>"20200111150704282"</f>
        <v>20200111150704282</v>
      </c>
      <c r="B3116" t="str">
        <f>"1578726424269644"</f>
        <v>1578726424269644</v>
      </c>
      <c r="C3116" t="s">
        <v>37</v>
      </c>
      <c r="D3116">
        <v>4.8762129999999999</v>
      </c>
      <c r="E3116">
        <v>0.74869529999999995</v>
      </c>
      <c r="F3116" t="s">
        <v>61</v>
      </c>
      <c r="G3116">
        <v>-168.4169</v>
      </c>
      <c r="H3116">
        <v>1.7178119999999999</v>
      </c>
      <c r="I3116">
        <v>188.8758</v>
      </c>
      <c r="J3116">
        <v>-202.7861</v>
      </c>
      <c r="K3116">
        <v>1.0923529999999999</v>
      </c>
      <c r="L3116">
        <v>141.31049999999999</v>
      </c>
      <c r="M3116">
        <v>-0.30031729999999901</v>
      </c>
      <c r="N3116">
        <v>0</v>
      </c>
      <c r="O3116">
        <v>0.95369020000000004</v>
      </c>
      <c r="P3116">
        <v>5.9589129999999997E-2</v>
      </c>
      <c r="Q3116">
        <v>0.21776190000000001</v>
      </c>
      <c r="R3116">
        <v>0.97418110000000002</v>
      </c>
      <c r="S3116">
        <v>2.1467740000000002</v>
      </c>
      <c r="T3116">
        <v>3.9127830000000002E-2</v>
      </c>
      <c r="U3116">
        <v>2.988998</v>
      </c>
      <c r="V3116">
        <v>0.35609099999999999</v>
      </c>
      <c r="W3116">
        <v>0.2228147</v>
      </c>
      <c r="X3116">
        <v>0.90749809999999997</v>
      </c>
      <c r="Y3116">
        <v>0.80035179999999995</v>
      </c>
      <c r="Z3116">
        <v>8.5430239999999998E-3</v>
      </c>
      <c r="AA3116">
        <v>0.59946980000000005</v>
      </c>
      <c r="AB3116">
        <v>23</v>
      </c>
      <c r="AC3116">
        <v>34.369199999999999</v>
      </c>
      <c r="AD3116">
        <v>0.62545899999999899</v>
      </c>
      <c r="AE3116">
        <v>47.565300000000001</v>
      </c>
      <c r="AF3116">
        <v>47.063601885089597</v>
      </c>
      <c r="AG3116">
        <v>0.62545899999999899</v>
      </c>
      <c r="AH3116">
        <v>35.041900429472001</v>
      </c>
      <c r="AI3116">
        <v>89.389280582626299</v>
      </c>
      <c r="AJ3116">
        <v>36.670071455410501</v>
      </c>
      <c r="AK3116">
        <v>58.679712056791097</v>
      </c>
    </row>
    <row r="3117" spans="1:37" x14ac:dyDescent="0.2">
      <c r="A3117" t="str">
        <f>"20200111150704303"</f>
        <v>20200111150704303</v>
      </c>
      <c r="B3117" t="str">
        <f>"1578726424299901"</f>
        <v>1578726424299901</v>
      </c>
      <c r="C3117" t="s">
        <v>37</v>
      </c>
      <c r="D3117">
        <v>5.1021960000000002</v>
      </c>
      <c r="E3117">
        <v>0.70701440000000004</v>
      </c>
      <c r="F3117" t="s">
        <v>61</v>
      </c>
      <c r="G3117">
        <v>-169.4006</v>
      </c>
      <c r="H3117">
        <v>1.7557020000000001</v>
      </c>
      <c r="I3117">
        <v>185.85339999999999</v>
      </c>
      <c r="J3117">
        <v>-202.8355</v>
      </c>
      <c r="K3117">
        <v>1.0923419999999999</v>
      </c>
      <c r="L3117">
        <v>141.5378</v>
      </c>
      <c r="M3117">
        <v>-0.28246850000000001</v>
      </c>
      <c r="N3117">
        <v>0</v>
      </c>
      <c r="O3117">
        <v>0.95912779999999997</v>
      </c>
      <c r="P3117">
        <v>8.5678149999999995E-2</v>
      </c>
      <c r="Q3117">
        <v>0.21572719999999901</v>
      </c>
      <c r="R3117">
        <v>0.97268750000000004</v>
      </c>
      <c r="S3117">
        <v>2.199951</v>
      </c>
      <c r="T3117">
        <v>4.3713809999999999E-2</v>
      </c>
      <c r="U3117">
        <v>2.935165</v>
      </c>
      <c r="V3117">
        <v>0.36355419999999999</v>
      </c>
      <c r="W3117">
        <v>0.220562799999999</v>
      </c>
      <c r="X3117">
        <v>0.9050859</v>
      </c>
      <c r="Y3117">
        <v>0.80134759999999905</v>
      </c>
      <c r="Z3117">
        <v>9.7429890000000005E-3</v>
      </c>
      <c r="AA3117">
        <v>0.59811979999999998</v>
      </c>
      <c r="AB3117">
        <v>23</v>
      </c>
      <c r="AC3117">
        <v>33.434899999999999</v>
      </c>
      <c r="AD3117">
        <v>0.66335999999999995</v>
      </c>
      <c r="AE3117">
        <v>44.315599999999897</v>
      </c>
      <c r="AF3117">
        <v>44.5861006882037</v>
      </c>
      <c r="AG3117">
        <v>0.66335999999999995</v>
      </c>
      <c r="AH3117">
        <v>33.060016065929801</v>
      </c>
      <c r="AI3117">
        <v>89.3152792474215</v>
      </c>
      <c r="AJ3117">
        <v>36.556455892482397</v>
      </c>
      <c r="AK3117">
        <v>55.509684590598901</v>
      </c>
    </row>
    <row r="3118" spans="1:37" x14ac:dyDescent="0.2">
      <c r="A3118" t="str">
        <f>"20200111150704326"</f>
        <v>20200111150704326</v>
      </c>
      <c r="B3118" t="str">
        <f>"1578726424320396"</f>
        <v>1578726424320396</v>
      </c>
      <c r="C3118" t="s">
        <v>37</v>
      </c>
      <c r="D3118">
        <v>5.1150599999999997</v>
      </c>
      <c r="E3118">
        <v>0.71199429999999997</v>
      </c>
      <c r="F3118" t="s">
        <v>61</v>
      </c>
      <c r="G3118">
        <v>-168.4153</v>
      </c>
      <c r="H3118">
        <v>1.0057769999999999</v>
      </c>
      <c r="I3118">
        <v>193.0034</v>
      </c>
      <c r="J3118">
        <v>-202.88229999999999</v>
      </c>
      <c r="K3118">
        <v>1.092354</v>
      </c>
      <c r="L3118">
        <v>141.77449999999999</v>
      </c>
      <c r="M3118">
        <v>-0.26380940000000003</v>
      </c>
      <c r="N3118">
        <v>0</v>
      </c>
      <c r="O3118">
        <v>0.96442649999999996</v>
      </c>
      <c r="P3118">
        <v>0.1150407</v>
      </c>
      <c r="Q3118">
        <v>0.21287199999999901</v>
      </c>
      <c r="R3118">
        <v>0.97028400000000004</v>
      </c>
      <c r="S3118">
        <v>1.94866899999999</v>
      </c>
      <c r="T3118">
        <v>-4.8989059999999997E-3</v>
      </c>
      <c r="U3118">
        <v>2.913681</v>
      </c>
      <c r="V3118">
        <v>0.37343709999999902</v>
      </c>
      <c r="W3118">
        <v>0.21741250000000001</v>
      </c>
      <c r="X3118">
        <v>0.90181849999999997</v>
      </c>
      <c r="Y3118">
        <v>0.75554519999999903</v>
      </c>
      <c r="Z3118">
        <v>-1.179729E-3</v>
      </c>
      <c r="AA3118">
        <v>0.6550956</v>
      </c>
      <c r="AB3118">
        <v>23</v>
      </c>
      <c r="AC3118">
        <v>34.466999999999899</v>
      </c>
      <c r="AD3118">
        <v>-8.6576999999999904E-2</v>
      </c>
      <c r="AE3118">
        <v>51.228900000000003</v>
      </c>
      <c r="AF3118">
        <v>46.762152046097299</v>
      </c>
      <c r="AG3118">
        <v>-8.6576999999999904E-2</v>
      </c>
      <c r="AH3118">
        <v>40.319479524393998</v>
      </c>
      <c r="AI3118">
        <v>90.080339286211199</v>
      </c>
      <c r="AJ3118">
        <v>40.768721517044099</v>
      </c>
      <c r="AK3118">
        <v>61.7443664529589</v>
      </c>
    </row>
    <row r="3119" spans="1:37" x14ac:dyDescent="0.2">
      <c r="A3119" t="str">
        <f>"20200111150704349"</f>
        <v>20200111150704349</v>
      </c>
      <c r="B3119" t="str">
        <f>"1578726424339916"</f>
        <v>1578726424339916</v>
      </c>
      <c r="C3119" t="s">
        <v>37</v>
      </c>
      <c r="D3119">
        <v>6.487222</v>
      </c>
      <c r="E3119">
        <v>0.71199429999999997</v>
      </c>
      <c r="F3119" t="s">
        <v>61</v>
      </c>
      <c r="G3119">
        <v>-168.41640000000001</v>
      </c>
      <c r="H3119">
        <v>0.49642989999999998</v>
      </c>
      <c r="I3119">
        <v>189.23840000000001</v>
      </c>
      <c r="J3119">
        <v>-202.92449999999999</v>
      </c>
      <c r="K3119">
        <v>1.092379</v>
      </c>
      <c r="L3119">
        <v>142.01220000000001</v>
      </c>
      <c r="M3119">
        <v>-0.24503130000000001</v>
      </c>
      <c r="N3119">
        <v>0</v>
      </c>
      <c r="O3119">
        <v>0.96936739999999999</v>
      </c>
      <c r="P3119">
        <v>0.1435418</v>
      </c>
      <c r="Q3119">
        <v>0.20958070000000001</v>
      </c>
      <c r="R3119">
        <v>0.9671978</v>
      </c>
      <c r="S3119">
        <v>2.0724330000000002</v>
      </c>
      <c r="T3119">
        <v>-3.5830859999999999E-2</v>
      </c>
      <c r="U3119">
        <v>2.8540040000000002</v>
      </c>
      <c r="V3119">
        <v>0.38253589999999998</v>
      </c>
      <c r="W3119">
        <v>0.21385699999999999</v>
      </c>
      <c r="X3119">
        <v>0.89885009999999999</v>
      </c>
      <c r="Y3119">
        <v>0.76793500000000003</v>
      </c>
      <c r="Z3119">
        <v>-8.6831519999999995E-3</v>
      </c>
      <c r="AA3119">
        <v>0.64046899999999996</v>
      </c>
      <c r="AB3119">
        <v>23</v>
      </c>
      <c r="AC3119">
        <v>34.508099999999899</v>
      </c>
      <c r="AD3119">
        <v>-0.59594910000000001</v>
      </c>
      <c r="AE3119">
        <v>47.226199999999999</v>
      </c>
      <c r="AF3119">
        <v>45.0247012806839</v>
      </c>
      <c r="AG3119">
        <v>-0.59594910000000001</v>
      </c>
      <c r="AH3119">
        <v>37.3254471717215</v>
      </c>
      <c r="AI3119">
        <v>90.583818042757102</v>
      </c>
      <c r="AJ3119">
        <v>39.6587087951212</v>
      </c>
      <c r="AK3119">
        <v>58.487330998375903</v>
      </c>
    </row>
    <row r="3120" spans="1:37" x14ac:dyDescent="0.2">
      <c r="A3120" t="str">
        <f>"20200111150704417"</f>
        <v>20200111150704417</v>
      </c>
      <c r="B3120" t="str">
        <f>"1578726424410188"</f>
        <v>1578726424410188</v>
      </c>
      <c r="C3120" t="s">
        <v>37</v>
      </c>
      <c r="D3120">
        <v>6.3432589999999998</v>
      </c>
      <c r="E3120">
        <v>0.75843640000000001</v>
      </c>
      <c r="F3120" t="s">
        <v>61</v>
      </c>
      <c r="G3120">
        <v>-169.40020000000001</v>
      </c>
      <c r="H3120">
        <v>0.26583839999999997</v>
      </c>
      <c r="I3120">
        <v>185.52019999999999</v>
      </c>
      <c r="J3120">
        <v>-203.0205</v>
      </c>
      <c r="K3120">
        <v>1.0924529999999999</v>
      </c>
      <c r="L3120">
        <v>142.70959999999999</v>
      </c>
      <c r="M3120">
        <v>-0.18970619999999999</v>
      </c>
      <c r="N3120">
        <v>0</v>
      </c>
      <c r="O3120">
        <v>0.98169470000000003</v>
      </c>
      <c r="P3120">
        <v>0.21712770000000001</v>
      </c>
      <c r="Q3120">
        <v>0.1979969</v>
      </c>
      <c r="R3120">
        <v>0.95585189999999998</v>
      </c>
      <c r="S3120">
        <v>2.152679</v>
      </c>
      <c r="T3120">
        <v>-5.3072090000000002E-2</v>
      </c>
      <c r="U3120">
        <v>2.7937620000000001</v>
      </c>
      <c r="V3120">
        <v>0.40047349999999998</v>
      </c>
      <c r="W3120">
        <v>0.2018047</v>
      </c>
      <c r="X3120">
        <v>0.89380969999999904</v>
      </c>
      <c r="Y3120">
        <v>0.74950410000000001</v>
      </c>
      <c r="Z3120">
        <v>-1.3485280000000001E-2</v>
      </c>
      <c r="AA3120">
        <v>0.66186239999999996</v>
      </c>
      <c r="AB3120">
        <v>23</v>
      </c>
      <c r="AC3120">
        <v>33.620299999999901</v>
      </c>
      <c r="AD3120">
        <v>-0.82661459999999998</v>
      </c>
      <c r="AE3120">
        <v>42.810600000000001</v>
      </c>
      <c r="AF3120">
        <v>41.122727977207802</v>
      </c>
      <c r="AG3120">
        <v>-0.82661459999999998</v>
      </c>
      <c r="AH3120">
        <v>35.645857786419299</v>
      </c>
      <c r="AI3120">
        <v>90.870204532902306</v>
      </c>
      <c r="AJ3120">
        <v>40.919284280495098</v>
      </c>
      <c r="AK3120">
        <v>54.427835023212097</v>
      </c>
    </row>
    <row r="3121" spans="1:37" x14ac:dyDescent="0.2">
      <c r="A3121" t="str">
        <f>"20200111150704460"</f>
        <v>20200111150704460</v>
      </c>
      <c r="B3121" t="str">
        <f>"1578726424450204"</f>
        <v>1578726424450204</v>
      </c>
      <c r="C3121" t="s">
        <v>37</v>
      </c>
      <c r="D3121">
        <v>5.2845430000000002</v>
      </c>
      <c r="E3121">
        <v>0.87226919999999897</v>
      </c>
      <c r="F3121" t="s">
        <v>61</v>
      </c>
      <c r="G3121">
        <v>-168.77379999999999</v>
      </c>
      <c r="H3121">
        <v>17.618369999999999</v>
      </c>
      <c r="I3121">
        <v>172.6858</v>
      </c>
      <c r="J3121">
        <v>-203.06219999999999</v>
      </c>
      <c r="K3121">
        <v>1.092525</v>
      </c>
      <c r="L3121">
        <v>143.1755</v>
      </c>
      <c r="M3121">
        <v>-0.15256040000000001</v>
      </c>
      <c r="N3121">
        <v>0</v>
      </c>
      <c r="O3121">
        <v>0.98814899999999894</v>
      </c>
      <c r="P3121">
        <v>0.25578879999999998</v>
      </c>
      <c r="Q3121">
        <v>0.19384129999999899</v>
      </c>
      <c r="R3121">
        <v>0.94709959999999904</v>
      </c>
      <c r="S3121">
        <v>2.6101990000000002</v>
      </c>
      <c r="T3121">
        <v>1.2595670000000001</v>
      </c>
      <c r="U3121">
        <v>2.2847140000000001</v>
      </c>
      <c r="V3121">
        <v>0.40307949999999998</v>
      </c>
      <c r="W3121">
        <v>0.1976417</v>
      </c>
      <c r="X3121">
        <v>0.89356849999999999</v>
      </c>
      <c r="Y3121">
        <v>0.80514069999999904</v>
      </c>
      <c r="Z3121">
        <v>0.30983070000000001</v>
      </c>
      <c r="AA3121">
        <v>0.50572059999999996</v>
      </c>
      <c r="AB3121">
        <v>23</v>
      </c>
      <c r="AC3121">
        <v>34.288400000000003</v>
      </c>
      <c r="AD3121">
        <v>16.525845</v>
      </c>
      <c r="AE3121">
        <v>29.510300000000001</v>
      </c>
      <c r="AF3121">
        <v>33.8698703441665</v>
      </c>
      <c r="AG3121">
        <v>16.525845</v>
      </c>
      <c r="AH3121">
        <v>21.115219676938999</v>
      </c>
      <c r="AI3121">
        <v>67.507990735521403</v>
      </c>
      <c r="AJ3121">
        <v>31.940317982993299</v>
      </c>
      <c r="AK3121">
        <v>43.198659378504601</v>
      </c>
    </row>
    <row r="3122" spans="1:37" x14ac:dyDescent="0.2">
      <c r="A3122" t="str">
        <f>"20200111150704481"</f>
        <v>20200111150704481</v>
      </c>
      <c r="B3122" t="str">
        <f>"1578726424470700"</f>
        <v>1578726424470700</v>
      </c>
      <c r="C3122" t="s">
        <v>37</v>
      </c>
      <c r="D3122">
        <v>5.3372630000000001</v>
      </c>
      <c r="E3122">
        <v>0.85430030000000001</v>
      </c>
      <c r="F3122" t="s">
        <v>61</v>
      </c>
      <c r="G3122">
        <v>-162.54730000000001</v>
      </c>
      <c r="H3122">
        <v>1.098867</v>
      </c>
      <c r="I3122">
        <v>167.08920000000001</v>
      </c>
      <c r="J3122">
        <v>-203.07550000000001</v>
      </c>
      <c r="K3122">
        <v>1.0925400000000001</v>
      </c>
      <c r="L3122">
        <v>143.39089999999999</v>
      </c>
      <c r="M3122">
        <v>-0.13533539999999999</v>
      </c>
      <c r="N3122">
        <v>0</v>
      </c>
      <c r="O3122">
        <v>0.99065509999999901</v>
      </c>
      <c r="P3122">
        <v>0.27387620000000001</v>
      </c>
      <c r="Q3122">
        <v>0.19378090000000001</v>
      </c>
      <c r="R3122">
        <v>0.94204080000000001</v>
      </c>
      <c r="S3122">
        <v>3.6817470000000001</v>
      </c>
      <c r="T3122">
        <v>5.7923790000000001E-4</v>
      </c>
      <c r="U3122">
        <v>2.1731259999999999</v>
      </c>
      <c r="V3122">
        <v>0.40462199999999998</v>
      </c>
      <c r="W3122">
        <v>0.1975557</v>
      </c>
      <c r="X3122">
        <v>0.89289010000000002</v>
      </c>
      <c r="Y3122">
        <v>0.92205380000000003</v>
      </c>
      <c r="Z3122">
        <v>1.220488E-4</v>
      </c>
      <c r="AA3122">
        <v>0.38706170000000001</v>
      </c>
      <c r="AB3122">
        <v>23</v>
      </c>
      <c r="AC3122">
        <v>40.528199999999998</v>
      </c>
      <c r="AD3122">
        <v>6.3269999999999698E-3</v>
      </c>
      <c r="AE3122">
        <v>23.6983</v>
      </c>
      <c r="AF3122">
        <v>43.362904883659198</v>
      </c>
      <c r="AG3122">
        <v>6.3269999999999698E-3</v>
      </c>
      <c r="AH3122">
        <v>17.994521891921998</v>
      </c>
      <c r="AI3122">
        <v>89.992278521814399</v>
      </c>
      <c r="AJ3122">
        <v>22.537228578521301</v>
      </c>
      <c r="AK3122">
        <v>46.948316030493203</v>
      </c>
    </row>
    <row r="3123" spans="1:37" x14ac:dyDescent="0.2">
      <c r="A3123" t="str">
        <f>"20200111150704503"</f>
        <v>20200111150704503</v>
      </c>
      <c r="B3123" t="str">
        <f>"1578726424499980"</f>
        <v>1578726424499980</v>
      </c>
      <c r="C3123" t="s">
        <v>37</v>
      </c>
      <c r="D3123">
        <v>5.0882269999999998</v>
      </c>
      <c r="E3123">
        <v>0.84203249999999996</v>
      </c>
      <c r="F3123" t="s">
        <v>61</v>
      </c>
      <c r="G3123">
        <v>-162.97559999999999</v>
      </c>
      <c r="H3123">
        <v>0.2409859</v>
      </c>
      <c r="I3123">
        <v>167.51769999999999</v>
      </c>
      <c r="J3123">
        <v>-203.0855</v>
      </c>
      <c r="K3123">
        <v>1.0925670000000001</v>
      </c>
      <c r="L3123">
        <v>143.6198</v>
      </c>
      <c r="M3123">
        <v>-0.1169862</v>
      </c>
      <c r="N3123">
        <v>0</v>
      </c>
      <c r="O3123">
        <v>0.99298920000000002</v>
      </c>
      <c r="P3123">
        <v>0.294429</v>
      </c>
      <c r="Q3123">
        <v>0.19344549999999999</v>
      </c>
      <c r="R3123">
        <v>0.93589009999999995</v>
      </c>
      <c r="S3123">
        <v>3.5861209999999999</v>
      </c>
      <c r="T3123">
        <v>-7.6151490000000002E-2</v>
      </c>
      <c r="U3123">
        <v>2.157654</v>
      </c>
      <c r="V3123">
        <v>0.40763749999999999</v>
      </c>
      <c r="W3123">
        <v>0.1971434</v>
      </c>
      <c r="X3123">
        <v>0.89160869999999903</v>
      </c>
      <c r="Y3123">
        <v>0.91117329999999996</v>
      </c>
      <c r="Z3123">
        <v>-1.6693690000000001E-2</v>
      </c>
      <c r="AA3123">
        <v>0.41168500000000002</v>
      </c>
      <c r="AB3123">
        <v>23</v>
      </c>
      <c r="AC3123">
        <v>40.109900000000003</v>
      </c>
      <c r="AD3123">
        <v>-0.85158109999999998</v>
      </c>
      <c r="AE3123">
        <v>23.8979</v>
      </c>
      <c r="AF3123">
        <v>42.6163559181227</v>
      </c>
      <c r="AG3123">
        <v>-0.85158109999999998</v>
      </c>
      <c r="AH3123">
        <v>19.0344491216573</v>
      </c>
      <c r="AI3123">
        <v>91.045262246227793</v>
      </c>
      <c r="AJ3123">
        <v>24.067763274310199</v>
      </c>
      <c r="AK3123">
        <v>46.681786978166897</v>
      </c>
    </row>
    <row r="3124" spans="1:37" x14ac:dyDescent="0.2">
      <c r="A3124" t="str">
        <f>"20200111150704549"</f>
        <v>20200111150704549</v>
      </c>
      <c r="B3124" t="str">
        <f>"1578726424539996"</f>
        <v>1578726424539996</v>
      </c>
      <c r="C3124" t="s">
        <v>37</v>
      </c>
      <c r="D3124">
        <v>5.703335</v>
      </c>
      <c r="E3124">
        <v>0.75427409999999995</v>
      </c>
      <c r="F3124" t="s">
        <v>39</v>
      </c>
      <c r="G3124">
        <v>-175.3253</v>
      </c>
      <c r="H3124">
        <v>7.9985699999999896E-2</v>
      </c>
      <c r="I3124">
        <v>160.232</v>
      </c>
      <c r="J3124">
        <v>-203.09280000000001</v>
      </c>
      <c r="K3124">
        <v>1.092635</v>
      </c>
      <c r="L3124">
        <v>144.1044</v>
      </c>
      <c r="M3124">
        <v>-7.8001680000000004E-2</v>
      </c>
      <c r="N3124">
        <v>0</v>
      </c>
      <c r="O3124">
        <v>0.99680949999999902</v>
      </c>
      <c r="P3124">
        <v>0.33218429999999999</v>
      </c>
      <c r="Q3124">
        <v>0.19116179999999999</v>
      </c>
      <c r="R3124">
        <v>0.92364000000000002</v>
      </c>
      <c r="S3124">
        <v>3.540146</v>
      </c>
      <c r="T3124">
        <v>-0.12913050000000001</v>
      </c>
      <c r="U3124">
        <v>2.118484</v>
      </c>
      <c r="V3124">
        <v>0.40885529999999998</v>
      </c>
      <c r="W3124">
        <v>0.19488820000000001</v>
      </c>
      <c r="X3124">
        <v>0.89154690000000003</v>
      </c>
      <c r="Y3124">
        <v>0.89515020000000001</v>
      </c>
      <c r="Z3124">
        <v>-2.9677080000000002E-2</v>
      </c>
      <c r="AA3124">
        <v>0.4447759</v>
      </c>
      <c r="AB3124">
        <v>23</v>
      </c>
      <c r="AC3124">
        <v>27.767499999999998</v>
      </c>
      <c r="AD3124">
        <v>-1.0126493000000001</v>
      </c>
      <c r="AE3124">
        <v>16.127600000000001</v>
      </c>
      <c r="AF3124">
        <v>28.912281474083301</v>
      </c>
      <c r="AG3124">
        <v>-1.0126493000000001</v>
      </c>
      <c r="AH3124">
        <v>13.8984048061903</v>
      </c>
      <c r="AI3124">
        <v>91.808055428454296</v>
      </c>
      <c r="AJ3124">
        <v>25.6740300776619</v>
      </c>
      <c r="AK3124">
        <v>32.095344441182498</v>
      </c>
    </row>
    <row r="3125" spans="1:37" x14ac:dyDescent="0.2">
      <c r="A3125" t="str">
        <f>"20200111150704571"</f>
        <v>20200111150704571</v>
      </c>
      <c r="B3125" t="str">
        <f>"1578726424560496"</f>
        <v>1578726424560496</v>
      </c>
      <c r="C3125" t="s">
        <v>37</v>
      </c>
      <c r="D3125">
        <v>5.2624440000000003</v>
      </c>
      <c r="E3125">
        <v>0.75523660000000004</v>
      </c>
      <c r="F3125" t="s">
        <v>38</v>
      </c>
      <c r="G3125">
        <v>-201.893</v>
      </c>
      <c r="H3125">
        <v>1.0050129999999999</v>
      </c>
      <c r="I3125">
        <v>145.00110000000001</v>
      </c>
      <c r="J3125">
        <v>-203.08969999999999</v>
      </c>
      <c r="K3125">
        <v>1.0926639999999901</v>
      </c>
      <c r="L3125">
        <v>144.32399999999899</v>
      </c>
      <c r="M3125">
        <v>-6.027532E-2</v>
      </c>
      <c r="N3125">
        <v>0</v>
      </c>
      <c r="O3125">
        <v>0.99803839999999999</v>
      </c>
      <c r="P3125">
        <v>0.35069850000000002</v>
      </c>
      <c r="Q3125">
        <v>0.18972829999999999</v>
      </c>
      <c r="R3125">
        <v>0.91706799999999999</v>
      </c>
      <c r="S3125">
        <v>2.9739840000000002</v>
      </c>
      <c r="T3125">
        <v>-0.2172481</v>
      </c>
      <c r="U3125">
        <v>2.2234039999999999</v>
      </c>
      <c r="V3125">
        <v>0.4109138</v>
      </c>
      <c r="W3125">
        <v>0.19341610000000001</v>
      </c>
      <c r="X3125">
        <v>0.89092090000000002</v>
      </c>
      <c r="Y3125">
        <v>0.83426100000000003</v>
      </c>
      <c r="Z3125">
        <v>-5.6403660000000001E-2</v>
      </c>
      <c r="AA3125">
        <v>0.5484772</v>
      </c>
      <c r="AB3125">
        <v>22</v>
      </c>
      <c r="AC3125">
        <v>1.1966999999999901</v>
      </c>
      <c r="AD3125">
        <v>-8.7650999999999896E-2</v>
      </c>
      <c r="AE3125">
        <v>0.67710000000002402</v>
      </c>
      <c r="AF3125">
        <v>1.23034201371254</v>
      </c>
      <c r="AG3125">
        <v>-8.7650999999999896E-2</v>
      </c>
      <c r="AH3125">
        <v>0.60128328589615898</v>
      </c>
      <c r="AI3125">
        <v>93.662301265991204</v>
      </c>
      <c r="AJ3125">
        <v>26.045329120779101</v>
      </c>
      <c r="AK3125">
        <v>1.37221199470247</v>
      </c>
    </row>
    <row r="3126" spans="1:37" x14ac:dyDescent="0.2">
      <c r="A3126" t="str">
        <f>"20200111150704593"</f>
        <v>20200111150704593</v>
      </c>
      <c r="B3126" t="str">
        <f>"1578726424589772"</f>
        <v>1578726424589772</v>
      </c>
      <c r="C3126" t="s">
        <v>37</v>
      </c>
      <c r="D3126">
        <v>5.24451</v>
      </c>
      <c r="E3126">
        <v>0.75827149999999999</v>
      </c>
      <c r="F3126" t="s">
        <v>38</v>
      </c>
      <c r="G3126">
        <v>-201.875</v>
      </c>
      <c r="H3126">
        <v>1.0091129999999999</v>
      </c>
      <c r="I3126">
        <v>145.19130000000001</v>
      </c>
      <c r="J3126">
        <v>-203.08260000000001</v>
      </c>
      <c r="K3126">
        <v>1.0926990000000001</v>
      </c>
      <c r="L3126">
        <v>144.5497</v>
      </c>
      <c r="M3126">
        <v>-4.2024800000000001E-2</v>
      </c>
      <c r="N3126">
        <v>0</v>
      </c>
      <c r="O3126">
        <v>0.99897340000000001</v>
      </c>
      <c r="P3126">
        <v>0.368845599999999</v>
      </c>
      <c r="Q3126">
        <v>0.1877751</v>
      </c>
      <c r="R3126">
        <v>0.91032599999999997</v>
      </c>
      <c r="S3126">
        <v>3.0229490000000001</v>
      </c>
      <c r="T3126">
        <v>-0.20791860000000001</v>
      </c>
      <c r="U3126">
        <v>2.1582789999999998</v>
      </c>
      <c r="V3126">
        <v>0.41227609999999998</v>
      </c>
      <c r="W3126">
        <v>0.19145319999999999</v>
      </c>
      <c r="X3126">
        <v>0.89071549999999999</v>
      </c>
      <c r="Y3126">
        <v>0.83633609999999903</v>
      </c>
      <c r="Z3126">
        <v>-5.4569180000000002E-2</v>
      </c>
      <c r="AA3126">
        <v>0.54549429999999999</v>
      </c>
      <c r="AB3126">
        <v>22</v>
      </c>
      <c r="AC3126">
        <v>1.20760000000001</v>
      </c>
      <c r="AD3126">
        <v>-8.3586000000000105E-2</v>
      </c>
      <c r="AE3126">
        <v>0.64160000000001005</v>
      </c>
      <c r="AF3126">
        <v>1.2289083059464401</v>
      </c>
      <c r="AG3126">
        <v>-8.3586000000000105E-2</v>
      </c>
      <c r="AH3126">
        <v>0.58807939942200005</v>
      </c>
      <c r="AI3126">
        <v>93.510887760996297</v>
      </c>
      <c r="AJ3126">
        <v>25.572889258607901</v>
      </c>
      <c r="AK3126">
        <v>1.36493209495736</v>
      </c>
    </row>
    <row r="3127" spans="1:37" x14ac:dyDescent="0.2">
      <c r="A3127" t="str">
        <f>"20200111150704616"</f>
        <v>20200111150704616</v>
      </c>
      <c r="B3127" t="str">
        <f>"1578726424610268"</f>
        <v>1578726424610268</v>
      </c>
      <c r="C3127" t="s">
        <v>37</v>
      </c>
      <c r="D3127">
        <v>5.2760540000000002</v>
      </c>
      <c r="E3127">
        <v>0.75886430000000005</v>
      </c>
      <c r="F3127" t="s">
        <v>38</v>
      </c>
      <c r="G3127">
        <v>-201.69820000000001</v>
      </c>
      <c r="H3127">
        <v>1.006869</v>
      </c>
      <c r="I3127">
        <v>145.48439999999999</v>
      </c>
      <c r="J3127">
        <v>-203.0703</v>
      </c>
      <c r="K3127">
        <v>1.0927340000000001</v>
      </c>
      <c r="L3127">
        <v>144.78579999999999</v>
      </c>
      <c r="M3127">
        <v>-2.28801E-2</v>
      </c>
      <c r="N3127">
        <v>0</v>
      </c>
      <c r="O3127">
        <v>0.99959529999999996</v>
      </c>
      <c r="P3127">
        <v>0.38656239999999997</v>
      </c>
      <c r="Q3127">
        <v>0.1869828</v>
      </c>
      <c r="R3127">
        <v>0.90310959999999996</v>
      </c>
      <c r="S3127">
        <v>3.0868069999999999</v>
      </c>
      <c r="T3127">
        <v>-0.19138339999999901</v>
      </c>
      <c r="U3127">
        <v>2.0843050000000001</v>
      </c>
      <c r="V3127">
        <v>0.4125799</v>
      </c>
      <c r="W3127">
        <v>0.19068650000000001</v>
      </c>
      <c r="X3127">
        <v>0.89073930000000001</v>
      </c>
      <c r="Y3127">
        <v>0.84027949999999996</v>
      </c>
      <c r="Z3127">
        <v>-5.0661579999999998E-2</v>
      </c>
      <c r="AA3127">
        <v>0.53978119999999996</v>
      </c>
      <c r="AB3127">
        <v>22</v>
      </c>
      <c r="AC3127">
        <v>1.3720999999999799</v>
      </c>
      <c r="AD3127">
        <v>-8.5864999999999997E-2</v>
      </c>
      <c r="AE3127">
        <v>0.698599999999999</v>
      </c>
      <c r="AF3127">
        <v>1.38342462186791</v>
      </c>
      <c r="AG3127">
        <v>-8.5864999999999997E-2</v>
      </c>
      <c r="AH3127">
        <v>0.66495081960282099</v>
      </c>
      <c r="AI3127">
        <v>93.201817787550397</v>
      </c>
      <c r="AJ3127">
        <v>25.6715281428156</v>
      </c>
      <c r="AK3127">
        <v>1.5373340805127</v>
      </c>
    </row>
    <row r="3128" spans="1:37" x14ac:dyDescent="0.2">
      <c r="A3128" t="str">
        <f>"20200111150704638"</f>
        <v>20200111150704638</v>
      </c>
      <c r="B3128" t="str">
        <f>"1578726424629791"</f>
        <v>1578726424629791</v>
      </c>
      <c r="C3128" t="s">
        <v>37</v>
      </c>
      <c r="D3128">
        <v>5.2761059999999897</v>
      </c>
      <c r="E3128">
        <v>0.75634780000000001</v>
      </c>
      <c r="F3128" t="s">
        <v>38</v>
      </c>
      <c r="G3128">
        <v>-201.69450000000001</v>
      </c>
      <c r="H3128">
        <v>1.011536</v>
      </c>
      <c r="I3128">
        <v>145.6722</v>
      </c>
      <c r="J3128">
        <v>-203.05330000000001</v>
      </c>
      <c r="K3128">
        <v>1.0927739999999999</v>
      </c>
      <c r="L3128">
        <v>145.02420000000001</v>
      </c>
      <c r="M3128">
        <v>-3.516946E-3</v>
      </c>
      <c r="N3128">
        <v>0</v>
      </c>
      <c r="O3128">
        <v>0.99985109999999999</v>
      </c>
      <c r="P3128">
        <v>0.40571689999999999</v>
      </c>
      <c r="Q3128">
        <v>0.18726219999999999</v>
      </c>
      <c r="R3128">
        <v>0.89460980000000001</v>
      </c>
      <c r="S3128">
        <v>3.1331180000000001</v>
      </c>
      <c r="T3128">
        <v>-0.18494189999999999</v>
      </c>
      <c r="U3128">
        <v>2.0190579999999998</v>
      </c>
      <c r="V3128">
        <v>0.4143001</v>
      </c>
      <c r="W3128">
        <v>0.19093879999999999</v>
      </c>
      <c r="X3128">
        <v>0.88988639999999997</v>
      </c>
      <c r="Y3128">
        <v>0.84144909999999995</v>
      </c>
      <c r="Z3128">
        <v>-4.9461100000000001E-2</v>
      </c>
      <c r="AA3128">
        <v>0.53806769999999904</v>
      </c>
      <c r="AB3128">
        <v>22</v>
      </c>
      <c r="AC3128">
        <v>1.3588</v>
      </c>
      <c r="AD3128">
        <v>-8.1237999999999894E-2</v>
      </c>
      <c r="AE3128">
        <v>0.64799999999999602</v>
      </c>
      <c r="AF3128">
        <v>1.3571187803735101</v>
      </c>
      <c r="AG3128">
        <v>-8.1237999999999894E-2</v>
      </c>
      <c r="AH3128">
        <v>0.64134878545019902</v>
      </c>
      <c r="AI3128">
        <v>93.097905447172195</v>
      </c>
      <c r="AJ3128">
        <v>25.294536324926501</v>
      </c>
      <c r="AK3128">
        <v>1.5032296103007401</v>
      </c>
    </row>
    <row r="3129" spans="1:37" x14ac:dyDescent="0.2">
      <c r="A3129" t="str">
        <f>"20200111150704660"</f>
        <v>20200111150704660</v>
      </c>
      <c r="B3129" t="str">
        <f>"1578726424650284"</f>
        <v>1578726424650284</v>
      </c>
      <c r="C3129" t="s">
        <v>37</v>
      </c>
      <c r="D3129">
        <v>5.2557140000000002</v>
      </c>
      <c r="E3129">
        <v>0.75530489999999995</v>
      </c>
      <c r="F3129" t="s">
        <v>38</v>
      </c>
      <c r="G3129">
        <v>-201.70320000000001</v>
      </c>
      <c r="H3129">
        <v>1.0093889999999901</v>
      </c>
      <c r="I3129">
        <v>145.86330000000001</v>
      </c>
      <c r="J3129">
        <v>-203.0333</v>
      </c>
      <c r="K3129">
        <v>1.0928290000000001</v>
      </c>
      <c r="L3129">
        <v>145.2467</v>
      </c>
      <c r="M3129">
        <v>1.459761E-2</v>
      </c>
      <c r="N3129">
        <v>0</v>
      </c>
      <c r="O3129">
        <v>0.9997509</v>
      </c>
      <c r="P3129">
        <v>0.42434290000000002</v>
      </c>
      <c r="Q3129">
        <v>0.1875937</v>
      </c>
      <c r="R3129">
        <v>0.88585650000000005</v>
      </c>
      <c r="S3129">
        <v>3.1570279999999999</v>
      </c>
      <c r="T3129">
        <v>-0.19499430000000001</v>
      </c>
      <c r="U3129">
        <v>1.9624790000000001</v>
      </c>
      <c r="V3129">
        <v>0.416792099999999</v>
      </c>
      <c r="W3129">
        <v>0.19121260000000001</v>
      </c>
      <c r="X3129">
        <v>0.88866309999999904</v>
      </c>
      <c r="Y3129">
        <v>0.84030539999999998</v>
      </c>
      <c r="Z3129">
        <v>-5.2796049999999997E-2</v>
      </c>
      <c r="AA3129">
        <v>0.53953609999999996</v>
      </c>
      <c r="AB3129">
        <v>22</v>
      </c>
      <c r="AC3129">
        <v>1.3300999999999801</v>
      </c>
      <c r="AD3129">
        <v>-8.3440000000000097E-2</v>
      </c>
      <c r="AE3129">
        <v>0.61660000000000503</v>
      </c>
      <c r="AF3129">
        <v>1.31669102813543</v>
      </c>
      <c r="AG3129">
        <v>-8.3440000000000097E-2</v>
      </c>
      <c r="AH3129">
        <v>0.633899995750828</v>
      </c>
      <c r="AI3129">
        <v>93.2679498600762</v>
      </c>
      <c r="AJ3129">
        <v>25.707751146961101</v>
      </c>
      <c r="AK3129">
        <v>1.4637167423327599</v>
      </c>
    </row>
    <row r="3130" spans="1:37" x14ac:dyDescent="0.2">
      <c r="A3130" t="str">
        <f>"20200111150704681"</f>
        <v>20200111150704681</v>
      </c>
      <c r="B3130" t="str">
        <f>"1578726424669804"</f>
        <v>1578726424669804</v>
      </c>
      <c r="C3130" t="s">
        <v>37</v>
      </c>
      <c r="D3130">
        <v>5.2837550000000002</v>
      </c>
      <c r="E3130">
        <v>0.75291809999999904</v>
      </c>
      <c r="F3130" t="s">
        <v>38</v>
      </c>
      <c r="G3130">
        <v>-201.6857</v>
      </c>
      <c r="H3130">
        <v>1.0102990000000001</v>
      </c>
      <c r="I3130">
        <v>146.04949999999999</v>
      </c>
      <c r="J3130">
        <v>-203.0095</v>
      </c>
      <c r="K3130">
        <v>1.0928799999999901</v>
      </c>
      <c r="L3130">
        <v>145.46690000000001</v>
      </c>
      <c r="M3130">
        <v>3.2549700000000001E-2</v>
      </c>
      <c r="N3130">
        <v>0</v>
      </c>
      <c r="O3130">
        <v>0.99932770000000004</v>
      </c>
      <c r="P3130">
        <v>0.4418977</v>
      </c>
      <c r="Q3130">
        <v>0.18789909999999899</v>
      </c>
      <c r="R3130">
        <v>0.87716609999999995</v>
      </c>
      <c r="S3130">
        <v>3.1891940000000001</v>
      </c>
      <c r="T3130">
        <v>-0.19534560000000001</v>
      </c>
      <c r="U3130">
        <v>1.900253</v>
      </c>
      <c r="V3130">
        <v>0.41852429999999902</v>
      </c>
      <c r="W3130">
        <v>0.1914864</v>
      </c>
      <c r="X3130">
        <v>0.88778959999999996</v>
      </c>
      <c r="Y3130">
        <v>0.84072469999999999</v>
      </c>
      <c r="Z3130">
        <v>-5.3453870000000001E-2</v>
      </c>
      <c r="AA3130">
        <v>0.53881780000000001</v>
      </c>
      <c r="AB3130">
        <v>22</v>
      </c>
      <c r="AC3130">
        <v>1.3238000000000001</v>
      </c>
      <c r="AD3130">
        <v>-8.2580999999999793E-2</v>
      </c>
      <c r="AE3130">
        <v>0.58259999999998502</v>
      </c>
      <c r="AF3130">
        <v>1.2998944522395199</v>
      </c>
      <c r="AG3130">
        <v>-8.2580999999999793E-2</v>
      </c>
      <c r="AH3130">
        <v>0.62335445641017195</v>
      </c>
      <c r="AI3130">
        <v>93.278496170469197</v>
      </c>
      <c r="AJ3130">
        <v>25.619691302403499</v>
      </c>
      <c r="AK3130">
        <v>1.4439930702224699</v>
      </c>
    </row>
    <row r="3131" spans="1:37" x14ac:dyDescent="0.2">
      <c r="A3131" t="str">
        <f>"20200111150704703"</f>
        <v>20200111150704703</v>
      </c>
      <c r="B3131" t="str">
        <f>"1578726424700061"</f>
        <v>1578726424700061</v>
      </c>
      <c r="C3131" t="s">
        <v>37</v>
      </c>
      <c r="D3131">
        <v>5.375553</v>
      </c>
      <c r="E3131">
        <v>0.74523379999999995</v>
      </c>
      <c r="F3131" t="s">
        <v>38</v>
      </c>
      <c r="G3131">
        <v>-201.66829999999999</v>
      </c>
      <c r="H3131">
        <v>1.01589</v>
      </c>
      <c r="I3131">
        <v>146.23609999999999</v>
      </c>
      <c r="J3131">
        <v>-202.98089999999999</v>
      </c>
      <c r="K3131">
        <v>1.092929</v>
      </c>
      <c r="L3131">
        <v>145.69329999999999</v>
      </c>
      <c r="M3131">
        <v>5.1043169999999999E-2</v>
      </c>
      <c r="N3131">
        <v>0</v>
      </c>
      <c r="O3131">
        <v>0.998554099999999</v>
      </c>
      <c r="P3131">
        <v>0.460206</v>
      </c>
      <c r="Q3131">
        <v>0.18851679999999901</v>
      </c>
      <c r="R3131">
        <v>0.86756659999999997</v>
      </c>
      <c r="S3131">
        <v>3.2111509999999899</v>
      </c>
      <c r="T3131">
        <v>-0.18435969999999999</v>
      </c>
      <c r="U3131">
        <v>1.841888</v>
      </c>
      <c r="V3131">
        <v>0.42072920000000003</v>
      </c>
      <c r="W3131">
        <v>0.19205549999999999</v>
      </c>
      <c r="X3131">
        <v>0.88662369999999902</v>
      </c>
      <c r="Y3131">
        <v>0.83977979999999997</v>
      </c>
      <c r="Z3131">
        <v>-5.1059260000000002E-2</v>
      </c>
      <c r="AA3131">
        <v>0.54052089999999997</v>
      </c>
      <c r="AB3131">
        <v>22</v>
      </c>
      <c r="AC3131">
        <v>1.3126</v>
      </c>
      <c r="AD3131">
        <v>-7.7038999999999996E-2</v>
      </c>
      <c r="AE3131">
        <v>0.54279999999999895</v>
      </c>
      <c r="AF3131">
        <v>1.2794146576894001</v>
      </c>
      <c r="AG3131">
        <v>-7.7038999999999996E-2</v>
      </c>
      <c r="AH3131">
        <v>0.60731449086438305</v>
      </c>
      <c r="AI3131">
        <v>93.113643754120005</v>
      </c>
      <c r="AJ3131">
        <v>25.392827770238199</v>
      </c>
      <c r="AK3131">
        <v>1.41833274115962</v>
      </c>
    </row>
    <row r="3132" spans="1:37" x14ac:dyDescent="0.2">
      <c r="A3132" t="str">
        <f>"20200111150704727"</f>
        <v>20200111150704727</v>
      </c>
      <c r="B3132" t="str">
        <f>"1578726424720556"</f>
        <v>1578726424720556</v>
      </c>
      <c r="C3132" t="s">
        <v>37</v>
      </c>
      <c r="D3132">
        <v>5.5533489999999999</v>
      </c>
      <c r="E3132">
        <v>0.74300929999999998</v>
      </c>
      <c r="F3132" t="s">
        <v>38</v>
      </c>
      <c r="G3132">
        <v>-201.67519999999999</v>
      </c>
      <c r="H3132">
        <v>1.01569</v>
      </c>
      <c r="I3132">
        <v>146.4298</v>
      </c>
      <c r="J3132">
        <v>-202.9461</v>
      </c>
      <c r="K3132">
        <v>1.0929770000000001</v>
      </c>
      <c r="L3132">
        <v>145.93199999999999</v>
      </c>
      <c r="M3132">
        <v>7.0576349999999996E-2</v>
      </c>
      <c r="N3132">
        <v>0</v>
      </c>
      <c r="O3132">
        <v>0.99736399999999903</v>
      </c>
      <c r="P3132">
        <v>0.48003639999999997</v>
      </c>
      <c r="Q3132">
        <v>0.18981439999999999</v>
      </c>
      <c r="R3132">
        <v>0.85646690000000003</v>
      </c>
      <c r="S3132">
        <v>3.1963810000000001</v>
      </c>
      <c r="T3132">
        <v>-0.18912010000000001</v>
      </c>
      <c r="U3132">
        <v>1.803482</v>
      </c>
      <c r="V3132">
        <v>0.4238112</v>
      </c>
      <c r="W3132">
        <v>0.1932721</v>
      </c>
      <c r="X3132">
        <v>0.88488979999999995</v>
      </c>
      <c r="Y3132">
        <v>0.83284829999999999</v>
      </c>
      <c r="Z3132">
        <v>-5.3284720000000001E-2</v>
      </c>
      <c r="AA3132">
        <v>0.5509307</v>
      </c>
      <c r="AB3132">
        <v>22</v>
      </c>
      <c r="AC3132">
        <v>1.2709000000000099</v>
      </c>
      <c r="AD3132">
        <v>-7.7287000000000106E-2</v>
      </c>
      <c r="AE3132">
        <v>0.49779999999998298</v>
      </c>
      <c r="AF3132">
        <v>1.22865265039574</v>
      </c>
      <c r="AG3132">
        <v>-7.7287000000000106E-2</v>
      </c>
      <c r="AH3132">
        <v>0.58439281771002405</v>
      </c>
      <c r="AI3132">
        <v>93.251227693618802</v>
      </c>
      <c r="AJ3132">
        <v>25.437495340619499</v>
      </c>
      <c r="AK3132">
        <v>1.36274560394981</v>
      </c>
    </row>
    <row r="3133" spans="1:37" x14ac:dyDescent="0.2">
      <c r="A3133" t="str">
        <f>"20200111150704749"</f>
        <v>20200111150704749</v>
      </c>
      <c r="B3133" t="str">
        <f>"1578726424740076"</f>
        <v>1578726424740076</v>
      </c>
      <c r="C3133" t="s">
        <v>37</v>
      </c>
      <c r="D3133">
        <v>5.1111329999999997</v>
      </c>
      <c r="E3133">
        <v>0.7404463</v>
      </c>
      <c r="F3133" t="s">
        <v>38</v>
      </c>
      <c r="G3133">
        <v>-201.62690000000001</v>
      </c>
      <c r="H3133">
        <v>1.011771</v>
      </c>
      <c r="I3133">
        <v>146.64529999999999</v>
      </c>
      <c r="J3133">
        <v>-202.9085</v>
      </c>
      <c r="K3133">
        <v>1.093013</v>
      </c>
      <c r="L3133">
        <v>146.15969999999999</v>
      </c>
      <c r="M3133">
        <v>8.9263170000000003E-2</v>
      </c>
      <c r="N3133">
        <v>0</v>
      </c>
      <c r="O3133">
        <v>0.99586569999999996</v>
      </c>
      <c r="P3133">
        <v>0.49856020000000001</v>
      </c>
      <c r="Q3133">
        <v>0.19086620000000001</v>
      </c>
      <c r="R3133">
        <v>0.84558140000000004</v>
      </c>
      <c r="S3133">
        <v>3.2207180000000002</v>
      </c>
      <c r="T3133">
        <v>-0.19826469999999999</v>
      </c>
      <c r="U3133">
        <v>1.7415619999999901</v>
      </c>
      <c r="V3133">
        <v>0.42651709999999898</v>
      </c>
      <c r="W3133">
        <v>0.1942507</v>
      </c>
      <c r="X3133">
        <v>0.88337410000000005</v>
      </c>
      <c r="Y3133">
        <v>0.83227059999999997</v>
      </c>
      <c r="Z3133">
        <v>-5.6444429999999997E-2</v>
      </c>
      <c r="AA3133">
        <v>0.5514886</v>
      </c>
      <c r="AB3133">
        <v>22</v>
      </c>
      <c r="AC3133">
        <v>1.2815999999999901</v>
      </c>
      <c r="AD3133">
        <v>-8.1241999999999995E-2</v>
      </c>
      <c r="AE3133">
        <v>0.48560000000000503</v>
      </c>
      <c r="AF3133">
        <v>1.2288121746940499</v>
      </c>
      <c r="AG3133">
        <v>-8.1241999999999995E-2</v>
      </c>
      <c r="AH3133">
        <v>0.59598262432181404</v>
      </c>
      <c r="AI3133">
        <v>93.404332677975702</v>
      </c>
      <c r="AJ3133">
        <v>25.873714370456501</v>
      </c>
      <c r="AK3133">
        <v>1.3681282512008299</v>
      </c>
    </row>
    <row r="3134" spans="1:37" x14ac:dyDescent="0.2">
      <c r="A3134" t="str">
        <f>"20200111150704771"</f>
        <v>20200111150704771</v>
      </c>
      <c r="B3134" t="str">
        <f>"1578726424760572"</f>
        <v>1578726424760572</v>
      </c>
      <c r="C3134" t="s">
        <v>37</v>
      </c>
      <c r="D3134">
        <v>4.9976929999999999</v>
      </c>
      <c r="E3134">
        <v>0.73687400000000003</v>
      </c>
      <c r="F3134" t="s">
        <v>38</v>
      </c>
      <c r="G3134">
        <v>-201.57339999999999</v>
      </c>
      <c r="H3134">
        <v>1.0131190000000001</v>
      </c>
      <c r="I3134">
        <v>146.8528</v>
      </c>
      <c r="J3134">
        <v>-202.86959999999999</v>
      </c>
      <c r="K3134">
        <v>1.0930420000000001</v>
      </c>
      <c r="L3134">
        <v>146.37090000000001</v>
      </c>
      <c r="M3134">
        <v>0.1066569</v>
      </c>
      <c r="N3134">
        <v>0</v>
      </c>
      <c r="O3134">
        <v>0.99415339999999996</v>
      </c>
      <c r="P3134">
        <v>0.51561729999999995</v>
      </c>
      <c r="Q3134">
        <v>0.1910451</v>
      </c>
      <c r="R3134">
        <v>0.83524880000000001</v>
      </c>
      <c r="S3134">
        <v>3.2388150000000002</v>
      </c>
      <c r="T3134">
        <v>-0.19385279999999999</v>
      </c>
      <c r="U3134">
        <v>1.6819919999999999</v>
      </c>
      <c r="V3134">
        <v>0.42900850000000001</v>
      </c>
      <c r="W3134">
        <v>0.1943569</v>
      </c>
      <c r="X3134">
        <v>0.88214349999999997</v>
      </c>
      <c r="Y3134">
        <v>0.83187069999999996</v>
      </c>
      <c r="Z3134">
        <v>-5.5773059999999999E-2</v>
      </c>
      <c r="AA3134">
        <v>0.55215979999999998</v>
      </c>
      <c r="AB3134">
        <v>22</v>
      </c>
      <c r="AC3134">
        <v>1.29619999999999</v>
      </c>
      <c r="AD3134">
        <v>-7.9922999999999897E-2</v>
      </c>
      <c r="AE3134">
        <v>0.481899999999996</v>
      </c>
      <c r="AF3134">
        <v>1.23327957156446</v>
      </c>
      <c r="AG3134">
        <v>-7.9922999999999897E-2</v>
      </c>
      <c r="AH3134">
        <v>0.61536322705209801</v>
      </c>
      <c r="AI3134">
        <v>93.3187267449714</v>
      </c>
      <c r="AJ3134">
        <v>26.517586379448201</v>
      </c>
      <c r="AK3134">
        <v>1.3805933828521699</v>
      </c>
    </row>
    <row r="3135" spans="1:37" x14ac:dyDescent="0.2">
      <c r="A3135" t="str">
        <f>"20200111150704793"</f>
        <v>20200111150704793</v>
      </c>
      <c r="B3135" t="str">
        <f>"1578726424789852"</f>
        <v>1578726424789852</v>
      </c>
      <c r="C3135" t="s">
        <v>37</v>
      </c>
      <c r="D3135">
        <v>5.0149400000000002</v>
      </c>
      <c r="E3135">
        <v>0.86117710000000003</v>
      </c>
      <c r="F3135" t="s">
        <v>38</v>
      </c>
      <c r="G3135">
        <v>-201.5196</v>
      </c>
      <c r="H3135">
        <v>1.0146109999999999</v>
      </c>
      <c r="I3135">
        <v>147.04839999999999</v>
      </c>
      <c r="J3135">
        <v>-202.82409999999999</v>
      </c>
      <c r="K3135">
        <v>1.0930549999999899</v>
      </c>
      <c r="L3135">
        <v>146.59460000000001</v>
      </c>
      <c r="M3135">
        <v>0.1251737</v>
      </c>
      <c r="N3135">
        <v>0</v>
      </c>
      <c r="O3135">
        <v>0.99199210000000004</v>
      </c>
      <c r="P3135">
        <v>0.5342517</v>
      </c>
      <c r="Q3135">
        <v>0.19005</v>
      </c>
      <c r="R3135">
        <v>0.82368449999999904</v>
      </c>
      <c r="S3135">
        <v>3.2473749999999999</v>
      </c>
      <c r="T3135">
        <v>-0.18868940000000001</v>
      </c>
      <c r="U3135">
        <v>1.630234</v>
      </c>
      <c r="V3135">
        <v>0.43232890000000002</v>
      </c>
      <c r="W3135">
        <v>0.1932519</v>
      </c>
      <c r="X3135">
        <v>0.88076409999999905</v>
      </c>
      <c r="Y3135">
        <v>0.82917450000000004</v>
      </c>
      <c r="Z3135">
        <v>-5.4911050000000003E-2</v>
      </c>
      <c r="AA3135">
        <v>0.55628630000000001</v>
      </c>
      <c r="AB3135">
        <v>22</v>
      </c>
      <c r="AC3135">
        <v>1.30449999999999</v>
      </c>
      <c r="AD3135">
        <v>-7.8443999999999695E-2</v>
      </c>
      <c r="AE3135">
        <v>0.453799999999972</v>
      </c>
      <c r="AF3135">
        <v>1.2334464236103999</v>
      </c>
      <c r="AG3135">
        <v>-7.8443999999999695E-2</v>
      </c>
      <c r="AH3135">
        <v>0.61156927637530101</v>
      </c>
      <c r="AI3135">
        <v>93.261082573341895</v>
      </c>
      <c r="AJ3135">
        <v>26.373203668438698</v>
      </c>
      <c r="AK3135">
        <v>1.3789708194372701</v>
      </c>
    </row>
    <row r="3136" spans="1:37" x14ac:dyDescent="0.2">
      <c r="A3136" t="str">
        <f>"20200111150704816"</f>
        <v>20200111150704816</v>
      </c>
      <c r="B3136" t="str">
        <f>"1578726424810348"</f>
        <v>1578726424810348</v>
      </c>
      <c r="C3136" t="s">
        <v>37</v>
      </c>
      <c r="D3136">
        <v>5.0533869999999999</v>
      </c>
      <c r="E3136">
        <v>0.85555700000000001</v>
      </c>
      <c r="F3136" t="s">
        <v>61</v>
      </c>
      <c r="G3136">
        <v>-144.51580000000001</v>
      </c>
      <c r="H3136">
        <v>1.34894</v>
      </c>
      <c r="I3136">
        <v>160.6687</v>
      </c>
      <c r="J3136">
        <v>-202.77430000000001</v>
      </c>
      <c r="K3136">
        <v>1.093046</v>
      </c>
      <c r="L3136">
        <v>146.816</v>
      </c>
      <c r="M3136">
        <v>0.1436335</v>
      </c>
      <c r="N3136">
        <v>0</v>
      </c>
      <c r="O3136">
        <v>0.98948780000000003</v>
      </c>
      <c r="P3136">
        <v>0.55240649999999902</v>
      </c>
      <c r="Q3136">
        <v>0.18871679999999999</v>
      </c>
      <c r="R3136">
        <v>0.81193169999999903</v>
      </c>
      <c r="S3136">
        <v>4.0877379999999999</v>
      </c>
      <c r="T3136">
        <v>1.7941240000000001E-2</v>
      </c>
      <c r="U3136">
        <v>0.98667909999999903</v>
      </c>
      <c r="V3136">
        <v>0.43540590000000001</v>
      </c>
      <c r="W3136">
        <v>0.19180559999999999</v>
      </c>
      <c r="X3136">
        <v>0.87956369999999895</v>
      </c>
      <c r="Y3136">
        <v>0.92828379999999999</v>
      </c>
      <c r="Z3136">
        <v>4.6369469999999998E-3</v>
      </c>
      <c r="AA3136">
        <v>0.3718436</v>
      </c>
      <c r="AB3136">
        <v>22</v>
      </c>
      <c r="AC3136">
        <v>58.258499999999998</v>
      </c>
      <c r="AD3136">
        <v>0.25589400000000001</v>
      </c>
      <c r="AE3136">
        <v>13.8527</v>
      </c>
      <c r="AF3136">
        <v>55.663232479412898</v>
      </c>
      <c r="AG3136">
        <v>0.25589400000000001</v>
      </c>
      <c r="AH3136">
        <v>22.077674460673599</v>
      </c>
      <c r="AI3136">
        <v>89.755158010284305</v>
      </c>
      <c r="AJ3136">
        <v>21.634732442196199</v>
      </c>
      <c r="AK3136">
        <v>59.882256482099002</v>
      </c>
    </row>
    <row r="3137" spans="1:37" x14ac:dyDescent="0.2">
      <c r="A3137" t="str">
        <f>"20200111150704905"</f>
        <v>20200111150704905</v>
      </c>
      <c r="B3137" t="str">
        <f>"1578726424900140"</f>
        <v>1578726424900140</v>
      </c>
      <c r="C3137" t="s">
        <v>37</v>
      </c>
      <c r="D3137">
        <v>4.9475300000000004</v>
      </c>
      <c r="E3137">
        <v>0.8527633</v>
      </c>
      <c r="F3137" t="s">
        <v>61</v>
      </c>
      <c r="G3137">
        <v>-144.23519999999999</v>
      </c>
      <c r="H3137">
        <v>1.8117029999999901</v>
      </c>
      <c r="I3137">
        <v>160.00729999999999</v>
      </c>
      <c r="J3137">
        <v>-202.5334</v>
      </c>
      <c r="K3137">
        <v>1.0929879999999901</v>
      </c>
      <c r="L3137">
        <v>147.6917</v>
      </c>
      <c r="M3137">
        <v>0.21786559999999999</v>
      </c>
      <c r="N3137">
        <v>0</v>
      </c>
      <c r="O3137">
        <v>0.97583279999999994</v>
      </c>
      <c r="P3137">
        <v>0.61939519999999904</v>
      </c>
      <c r="Q3137">
        <v>0.19029360000000001</v>
      </c>
      <c r="R3137">
        <v>0.76166789999999995</v>
      </c>
      <c r="S3137">
        <v>4.0667879999999998</v>
      </c>
      <c r="T3137">
        <v>4.9928189999999997E-2</v>
      </c>
      <c r="U3137">
        <v>0.91641240000000002</v>
      </c>
      <c r="V3137">
        <v>0.44399830000000001</v>
      </c>
      <c r="W3137">
        <v>0.19300680000000001</v>
      </c>
      <c r="X3137">
        <v>0.87499369999999999</v>
      </c>
      <c r="Y3137">
        <v>0.90411219999999903</v>
      </c>
      <c r="Z3137">
        <v>1.334139E-2</v>
      </c>
      <c r="AA3137">
        <v>0.42708689999999999</v>
      </c>
      <c r="AB3137">
        <v>22</v>
      </c>
      <c r="AC3137">
        <v>58.298200000000001</v>
      </c>
      <c r="AD3137">
        <v>0.71871499999999999</v>
      </c>
      <c r="AE3137">
        <v>12.3155999999999</v>
      </c>
      <c r="AF3137">
        <v>54.2059876148437</v>
      </c>
      <c r="AG3137">
        <v>0.71871499999999999</v>
      </c>
      <c r="AH3137">
        <v>24.719064630701801</v>
      </c>
      <c r="AI3137">
        <v>89.308828821949206</v>
      </c>
      <c r="AJ3137">
        <v>24.513978345832001</v>
      </c>
      <c r="AK3137">
        <v>59.580515277803897</v>
      </c>
    </row>
    <row r="3138" spans="1:37" x14ac:dyDescent="0.2">
      <c r="A3138" t="str">
        <f>"20200111150704928"</f>
        <v>20200111150704928</v>
      </c>
      <c r="B3138" t="str">
        <f>"1578726424920636"</f>
        <v>1578726424920636</v>
      </c>
      <c r="C3138" t="s">
        <v>37</v>
      </c>
      <c r="D3138">
        <v>4.8924089999999998</v>
      </c>
      <c r="E3138">
        <v>0.83357569999999903</v>
      </c>
      <c r="F3138" t="s">
        <v>114</v>
      </c>
      <c r="G3138">
        <v>-111.005</v>
      </c>
      <c r="H3138">
        <v>2.4719739999999999</v>
      </c>
      <c r="I3138">
        <v>160.6251</v>
      </c>
      <c r="J3138">
        <v>-202.45949999999999</v>
      </c>
      <c r="K3138">
        <v>1.092965</v>
      </c>
      <c r="L3138">
        <v>147.91720000000001</v>
      </c>
      <c r="M3138">
        <v>0.237341</v>
      </c>
      <c r="N3138">
        <v>0</v>
      </c>
      <c r="O3138">
        <v>0.97127949999999996</v>
      </c>
      <c r="P3138">
        <v>0.63738050000000002</v>
      </c>
      <c r="Q3138">
        <v>0.190025</v>
      </c>
      <c r="R3138">
        <v>0.74675069999999999</v>
      </c>
      <c r="S3138">
        <v>4.110214</v>
      </c>
      <c r="T3138">
        <v>6.1925529999999999E-2</v>
      </c>
      <c r="U3138">
        <v>0.58079530000000001</v>
      </c>
      <c r="V3138">
        <v>0.44735439999999999</v>
      </c>
      <c r="W3138">
        <v>0.19261139999999999</v>
      </c>
      <c r="X3138">
        <v>0.87336979999999997</v>
      </c>
      <c r="Y3138">
        <v>0.92850969999999999</v>
      </c>
      <c r="Z3138">
        <v>1.688829E-2</v>
      </c>
      <c r="AA3138">
        <v>0.37092409999999998</v>
      </c>
      <c r="AB3138">
        <v>22</v>
      </c>
      <c r="AC3138">
        <v>91.454499999999996</v>
      </c>
      <c r="AD3138">
        <v>1.3790089999999999</v>
      </c>
      <c r="AE3138">
        <v>12.707899999999899</v>
      </c>
      <c r="AF3138">
        <v>85.8048830530158</v>
      </c>
      <c r="AG3138">
        <v>1.3790089999999999</v>
      </c>
      <c r="AH3138">
        <v>34.046090486918096</v>
      </c>
      <c r="AI3138">
        <v>89.144152284756103</v>
      </c>
      <c r="AJ3138">
        <v>21.642435415089</v>
      </c>
      <c r="AK3138">
        <v>92.322889355821303</v>
      </c>
    </row>
    <row r="3139" spans="1:37" x14ac:dyDescent="0.2">
      <c r="A3139" t="str">
        <f>"20200111150704972"</f>
        <v>20200111150704972</v>
      </c>
      <c r="B3139" t="str">
        <f>"1578726424960652"</f>
        <v>1578726424960652</v>
      </c>
      <c r="C3139" t="s">
        <v>37</v>
      </c>
      <c r="D3139">
        <v>6.052416</v>
      </c>
      <c r="E3139">
        <v>0.83357569999999903</v>
      </c>
      <c r="F3139" t="s">
        <v>61</v>
      </c>
      <c r="G3139">
        <v>-119.9134</v>
      </c>
      <c r="H3139">
        <v>1.63452</v>
      </c>
      <c r="I3139">
        <v>159.99930000000001</v>
      </c>
      <c r="J3139">
        <v>-202.3117</v>
      </c>
      <c r="K3139">
        <v>1.092946</v>
      </c>
      <c r="L3139">
        <v>148.32679999999999</v>
      </c>
      <c r="M3139">
        <v>0.2730303</v>
      </c>
      <c r="N3139">
        <v>0</v>
      </c>
      <c r="O3139">
        <v>0.96185659999999895</v>
      </c>
      <c r="P3139">
        <v>0.66949419999999904</v>
      </c>
      <c r="Q3139">
        <v>0.18726370000000001</v>
      </c>
      <c r="R3139">
        <v>0.7188253</v>
      </c>
      <c r="S3139">
        <v>4.0111239999999997</v>
      </c>
      <c r="T3139">
        <v>2.6317119999999999E-2</v>
      </c>
      <c r="U3139">
        <v>0.58709719999999999</v>
      </c>
      <c r="V3139">
        <v>0.45313439999999999</v>
      </c>
      <c r="W3139">
        <v>0.1896707</v>
      </c>
      <c r="X3139">
        <v>0.87103059999999999</v>
      </c>
      <c r="Y3139">
        <v>0.91227839999999905</v>
      </c>
      <c r="Z3139">
        <v>7.39236199999999E-3</v>
      </c>
      <c r="AA3139">
        <v>0.40950409999999998</v>
      </c>
      <c r="AB3139">
        <v>22</v>
      </c>
      <c r="AC3139">
        <v>82.398300000000006</v>
      </c>
      <c r="AD3139">
        <v>0.541574</v>
      </c>
      <c r="AE3139">
        <v>11.672499999999999</v>
      </c>
      <c r="AF3139">
        <v>76.076073621367399</v>
      </c>
      <c r="AG3139">
        <v>0.541574</v>
      </c>
      <c r="AH3139">
        <v>33.727904677922503</v>
      </c>
      <c r="AI3139">
        <v>89.627127793892697</v>
      </c>
      <c r="AJ3139">
        <v>23.909838124664802</v>
      </c>
      <c r="AK3139">
        <v>83.219191500543999</v>
      </c>
    </row>
    <row r="3140" spans="1:37" x14ac:dyDescent="0.2">
      <c r="A3140" t="str">
        <f>"20200111150704994"</f>
        <v>20200111150704994</v>
      </c>
      <c r="B3140" t="str">
        <f>"1578726424989932"</f>
        <v>1578726424989932</v>
      </c>
      <c r="C3140" t="s">
        <v>37</v>
      </c>
      <c r="D3140">
        <v>5.3526290000000003</v>
      </c>
      <c r="E3140">
        <v>0.75084600000000001</v>
      </c>
      <c r="F3140" t="s">
        <v>114</v>
      </c>
      <c r="G3140">
        <v>-111.6104</v>
      </c>
      <c r="H3140">
        <v>1.6361699999999999</v>
      </c>
      <c r="I3140">
        <v>157.56780000000001</v>
      </c>
      <c r="J3140">
        <v>-202.23050000000001</v>
      </c>
      <c r="K3140">
        <v>1.0930059999999999</v>
      </c>
      <c r="L3140">
        <v>148.53280000000001</v>
      </c>
      <c r="M3140">
        <v>0.29095939999999998</v>
      </c>
      <c r="N3140">
        <v>0</v>
      </c>
      <c r="O3140">
        <v>0.95658500000000002</v>
      </c>
      <c r="P3140">
        <v>0.68465410000000004</v>
      </c>
      <c r="Q3140">
        <v>0.1870648</v>
      </c>
      <c r="R3140">
        <v>0.70445409999999997</v>
      </c>
      <c r="S3140">
        <v>4.0330349999999999</v>
      </c>
      <c r="T3140">
        <v>2.4154660000000001E-2</v>
      </c>
      <c r="U3140">
        <v>0.41090389999999999</v>
      </c>
      <c r="V3140">
        <v>0.45536989999999999</v>
      </c>
      <c r="W3140">
        <v>0.1894885</v>
      </c>
      <c r="X3140">
        <v>0.86990369999999995</v>
      </c>
      <c r="Y3140">
        <v>0.92227599999999998</v>
      </c>
      <c r="Z3140">
        <v>6.8537609999999999E-3</v>
      </c>
      <c r="AA3140">
        <v>0.38647120000000001</v>
      </c>
      <c r="AB3140">
        <v>22</v>
      </c>
      <c r="AC3140">
        <v>90.620099999999994</v>
      </c>
      <c r="AD3140">
        <v>0.54316399999999998</v>
      </c>
      <c r="AE3140">
        <v>9.0349999999999895</v>
      </c>
      <c r="AF3140">
        <v>84.066116676241293</v>
      </c>
      <c r="AG3140">
        <v>0.54316399999999998</v>
      </c>
      <c r="AH3140">
        <v>35.013308229986599</v>
      </c>
      <c r="AI3140">
        <v>89.658263409061803</v>
      </c>
      <c r="AJ3140">
        <v>22.6115945714707</v>
      </c>
      <c r="AK3140">
        <v>91.067770113044702</v>
      </c>
    </row>
    <row r="3141" spans="1:37" x14ac:dyDescent="0.2">
      <c r="A3141" t="str">
        <f>"20200111150705017"</f>
        <v>20200111150705017</v>
      </c>
      <c r="B3141" t="str">
        <f>"1578726425010428"</f>
        <v>1578726425010428</v>
      </c>
      <c r="C3141" t="s">
        <v>37</v>
      </c>
      <c r="D3141">
        <v>5.4092779999999996</v>
      </c>
      <c r="E3141">
        <v>0.75088199999999905</v>
      </c>
      <c r="F3141" t="s">
        <v>46</v>
      </c>
      <c r="G3141">
        <v>-147.26140000000001</v>
      </c>
      <c r="H3141">
        <v>-0.05</v>
      </c>
      <c r="I3141">
        <v>160.76339999999999</v>
      </c>
      <c r="J3141">
        <v>-202.14359999999999</v>
      </c>
      <c r="K3141">
        <v>1.093801</v>
      </c>
      <c r="L3141">
        <v>148.74180000000001</v>
      </c>
      <c r="M3141">
        <v>0.30695939999999999</v>
      </c>
      <c r="N3141">
        <v>0</v>
      </c>
      <c r="O3141">
        <v>0.95156249999999998</v>
      </c>
      <c r="P3141">
        <v>0.69726049999999995</v>
      </c>
      <c r="Q3141">
        <v>0.1870356</v>
      </c>
      <c r="R3141">
        <v>0.69198669999999995</v>
      </c>
      <c r="S3141">
        <v>3.5820769999999902</v>
      </c>
      <c r="T3141">
        <v>-7.4484229999999998E-2</v>
      </c>
      <c r="U3141">
        <v>0.79701230000000001</v>
      </c>
      <c r="V3141">
        <v>0.45621840000000002</v>
      </c>
      <c r="W3141">
        <v>0.1905152</v>
      </c>
      <c r="X3141">
        <v>0.86923459999999997</v>
      </c>
      <c r="Y3141">
        <v>0.86205419999999999</v>
      </c>
      <c r="Z3141">
        <v>-2.2878929999999999E-2</v>
      </c>
      <c r="AA3141">
        <v>0.50629950000000001</v>
      </c>
      <c r="AB3141">
        <v>22</v>
      </c>
      <c r="AC3141">
        <v>54.882199999999898</v>
      </c>
      <c r="AD3141">
        <v>-1.1438010000000001</v>
      </c>
      <c r="AE3141">
        <v>12.0215999999999</v>
      </c>
      <c r="AF3141">
        <v>48.520986859868103</v>
      </c>
      <c r="AG3141">
        <v>-1.1438010000000001</v>
      </c>
      <c r="AH3141">
        <v>28.2785014081248</v>
      </c>
      <c r="AI3141">
        <v>91.166769286698894</v>
      </c>
      <c r="AJ3141">
        <v>30.234046823472099</v>
      </c>
      <c r="AK3141">
        <v>56.171773057937301</v>
      </c>
    </row>
    <row r="3142" spans="1:37" x14ac:dyDescent="0.2">
      <c r="A3142" t="str">
        <f>"20200111150705039"</f>
        <v>20200111150705039</v>
      </c>
      <c r="B3142" t="str">
        <f>"1578726425029951"</f>
        <v>1578726425029951</v>
      </c>
      <c r="C3142" t="s">
        <v>37</v>
      </c>
      <c r="D3142">
        <v>5.3359199999999998</v>
      </c>
      <c r="E3142">
        <v>0.75142119999999901</v>
      </c>
      <c r="F3142" t="s">
        <v>38</v>
      </c>
      <c r="G3142">
        <v>-200.50810000000001</v>
      </c>
      <c r="H3142">
        <v>1.0456909999999999</v>
      </c>
      <c r="I3142">
        <v>149.0761</v>
      </c>
      <c r="J3142">
        <v>-202.05599999999899</v>
      </c>
      <c r="K3142">
        <v>1.0953059999999999</v>
      </c>
      <c r="L3142">
        <v>148.9419</v>
      </c>
      <c r="M3142">
        <v>0.32087470000000001</v>
      </c>
      <c r="N3142">
        <v>0</v>
      </c>
      <c r="O3142">
        <v>0.94695409999999902</v>
      </c>
      <c r="P3142">
        <v>0.70789169999999901</v>
      </c>
      <c r="Q3142">
        <v>0.1870426</v>
      </c>
      <c r="R3142">
        <v>0.68110539999999997</v>
      </c>
      <c r="S3142">
        <v>3.6004489999999998</v>
      </c>
      <c r="T3142">
        <v>-0.10591730000000001</v>
      </c>
      <c r="U3142">
        <v>0.73608399999999996</v>
      </c>
      <c r="V3142">
        <v>0.45646599999999998</v>
      </c>
      <c r="W3142">
        <v>0.19195490000000001</v>
      </c>
      <c r="X3142">
        <v>0.8687878</v>
      </c>
      <c r="Y3142">
        <v>0.86310370000000003</v>
      </c>
      <c r="Z3142">
        <v>-3.2592980000000001E-2</v>
      </c>
      <c r="AA3142">
        <v>0.50397380000000003</v>
      </c>
      <c r="AB3142">
        <v>21</v>
      </c>
      <c r="AC3142">
        <v>1.5478999999999701</v>
      </c>
      <c r="AD3142">
        <v>-4.9614999999999902E-2</v>
      </c>
      <c r="AE3142">
        <v>0.13419999999999199</v>
      </c>
      <c r="AF3142">
        <v>1.42150511782191</v>
      </c>
      <c r="AG3142">
        <v>-4.9614999999999902E-2</v>
      </c>
      <c r="AH3142">
        <v>0.62322666344448296</v>
      </c>
      <c r="AI3142">
        <v>91.830886462242105</v>
      </c>
      <c r="AJ3142">
        <v>23.673957647549599</v>
      </c>
      <c r="AK3142">
        <v>1.5529165857337699</v>
      </c>
    </row>
    <row r="3143" spans="1:37" x14ac:dyDescent="0.2">
      <c r="A3143" t="str">
        <f>"20200111150705061"</f>
        <v>20200111150705061</v>
      </c>
      <c r="B3143" t="str">
        <f>"1578726425050444"</f>
        <v>1578726425050444</v>
      </c>
      <c r="C3143" t="s">
        <v>37</v>
      </c>
      <c r="D3143">
        <v>5.3599519999999998</v>
      </c>
      <c r="E3143">
        <v>0.75251639999999997</v>
      </c>
      <c r="F3143" t="s">
        <v>38</v>
      </c>
      <c r="G3143">
        <v>-200.44630000000001</v>
      </c>
      <c r="H3143">
        <v>1.0384910000000001</v>
      </c>
      <c r="I3143">
        <v>149.24449999999999</v>
      </c>
      <c r="J3143">
        <v>-201.97</v>
      </c>
      <c r="K3143">
        <v>1.0971770000000001</v>
      </c>
      <c r="L3143">
        <v>149.1284</v>
      </c>
      <c r="M3143">
        <v>0.3342792</v>
      </c>
      <c r="N3143">
        <v>0</v>
      </c>
      <c r="O3143">
        <v>0.94231109999999896</v>
      </c>
      <c r="P3143">
        <v>0.71878299999999995</v>
      </c>
      <c r="Q3143">
        <v>0.18566479999999999</v>
      </c>
      <c r="R3143">
        <v>0.66998480000000005</v>
      </c>
      <c r="S3143">
        <v>3.6171879999999899</v>
      </c>
      <c r="T3143">
        <v>-0.12767819999999999</v>
      </c>
      <c r="U3143">
        <v>0.68026730000000002</v>
      </c>
      <c r="V3143">
        <v>0.4574066</v>
      </c>
      <c r="W3143">
        <v>0.19167690000000001</v>
      </c>
      <c r="X3143">
        <v>0.86835429999999902</v>
      </c>
      <c r="Y3143">
        <v>0.86365429999999999</v>
      </c>
      <c r="Z3143">
        <v>-3.9338339999999999E-2</v>
      </c>
      <c r="AA3143">
        <v>0.50254730000000003</v>
      </c>
      <c r="AB3143">
        <v>21</v>
      </c>
      <c r="AC3143">
        <v>1.5236999999999901</v>
      </c>
      <c r="AD3143">
        <v>-5.8686000000000002E-2</v>
      </c>
      <c r="AE3143">
        <v>0.116099999999988</v>
      </c>
      <c r="AF3143">
        <v>1.3951465699018699</v>
      </c>
      <c r="AG3143">
        <v>-5.8686000000000002E-2</v>
      </c>
      <c r="AH3143">
        <v>0.61792723198371002</v>
      </c>
      <c r="AI3143">
        <v>92.202554442936602</v>
      </c>
      <c r="AJ3143">
        <v>23.889130149740001</v>
      </c>
      <c r="AK3143">
        <v>1.52699445386419</v>
      </c>
    </row>
    <row r="3144" spans="1:37" x14ac:dyDescent="0.2">
      <c r="A3144" t="str">
        <f>"20200111150705095"</f>
        <v>20200111150705095</v>
      </c>
      <c r="B3144" t="str">
        <f>"1578726425090460"</f>
        <v>1578726425090460</v>
      </c>
      <c r="C3144" t="s">
        <v>37</v>
      </c>
      <c r="D3144">
        <v>5.639723</v>
      </c>
      <c r="E3144">
        <v>0.72758500000000004</v>
      </c>
      <c r="F3144" t="s">
        <v>38</v>
      </c>
      <c r="G3144">
        <v>-200.3647</v>
      </c>
      <c r="H3144">
        <v>1.033633</v>
      </c>
      <c r="I3144">
        <v>149.4007</v>
      </c>
      <c r="J3144">
        <v>-201.82560000000001</v>
      </c>
      <c r="K3144">
        <v>1.1005689999999999</v>
      </c>
      <c r="L3144">
        <v>149.42429999999999</v>
      </c>
      <c r="M3144">
        <v>0.3597149</v>
      </c>
      <c r="N3144">
        <v>0</v>
      </c>
      <c r="O3144">
        <v>0.93293379999999904</v>
      </c>
      <c r="P3144">
        <v>0.73895159999999904</v>
      </c>
      <c r="Q3144">
        <v>0.18051989999999901</v>
      </c>
      <c r="R3144">
        <v>0.64912499999999995</v>
      </c>
      <c r="S3144">
        <v>3.635605</v>
      </c>
      <c r="T3144">
        <v>-0.14392859999999999</v>
      </c>
      <c r="U3144">
        <v>0.6171875</v>
      </c>
      <c r="V3144">
        <v>0.45877810000000002</v>
      </c>
      <c r="W3144">
        <v>0.18719759999999999</v>
      </c>
      <c r="X3144">
        <v>0.86860789999999999</v>
      </c>
      <c r="Y3144">
        <v>0.85868080000000002</v>
      </c>
      <c r="Z3144">
        <v>-4.4368770000000002E-2</v>
      </c>
      <c r="AA3144">
        <v>0.5105866</v>
      </c>
      <c r="AB3144">
        <v>21</v>
      </c>
      <c r="AC3144">
        <v>1.4609000000000001</v>
      </c>
      <c r="AD3144">
        <v>-6.6936000000000107E-2</v>
      </c>
      <c r="AE3144">
        <v>-2.35999999999876E-2</v>
      </c>
      <c r="AF3144">
        <v>1.36870406658237</v>
      </c>
      <c r="AG3144">
        <v>-6.6936000000000107E-2</v>
      </c>
      <c r="AH3144">
        <v>0.50249599339802997</v>
      </c>
      <c r="AI3144">
        <v>92.628517918243702</v>
      </c>
      <c r="AJ3144">
        <v>20.159836206285402</v>
      </c>
      <c r="AK3144">
        <v>1.45956619355074</v>
      </c>
    </row>
    <row r="3145" spans="1:37" x14ac:dyDescent="0.2">
      <c r="A3145" t="str">
        <f>"20200111150705118"</f>
        <v>20200111150705118</v>
      </c>
      <c r="B3145" t="str">
        <f>"1578726425109983"</f>
        <v>1578726425109983</v>
      </c>
      <c r="C3145" t="s">
        <v>37</v>
      </c>
      <c r="D3145">
        <v>5.6121639999999999</v>
      </c>
      <c r="E3145">
        <v>0.72555550000000002</v>
      </c>
      <c r="F3145" t="s">
        <v>78</v>
      </c>
      <c r="G3145">
        <v>-189.9357</v>
      </c>
      <c r="H3145" s="1">
        <v>-1.1580749999999999E-5</v>
      </c>
      <c r="I3145">
        <v>151.69880000000001</v>
      </c>
      <c r="J3145">
        <v>-201.71799999999999</v>
      </c>
      <c r="K3145">
        <v>1.1031709999999999</v>
      </c>
      <c r="L3145">
        <v>149.63149999999999</v>
      </c>
      <c r="M3145">
        <v>0.37954280000000001</v>
      </c>
      <c r="N3145">
        <v>0</v>
      </c>
      <c r="O3145">
        <v>0.92507019999999995</v>
      </c>
      <c r="P3145">
        <v>0.7542934</v>
      </c>
      <c r="Q3145">
        <v>0.179333299999999</v>
      </c>
      <c r="R3145">
        <v>0.63157039999999998</v>
      </c>
      <c r="S3145">
        <v>3.54435699999999</v>
      </c>
      <c r="T3145">
        <v>-0.3280825</v>
      </c>
      <c r="U3145">
        <v>0.67802430000000002</v>
      </c>
      <c r="V3145">
        <v>0.46025309999999903</v>
      </c>
      <c r="W3145">
        <v>0.18618009999999999</v>
      </c>
      <c r="X3145">
        <v>0.86804609999999904</v>
      </c>
      <c r="Y3145">
        <v>0.83205969999999996</v>
      </c>
      <c r="Z3145">
        <v>-0.1023241</v>
      </c>
      <c r="AA3145">
        <v>0.54516640000000005</v>
      </c>
      <c r="AB3145">
        <v>21</v>
      </c>
      <c r="AC3145">
        <v>11.7822999999999</v>
      </c>
      <c r="AD3145">
        <v>-1.10318258075</v>
      </c>
      <c r="AE3145">
        <v>2.0673000000000101</v>
      </c>
      <c r="AF3145">
        <v>10.030491157246701</v>
      </c>
      <c r="AG3145">
        <v>-1.10318258075</v>
      </c>
      <c r="AH3145">
        <v>6.3310543501014296</v>
      </c>
      <c r="AI3145">
        <v>95.313567664666806</v>
      </c>
      <c r="AJ3145">
        <v>32.259337820022701</v>
      </c>
      <c r="AK3145">
        <v>11.912598954301</v>
      </c>
    </row>
    <row r="3146" spans="1:37" x14ac:dyDescent="0.2">
      <c r="A3146" t="str">
        <f>"20200111150705138"</f>
        <v>20200111150705138</v>
      </c>
      <c r="B3146" t="str">
        <f>"1578726425130009"</f>
        <v>1578726425130009</v>
      </c>
      <c r="C3146" t="s">
        <v>37</v>
      </c>
      <c r="D3146">
        <v>5.3150620000000002</v>
      </c>
      <c r="E3146">
        <v>0.72501780000000005</v>
      </c>
      <c r="F3146" t="s">
        <v>78</v>
      </c>
      <c r="G3146">
        <v>-190.0317</v>
      </c>
      <c r="H3146" s="1">
        <v>-1.156877E-5</v>
      </c>
      <c r="I3146">
        <v>151.63990000000001</v>
      </c>
      <c r="J3146">
        <v>-201.61770000000001</v>
      </c>
      <c r="K3146">
        <v>1.105515</v>
      </c>
      <c r="L3146">
        <v>149.81630000000001</v>
      </c>
      <c r="M3146">
        <v>0.39730579999999999</v>
      </c>
      <c r="N3146">
        <v>0</v>
      </c>
      <c r="O3146">
        <v>0.91759930000000001</v>
      </c>
      <c r="P3146">
        <v>0.76773539999999996</v>
      </c>
      <c r="Q3146">
        <v>0.17961820000000001</v>
      </c>
      <c r="R3146">
        <v>0.61507699999999998</v>
      </c>
      <c r="S3146">
        <v>3.546494</v>
      </c>
      <c r="T3146">
        <v>-0.334789</v>
      </c>
      <c r="U3146">
        <v>0.60949709999999901</v>
      </c>
      <c r="V3146">
        <v>0.46176980000000001</v>
      </c>
      <c r="W3146">
        <v>0.18660370000000001</v>
      </c>
      <c r="X3146">
        <v>0.86714919999999995</v>
      </c>
      <c r="Y3146">
        <v>0.83148899999999903</v>
      </c>
      <c r="Z3146">
        <v>-0.1048712</v>
      </c>
      <c r="AA3146">
        <v>0.54555299999999995</v>
      </c>
      <c r="AB3146">
        <v>21</v>
      </c>
      <c r="AC3146">
        <v>11.586</v>
      </c>
      <c r="AD3146">
        <v>-1.10552656877</v>
      </c>
      <c r="AE3146">
        <v>1.8235999999999899</v>
      </c>
      <c r="AF3146">
        <v>9.8203187204976992</v>
      </c>
      <c r="AG3146">
        <v>-1.10552656877</v>
      </c>
      <c r="AH3146">
        <v>6.22174171112046</v>
      </c>
      <c r="AI3146">
        <v>95.432275466487894</v>
      </c>
      <c r="AJ3146">
        <v>32.356630812594403</v>
      </c>
      <c r="AK3146">
        <v>11.6777959686881</v>
      </c>
    </row>
    <row r="3147" spans="1:37" x14ac:dyDescent="0.2">
      <c r="A3147" t="str">
        <f>"20200111150705161"</f>
        <v>20200111150705161</v>
      </c>
      <c r="B3147" t="str">
        <f>"1578726425150505"</f>
        <v>1578726425150505</v>
      </c>
      <c r="C3147" t="s">
        <v>37</v>
      </c>
      <c r="D3147">
        <v>5.3060049999999999</v>
      </c>
      <c r="E3147">
        <v>0.73386619999999902</v>
      </c>
      <c r="F3147" t="s">
        <v>78</v>
      </c>
      <c r="G3147">
        <v>-190.26519999999999</v>
      </c>
      <c r="H3147" s="1">
        <v>-1.156771E-5</v>
      </c>
      <c r="I3147">
        <v>151.54089999999999</v>
      </c>
      <c r="J3147">
        <v>-201.511</v>
      </c>
      <c r="K3147">
        <v>1.107685</v>
      </c>
      <c r="L3147">
        <v>150.00450000000001</v>
      </c>
      <c r="M3147">
        <v>0.41515039999999997</v>
      </c>
      <c r="N3147">
        <v>0</v>
      </c>
      <c r="O3147">
        <v>0.90968189999999904</v>
      </c>
      <c r="P3147">
        <v>0.7808524</v>
      </c>
      <c r="Q3147">
        <v>0.18012990000000001</v>
      </c>
      <c r="R3147">
        <v>0.59818289999999996</v>
      </c>
      <c r="S3147">
        <v>3.5558169999999998</v>
      </c>
      <c r="T3147">
        <v>-0.34627209999999897</v>
      </c>
      <c r="U3147">
        <v>0.5401764</v>
      </c>
      <c r="V3147">
        <v>0.46326030000000001</v>
      </c>
      <c r="W3147">
        <v>0.18693899999999999</v>
      </c>
      <c r="X3147">
        <v>0.86628159999999899</v>
      </c>
      <c r="Y3147">
        <v>0.83096719999999902</v>
      </c>
      <c r="Z3147">
        <v>-0.1086476</v>
      </c>
      <c r="AA3147">
        <v>0.54560889999999995</v>
      </c>
      <c r="AB3147">
        <v>21</v>
      </c>
      <c r="AC3147">
        <v>11.245799999999999</v>
      </c>
      <c r="AD3147">
        <v>-1.1076965677099999</v>
      </c>
      <c r="AE3147">
        <v>1.53639999999998</v>
      </c>
      <c r="AF3147">
        <v>9.5023795552544001</v>
      </c>
      <c r="AG3147">
        <v>-1.1076965677099999</v>
      </c>
      <c r="AH3147">
        <v>6.0094892025319897</v>
      </c>
      <c r="AI3147">
        <v>95.626714165960806</v>
      </c>
      <c r="AJ3147">
        <v>32.310054600061001</v>
      </c>
      <c r="AK3147">
        <v>11.297617862787799</v>
      </c>
    </row>
    <row r="3148" spans="1:37" x14ac:dyDescent="0.2">
      <c r="A3148" t="str">
        <f>"20200111150705183"</f>
        <v>20200111150705183</v>
      </c>
      <c r="B3148" t="str">
        <f>"1578726425180761"</f>
        <v>1578726425180761</v>
      </c>
      <c r="C3148" t="s">
        <v>37</v>
      </c>
      <c r="D3148">
        <v>5.1263639999999997</v>
      </c>
      <c r="E3148">
        <v>0.8379238</v>
      </c>
      <c r="F3148" t="s">
        <v>38</v>
      </c>
      <c r="G3148">
        <v>-199.95349999999999</v>
      </c>
      <c r="H3148">
        <v>0.99734249999999902</v>
      </c>
      <c r="I3148">
        <v>150.17779999999999</v>
      </c>
      <c r="J3148">
        <v>-201.3999</v>
      </c>
      <c r="K3148">
        <v>1.10955</v>
      </c>
      <c r="L3148">
        <v>150.19210000000001</v>
      </c>
      <c r="M3148">
        <v>0.43271890000000002</v>
      </c>
      <c r="N3148">
        <v>0</v>
      </c>
      <c r="O3148">
        <v>0.90147440000000001</v>
      </c>
      <c r="P3148">
        <v>0.79288919999999996</v>
      </c>
      <c r="Q3148">
        <v>0.1808739</v>
      </c>
      <c r="R3148">
        <v>0.58190319999999995</v>
      </c>
      <c r="S3148">
        <v>3.5942379999999998</v>
      </c>
      <c r="T3148">
        <v>-0.25465120000000002</v>
      </c>
      <c r="U3148">
        <v>0.40005489999999999</v>
      </c>
      <c r="V3148">
        <v>0.46394950000000001</v>
      </c>
      <c r="W3148">
        <v>0.18710769999999999</v>
      </c>
      <c r="X3148">
        <v>0.86587619999999899</v>
      </c>
      <c r="Y3148">
        <v>0.8447614</v>
      </c>
      <c r="Z3148">
        <v>-8.0147800000000005E-2</v>
      </c>
      <c r="AA3148">
        <v>0.52910729999999995</v>
      </c>
      <c r="AB3148">
        <v>21</v>
      </c>
      <c r="AC3148">
        <v>1.4464000000000099</v>
      </c>
      <c r="AD3148">
        <v>-0.1122075</v>
      </c>
      <c r="AE3148">
        <v>-1.4300000000019899E-2</v>
      </c>
      <c r="AF3148">
        <v>1.3023080311069799</v>
      </c>
      <c r="AG3148">
        <v>-0.1122075</v>
      </c>
      <c r="AH3148">
        <v>0.60935677622994</v>
      </c>
      <c r="AI3148">
        <v>94.462324308259596</v>
      </c>
      <c r="AJ3148">
        <v>25.075140891175099</v>
      </c>
      <c r="AK3148">
        <v>1.4421901440792499</v>
      </c>
    </row>
    <row r="3149" spans="1:37" x14ac:dyDescent="0.2">
      <c r="A3149" t="str">
        <f>"20200111150705207"</f>
        <v>20200111150705207</v>
      </c>
      <c r="B3149" t="str">
        <f>"1578726425200280"</f>
        <v>1578726425200280</v>
      </c>
      <c r="C3149" t="s">
        <v>37</v>
      </c>
      <c r="D3149">
        <v>5.092587</v>
      </c>
      <c r="E3149">
        <v>0.83155440000000003</v>
      </c>
      <c r="F3149" t="s">
        <v>39</v>
      </c>
      <c r="G3149">
        <v>-129.2628</v>
      </c>
      <c r="H3149" s="1">
        <v>-1.404467E-6</v>
      </c>
      <c r="I3149">
        <v>143.77260000000001</v>
      </c>
      <c r="J3149">
        <v>-201.27869999999999</v>
      </c>
      <c r="K3149">
        <v>1.111297</v>
      </c>
      <c r="L3149">
        <v>150.38839999999999</v>
      </c>
      <c r="M3149">
        <v>0.45098630000000001</v>
      </c>
      <c r="N3149">
        <v>0</v>
      </c>
      <c r="O3149">
        <v>0.89249210000000001</v>
      </c>
      <c r="P3149">
        <v>0.80531339999999996</v>
      </c>
      <c r="Q3149">
        <v>0.1817068</v>
      </c>
      <c r="R3149">
        <v>0.5643165</v>
      </c>
      <c r="S3149">
        <v>4.0632779999999897</v>
      </c>
      <c r="T3149">
        <v>-6.2497850000000001E-2</v>
      </c>
      <c r="U3149">
        <v>-0.36158750000000001</v>
      </c>
      <c r="V3149">
        <v>0.4649817</v>
      </c>
      <c r="W3149">
        <v>0.18711889999999901</v>
      </c>
      <c r="X3149">
        <v>0.86531990000000003</v>
      </c>
      <c r="Y3149">
        <v>0.92880819999999997</v>
      </c>
      <c r="Z3149">
        <v>-1.835639E-2</v>
      </c>
      <c r="AA3149">
        <v>0.37010599999999999</v>
      </c>
      <c r="AB3149">
        <v>21</v>
      </c>
      <c r="AC3149">
        <v>72.015899999999903</v>
      </c>
      <c r="AD3149">
        <v>-1.111298404467</v>
      </c>
      <c r="AE3149">
        <v>-6.6157999999999699</v>
      </c>
      <c r="AF3149">
        <v>67.243706110786604</v>
      </c>
      <c r="AG3149">
        <v>-1.111298404467</v>
      </c>
      <c r="AH3149">
        <v>26.5682810364356</v>
      </c>
      <c r="AI3149">
        <v>90.880579124519201</v>
      </c>
      <c r="AJ3149">
        <v>21.5591917874739</v>
      </c>
      <c r="AK3149">
        <v>72.310611620208505</v>
      </c>
    </row>
    <row r="3150" spans="1:37" x14ac:dyDescent="0.2">
      <c r="A3150" t="str">
        <f>"20200111150705228"</f>
        <v>20200111150705228</v>
      </c>
      <c r="B3150" t="str">
        <f>"1578726425219800"</f>
        <v>1578726425219800</v>
      </c>
      <c r="C3150" t="s">
        <v>37</v>
      </c>
      <c r="D3150">
        <v>5.1151089999999897</v>
      </c>
      <c r="E3150">
        <v>0.82605010000000001</v>
      </c>
      <c r="F3150" t="s">
        <v>39</v>
      </c>
      <c r="G3150">
        <v>-114.65049999999999</v>
      </c>
      <c r="H3150" s="1">
        <v>-2.80897699999999E-6</v>
      </c>
      <c r="I3150">
        <v>141.6147</v>
      </c>
      <c r="J3150">
        <v>-201.16099999999901</v>
      </c>
      <c r="K3150">
        <v>1.1128389999999999</v>
      </c>
      <c r="L3150">
        <v>150.5712</v>
      </c>
      <c r="M3150">
        <v>0.46793899999999999</v>
      </c>
      <c r="N3150">
        <v>0</v>
      </c>
      <c r="O3150">
        <v>0.88373349999999995</v>
      </c>
      <c r="P3150">
        <v>0.81633909999999998</v>
      </c>
      <c r="Q3150">
        <v>0.1822387</v>
      </c>
      <c r="R3150">
        <v>0.54806889999999997</v>
      </c>
      <c r="S3150">
        <v>4.0223389999999997</v>
      </c>
      <c r="T3150">
        <v>-5.1600099999999899E-2</v>
      </c>
      <c r="U3150">
        <v>-0.4073792</v>
      </c>
      <c r="V3150">
        <v>0.46551189999999998</v>
      </c>
      <c r="W3150">
        <v>0.18691050000000001</v>
      </c>
      <c r="X3150">
        <v>0.86507979999999995</v>
      </c>
      <c r="Y3150">
        <v>0.92628500000000003</v>
      </c>
      <c r="Z3150">
        <v>-1.52974999999999E-2</v>
      </c>
      <c r="AA3150">
        <v>0.3765133</v>
      </c>
      <c r="AB3150">
        <v>21</v>
      </c>
      <c r="AC3150">
        <v>86.510499999999894</v>
      </c>
      <c r="AD3150">
        <v>-1.11284180897699</v>
      </c>
      <c r="AE3150">
        <v>-8.9565000000000001</v>
      </c>
      <c r="AF3150">
        <v>80.632064910536798</v>
      </c>
      <c r="AG3150">
        <v>-1.11284180897699</v>
      </c>
      <c r="AH3150">
        <v>32.561931532136398</v>
      </c>
      <c r="AI3150">
        <v>90.733195008048497</v>
      </c>
      <c r="AJ3150">
        <v>21.990508121645501</v>
      </c>
      <c r="AK3150">
        <v>86.965784615171302</v>
      </c>
    </row>
    <row r="3151" spans="1:37" x14ac:dyDescent="0.2">
      <c r="A3151" t="str">
        <f>"20200111150705295"</f>
        <v>20200111150705295</v>
      </c>
      <c r="B3151" t="str">
        <f>"1578726425290073"</f>
        <v>1578726425290073</v>
      </c>
      <c r="C3151" t="s">
        <v>37</v>
      </c>
      <c r="D3151">
        <v>6.9182079999999999</v>
      </c>
      <c r="E3151">
        <v>0.82256739999999995</v>
      </c>
      <c r="F3151" t="s">
        <v>39</v>
      </c>
      <c r="G3151">
        <v>-122.15649999999999</v>
      </c>
      <c r="H3151" s="1">
        <v>-3.8941669999999996E-6</v>
      </c>
      <c r="I3151">
        <v>141.6721</v>
      </c>
      <c r="J3151">
        <v>-200.7885</v>
      </c>
      <c r="K3151">
        <v>1.1180030000000001</v>
      </c>
      <c r="L3151">
        <v>151.10640000000001</v>
      </c>
      <c r="M3151">
        <v>0.51629389999999997</v>
      </c>
      <c r="N3151">
        <v>0</v>
      </c>
      <c r="O3151">
        <v>0.8563982</v>
      </c>
      <c r="P3151">
        <v>0.84529019999999999</v>
      </c>
      <c r="Q3151">
        <v>0.1826266</v>
      </c>
      <c r="R3151">
        <v>0.50212760000000001</v>
      </c>
      <c r="S3151">
        <v>3.989166</v>
      </c>
      <c r="T3151">
        <v>-5.6190610000000002E-2</v>
      </c>
      <c r="U3151">
        <v>-0.44934079999999899</v>
      </c>
      <c r="V3151">
        <v>0.46447640000000001</v>
      </c>
      <c r="W3151">
        <v>0.1872337</v>
      </c>
      <c r="X3151">
        <v>0.86556639999999996</v>
      </c>
      <c r="Y3151">
        <v>0.90866669999999905</v>
      </c>
      <c r="Z3151">
        <v>-1.661982E-2</v>
      </c>
      <c r="AA3151">
        <v>0.41719139999999999</v>
      </c>
      <c r="AB3151">
        <v>21</v>
      </c>
      <c r="AC3151">
        <v>78.632000000000005</v>
      </c>
      <c r="AD3151">
        <v>-1.1180068941670001</v>
      </c>
      <c r="AE3151">
        <v>-9.4343000000000004</v>
      </c>
      <c r="AF3151">
        <v>72.197607383183495</v>
      </c>
      <c r="AG3151">
        <v>-1.1180068941670001</v>
      </c>
      <c r="AH3151">
        <v>32.511594807106299</v>
      </c>
      <c r="AI3151">
        <v>90.808950336925193</v>
      </c>
      <c r="AJ3151">
        <v>24.2427057336606</v>
      </c>
      <c r="AK3151">
        <v>79.188056221713097</v>
      </c>
    </row>
    <row r="3152" spans="1:37" x14ac:dyDescent="0.2">
      <c r="A3152" t="str">
        <f>"20200111150705318"</f>
        <v>20200111150705318</v>
      </c>
      <c r="B3152" t="str">
        <f>"1578726425310569"</f>
        <v>1578726425310569</v>
      </c>
      <c r="C3152" t="s">
        <v>37</v>
      </c>
      <c r="D3152">
        <v>5.3775930000000001</v>
      </c>
      <c r="E3152">
        <v>0.74998089999999995</v>
      </c>
      <c r="F3152" t="s">
        <v>39</v>
      </c>
      <c r="G3152">
        <v>-101.4575</v>
      </c>
      <c r="H3152" s="1">
        <v>-4.8681419999999999E-6</v>
      </c>
      <c r="I3152">
        <v>134.82689999999999</v>
      </c>
      <c r="J3152">
        <v>-200.65360000000001</v>
      </c>
      <c r="K3152">
        <v>1.1210739999999999</v>
      </c>
      <c r="L3152">
        <v>151.2842</v>
      </c>
      <c r="M3152">
        <v>0.53179149999999997</v>
      </c>
      <c r="N3152">
        <v>0</v>
      </c>
      <c r="O3152">
        <v>0.84686030000000001</v>
      </c>
      <c r="P3152">
        <v>0.85521999999999998</v>
      </c>
      <c r="Q3152">
        <v>0.1808352</v>
      </c>
      <c r="R3152">
        <v>0.48569299999999999</v>
      </c>
      <c r="S3152">
        <v>3.9424589999999902</v>
      </c>
      <c r="T3152">
        <v>-4.4373870000000003E-2</v>
      </c>
      <c r="U3152">
        <v>-0.64613339999999997</v>
      </c>
      <c r="V3152">
        <v>0.46520919999999999</v>
      </c>
      <c r="W3152">
        <v>0.18709970000000001</v>
      </c>
      <c r="X3152">
        <v>0.86520180000000002</v>
      </c>
      <c r="Y3152">
        <v>0.92163419999999896</v>
      </c>
      <c r="Z3152">
        <v>-1.3328380000000001E-2</v>
      </c>
      <c r="AA3152">
        <v>0.38783079999999998</v>
      </c>
      <c r="AB3152">
        <v>21</v>
      </c>
      <c r="AC3152">
        <v>99.196100000000001</v>
      </c>
      <c r="AD3152">
        <v>-1.1210788681420001</v>
      </c>
      <c r="AE3152">
        <v>-16.4573</v>
      </c>
      <c r="AF3152">
        <v>92.746741876941002</v>
      </c>
      <c r="AG3152">
        <v>-1.1210788681420001</v>
      </c>
      <c r="AH3152">
        <v>38.810278054475901</v>
      </c>
      <c r="AI3152">
        <v>90.638857469715106</v>
      </c>
      <c r="AJ3152">
        <v>22.707084599983201</v>
      </c>
      <c r="AK3152">
        <v>100.5457738012</v>
      </c>
    </row>
    <row r="3153" spans="1:37" x14ac:dyDescent="0.2">
      <c r="A3153" t="str">
        <f>"20200111150705339"</f>
        <v>20200111150705339</v>
      </c>
      <c r="B3153" t="str">
        <f>"1578726425330088"</f>
        <v>1578726425330088</v>
      </c>
      <c r="C3153" t="s">
        <v>37</v>
      </c>
      <c r="D3153">
        <v>5.4460829999999998</v>
      </c>
      <c r="E3153">
        <v>0.74998089999999995</v>
      </c>
      <c r="F3153" t="s">
        <v>53</v>
      </c>
      <c r="G3153">
        <v>0</v>
      </c>
      <c r="H3153">
        <v>0</v>
      </c>
      <c r="I3153">
        <v>0</v>
      </c>
      <c r="J3153">
        <v>-200.52099999999999</v>
      </c>
      <c r="K3153">
        <v>1.1243650000000001</v>
      </c>
      <c r="L3153">
        <v>151.45259999999999</v>
      </c>
      <c r="M3153">
        <v>0.54705389999999998</v>
      </c>
      <c r="N3153">
        <v>0</v>
      </c>
      <c r="O3153">
        <v>0.83708150000000003</v>
      </c>
      <c r="P3153">
        <v>0.86449920000000002</v>
      </c>
      <c r="Q3153">
        <v>0.17757729999999999</v>
      </c>
      <c r="R3153">
        <v>0.470221</v>
      </c>
      <c r="S3153">
        <v>3.4606779999999899</v>
      </c>
      <c r="T3153">
        <v>1.1187009999999999</v>
      </c>
      <c r="U3153">
        <v>-0.33341979999999999</v>
      </c>
      <c r="V3153">
        <v>0.46501870000000001</v>
      </c>
      <c r="W3153">
        <v>0.18560989999999999</v>
      </c>
      <c r="X3153">
        <v>0.86562499999999998</v>
      </c>
      <c r="Y3153">
        <v>0.81332930000000003</v>
      </c>
      <c r="Z3153">
        <v>0.35438409999999998</v>
      </c>
      <c r="AA3153">
        <v>0.46141890000000002</v>
      </c>
      <c r="AB3153">
        <v>21</v>
      </c>
      <c r="AC3153">
        <v>3.4606779999999899</v>
      </c>
      <c r="AD3153">
        <v>1.1187009999999999</v>
      </c>
      <c r="AE3153">
        <v>-0.33341979999999999</v>
      </c>
      <c r="AF3153">
        <v>2.7904010589094699</v>
      </c>
      <c r="AG3153">
        <v>1.1187009999999999</v>
      </c>
      <c r="AH3153">
        <v>1.46266071924957</v>
      </c>
      <c r="AI3153">
        <v>70.450778967932706</v>
      </c>
      <c r="AJ3153">
        <v>27.662440800276102</v>
      </c>
      <c r="AK3153">
        <v>3.3432329228756701</v>
      </c>
    </row>
    <row r="3154" spans="1:37" x14ac:dyDescent="0.2">
      <c r="A3154" t="str">
        <f>"20200111150705362"</f>
        <v>20200111150705362</v>
      </c>
      <c r="B3154" t="str">
        <f>"1578726425350584"</f>
        <v>1578726425350584</v>
      </c>
      <c r="C3154" t="s">
        <v>37</v>
      </c>
      <c r="D3154">
        <v>5.6755089999999999</v>
      </c>
      <c r="E3154">
        <v>0.70931169999999899</v>
      </c>
      <c r="F3154" t="s">
        <v>53</v>
      </c>
      <c r="G3154">
        <v>0</v>
      </c>
      <c r="H3154">
        <v>0</v>
      </c>
      <c r="I3154">
        <v>0</v>
      </c>
      <c r="J3154">
        <v>-200.38059999999999</v>
      </c>
      <c r="K3154">
        <v>1.127921</v>
      </c>
      <c r="L3154">
        <v>151.6251</v>
      </c>
      <c r="M3154">
        <v>0.56343310000000002</v>
      </c>
      <c r="N3154">
        <v>0</v>
      </c>
      <c r="O3154">
        <v>0.82614480000000001</v>
      </c>
      <c r="P3154">
        <v>0.87334259999999997</v>
      </c>
      <c r="Q3154">
        <v>0.17357259999999999</v>
      </c>
      <c r="R3154">
        <v>0.45513219999999999</v>
      </c>
      <c r="S3154">
        <v>3.458847</v>
      </c>
      <c r="T3154">
        <v>1.1040129999999999</v>
      </c>
      <c r="U3154">
        <v>-0.39601140000000001</v>
      </c>
      <c r="V3154">
        <v>0.46299669999999998</v>
      </c>
      <c r="W3154">
        <v>0.1834916</v>
      </c>
      <c r="X3154">
        <v>0.86715909999999996</v>
      </c>
      <c r="Y3154">
        <v>0.81403519999999996</v>
      </c>
      <c r="Z3154">
        <v>0.34921579999999902</v>
      </c>
      <c r="AA3154">
        <v>0.46410679999999999</v>
      </c>
      <c r="AB3154">
        <v>21</v>
      </c>
      <c r="AC3154">
        <v>3.458847</v>
      </c>
      <c r="AD3154">
        <v>1.1040129999999999</v>
      </c>
      <c r="AE3154">
        <v>-0.39601140000000001</v>
      </c>
      <c r="AF3154">
        <v>2.7991881419344198</v>
      </c>
      <c r="AG3154">
        <v>1.1040129999999999</v>
      </c>
      <c r="AH3154">
        <v>1.47351097781434</v>
      </c>
      <c r="AI3154">
        <v>70.760866488355902</v>
      </c>
      <c r="AJ3154">
        <v>27.762612702495201</v>
      </c>
      <c r="AK3154">
        <v>3.35045273953456</v>
      </c>
    </row>
    <row r="3155" spans="1:37" x14ac:dyDescent="0.2">
      <c r="A3155" t="str">
        <f>"20200111150705384"</f>
        <v>20200111150705384</v>
      </c>
      <c r="B3155" t="str">
        <f>"1578726425379864"</f>
        <v>1578726425379864</v>
      </c>
      <c r="C3155" t="s">
        <v>37</v>
      </c>
      <c r="D3155">
        <v>5.2715730000000001</v>
      </c>
      <c r="E3155">
        <v>0.70957769999999898</v>
      </c>
      <c r="F3155" t="s">
        <v>38</v>
      </c>
      <c r="G3155">
        <v>-198.86179999999999</v>
      </c>
      <c r="H3155">
        <v>1.074133</v>
      </c>
      <c r="I3155">
        <v>151.601</v>
      </c>
      <c r="J3155">
        <v>-200.2381</v>
      </c>
      <c r="K3155">
        <v>1.1312530000000001</v>
      </c>
      <c r="L3155">
        <v>151.79490000000001</v>
      </c>
      <c r="M3155">
        <v>0.58020389999999999</v>
      </c>
      <c r="N3155">
        <v>0</v>
      </c>
      <c r="O3155">
        <v>0.81445310000000004</v>
      </c>
      <c r="P3155">
        <v>0.881604099999999</v>
      </c>
      <c r="Q3155">
        <v>0.17171029999999901</v>
      </c>
      <c r="R3155">
        <v>0.43964740000000002</v>
      </c>
      <c r="S3155">
        <v>3.4883579999999998</v>
      </c>
      <c r="T3155">
        <v>-0.12353989999999999</v>
      </c>
      <c r="U3155">
        <v>-5.5145260000000001E-2</v>
      </c>
      <c r="V3155">
        <v>0.4602869</v>
      </c>
      <c r="W3155">
        <v>0.18327179999999901</v>
      </c>
      <c r="X3155">
        <v>0.8686469</v>
      </c>
      <c r="Y3155">
        <v>0.82264099999999996</v>
      </c>
      <c r="Z3155">
        <v>-3.9607370000000003E-2</v>
      </c>
      <c r="AA3155">
        <v>0.56717989999999996</v>
      </c>
      <c r="AB3155">
        <v>21</v>
      </c>
      <c r="AC3155">
        <v>1.3763000000000101</v>
      </c>
      <c r="AD3155">
        <v>-5.7119999999999997E-2</v>
      </c>
      <c r="AE3155">
        <v>-0.19390000000001301</v>
      </c>
      <c r="AF3155">
        <v>1.2313718676027099</v>
      </c>
      <c r="AG3155">
        <v>-5.7119999999999997E-2</v>
      </c>
      <c r="AH3155">
        <v>0.639541499218517</v>
      </c>
      <c r="AI3155">
        <v>92.357314931767405</v>
      </c>
      <c r="AJ3155">
        <v>27.446153568357001</v>
      </c>
      <c r="AK3155">
        <v>1.3887234065666401</v>
      </c>
    </row>
    <row r="3156" spans="1:37" x14ac:dyDescent="0.2">
      <c r="A3156" t="str">
        <f>"20200111150705408"</f>
        <v>20200111150705408</v>
      </c>
      <c r="B3156" t="str">
        <f>"1578726425400360"</f>
        <v>1578726425400360</v>
      </c>
      <c r="C3156" t="s">
        <v>37</v>
      </c>
      <c r="D3156">
        <v>5.3708269999999896</v>
      </c>
      <c r="E3156">
        <v>0.71690520000000002</v>
      </c>
      <c r="F3156" t="s">
        <v>39</v>
      </c>
      <c r="G3156">
        <v>-156.6028</v>
      </c>
      <c r="H3156">
        <v>7.9985890000000004E-2</v>
      </c>
      <c r="I3156">
        <v>150.2621</v>
      </c>
      <c r="J3156">
        <v>-200.08070000000001</v>
      </c>
      <c r="K3156">
        <v>1.1343049999999999</v>
      </c>
      <c r="L3156">
        <v>151.97630000000001</v>
      </c>
      <c r="M3156">
        <v>0.598499</v>
      </c>
      <c r="N3156">
        <v>0</v>
      </c>
      <c r="O3156">
        <v>0.80110289999999995</v>
      </c>
      <c r="P3156">
        <v>0.89107789999999998</v>
      </c>
      <c r="Q3156">
        <v>0.17071320000000001</v>
      </c>
      <c r="R3156">
        <v>0.42052020000000001</v>
      </c>
      <c r="S3156">
        <v>3.4802089999999901</v>
      </c>
      <c r="T3156">
        <v>-8.3845619999999996E-2</v>
      </c>
      <c r="U3156">
        <v>-0.122253399999999</v>
      </c>
      <c r="V3156">
        <v>0.45909149999999999</v>
      </c>
      <c r="W3156">
        <v>0.18362149999999999</v>
      </c>
      <c r="X3156">
        <v>0.86920549999999996</v>
      </c>
      <c r="Y3156">
        <v>0.82121880000000003</v>
      </c>
      <c r="Z3156">
        <v>-2.682093E-2</v>
      </c>
      <c r="AA3156">
        <v>0.56998260000000001</v>
      </c>
      <c r="AB3156">
        <v>21</v>
      </c>
      <c r="AC3156">
        <v>43.477899999999998</v>
      </c>
      <c r="AD3156">
        <v>-1.05431910999999</v>
      </c>
      <c r="AE3156">
        <v>-1.7141999999999999</v>
      </c>
      <c r="AF3156">
        <v>35.835771859603</v>
      </c>
      <c r="AG3156">
        <v>-1.05431910999999</v>
      </c>
      <c r="AH3156">
        <v>24.634173501594098</v>
      </c>
      <c r="AI3156">
        <v>91.388860734349706</v>
      </c>
      <c r="AJ3156">
        <v>34.505353040126401</v>
      </c>
      <c r="AK3156">
        <v>43.498926856485397</v>
      </c>
    </row>
    <row r="3157" spans="1:37" x14ac:dyDescent="0.2">
      <c r="A3157" t="str">
        <f>"20200111150705429"</f>
        <v>20200111150705429</v>
      </c>
      <c r="B3157" t="str">
        <f>"1578726425420581"</f>
        <v>1578726425420581</v>
      </c>
      <c r="C3157" t="s">
        <v>37</v>
      </c>
      <c r="D3157">
        <v>5.3861730000000003</v>
      </c>
      <c r="E3157">
        <v>0.72172029999999998</v>
      </c>
      <c r="F3157" t="s">
        <v>38</v>
      </c>
      <c r="G3157">
        <v>-198.5736</v>
      </c>
      <c r="H3157">
        <v>1.0781479999999899</v>
      </c>
      <c r="I3157">
        <v>151.87100000000001</v>
      </c>
      <c r="J3157">
        <v>-199.9348</v>
      </c>
      <c r="K3157">
        <v>1.1364559999999999</v>
      </c>
      <c r="L3157">
        <v>152.1387</v>
      </c>
      <c r="M3157">
        <v>0.614579599999999</v>
      </c>
      <c r="N3157">
        <v>0</v>
      </c>
      <c r="O3157">
        <v>0.7888288</v>
      </c>
      <c r="P3157">
        <v>0.89919199999999999</v>
      </c>
      <c r="Q3157">
        <v>0.17017370000000001</v>
      </c>
      <c r="R3157">
        <v>0.40310649999999998</v>
      </c>
      <c r="S3157">
        <v>3.5074160000000001</v>
      </c>
      <c r="T3157">
        <v>-0.13068250000000001</v>
      </c>
      <c r="U3157">
        <v>-0.24508669999999999</v>
      </c>
      <c r="V3157">
        <v>0.45833259999999998</v>
      </c>
      <c r="W3157">
        <v>0.18404609999999999</v>
      </c>
      <c r="X3157">
        <v>0.86951610000000001</v>
      </c>
      <c r="Y3157">
        <v>0.82876550000000004</v>
      </c>
      <c r="Z3157">
        <v>-4.1451160000000001E-2</v>
      </c>
      <c r="AA3157">
        <v>0.55805869999999902</v>
      </c>
      <c r="AB3157">
        <v>22</v>
      </c>
      <c r="AC3157">
        <v>1.36119999999999</v>
      </c>
      <c r="AD3157">
        <v>-5.8307999999999999E-2</v>
      </c>
      <c r="AE3157">
        <v>-0.26769999999999</v>
      </c>
      <c r="AF3157">
        <v>1.2361184364464699</v>
      </c>
      <c r="AG3157">
        <v>-5.8307999999999999E-2</v>
      </c>
      <c r="AH3157">
        <v>0.62430623184505096</v>
      </c>
      <c r="AI3157">
        <v>92.411008100245994</v>
      </c>
      <c r="AJ3157">
        <v>26.7962286938549</v>
      </c>
      <c r="AK3157">
        <v>1.3860544299945201</v>
      </c>
    </row>
    <row r="3158" spans="1:37" x14ac:dyDescent="0.2">
      <c r="A3158" t="str">
        <f>"20200111150705451"</f>
        <v>20200111150705451</v>
      </c>
      <c r="B3158" t="str">
        <f>"1578726425440101"</f>
        <v>1578726425440101</v>
      </c>
      <c r="C3158" t="s">
        <v>37</v>
      </c>
      <c r="D3158">
        <v>5.4490470000000002</v>
      </c>
      <c r="E3158">
        <v>0.72432909999999995</v>
      </c>
      <c r="F3158" t="s">
        <v>38</v>
      </c>
      <c r="G3158">
        <v>-198.44880000000001</v>
      </c>
      <c r="H3158">
        <v>1.0696000000000001</v>
      </c>
      <c r="I3158">
        <v>151.99299999999999</v>
      </c>
      <c r="J3158">
        <v>-199.78380000000001</v>
      </c>
      <c r="K3158">
        <v>1.137974</v>
      </c>
      <c r="L3158">
        <v>152.30099999999999</v>
      </c>
      <c r="M3158">
        <v>0.63011649999999997</v>
      </c>
      <c r="N3158">
        <v>0</v>
      </c>
      <c r="O3158">
        <v>0.77646590000000004</v>
      </c>
      <c r="P3158">
        <v>0.90628549999999997</v>
      </c>
      <c r="Q3158">
        <v>0.1702381</v>
      </c>
      <c r="R3158">
        <v>0.38686659999999901</v>
      </c>
      <c r="S3158">
        <v>3.5209959999999998</v>
      </c>
      <c r="T3158">
        <v>-0.15841739999999899</v>
      </c>
      <c r="U3158">
        <v>-0.34506229999999999</v>
      </c>
      <c r="V3158">
        <v>0.45671729999999999</v>
      </c>
      <c r="W3158">
        <v>0.18480859999999999</v>
      </c>
      <c r="X3158">
        <v>0.87020399999999998</v>
      </c>
      <c r="Y3158">
        <v>0.83277769999999995</v>
      </c>
      <c r="Z3158">
        <v>-4.9882280000000001E-2</v>
      </c>
      <c r="AA3158">
        <v>0.5513557</v>
      </c>
      <c r="AB3158">
        <v>22</v>
      </c>
      <c r="AC3158">
        <v>1.335</v>
      </c>
      <c r="AD3158">
        <v>-6.8373999999999893E-2</v>
      </c>
      <c r="AE3158">
        <v>-0.30800000000002098</v>
      </c>
      <c r="AF3158">
        <v>1.22763353196225</v>
      </c>
      <c r="AG3158">
        <v>-6.8373999999999893E-2</v>
      </c>
      <c r="AH3158">
        <v>0.60057448993186202</v>
      </c>
      <c r="AI3158">
        <v>92.864108910351803</v>
      </c>
      <c r="AJ3158">
        <v>26.068489088277602</v>
      </c>
      <c r="AK3158">
        <v>1.3683745140242201</v>
      </c>
    </row>
    <row r="3159" spans="1:37" x14ac:dyDescent="0.2">
      <c r="A3159" t="str">
        <f>"20200111150705474"</f>
        <v>20200111150705474</v>
      </c>
      <c r="B3159" t="str">
        <f>"1578726425470357"</f>
        <v>1578726425470357</v>
      </c>
      <c r="C3159" t="s">
        <v>37</v>
      </c>
      <c r="D3159">
        <v>5.4566939999999997</v>
      </c>
      <c r="E3159">
        <v>0.72474240000000001</v>
      </c>
      <c r="F3159" t="s">
        <v>38</v>
      </c>
      <c r="G3159">
        <v>-198.30510000000001</v>
      </c>
      <c r="H3159">
        <v>1.065043</v>
      </c>
      <c r="I3159">
        <v>152.1216</v>
      </c>
      <c r="J3159">
        <v>-199.6275</v>
      </c>
      <c r="K3159">
        <v>1.1387929999999999</v>
      </c>
      <c r="L3159">
        <v>152.46279999999999</v>
      </c>
      <c r="M3159">
        <v>0.64515330000000004</v>
      </c>
      <c r="N3159">
        <v>0</v>
      </c>
      <c r="O3159">
        <v>0.76400699999999999</v>
      </c>
      <c r="P3159">
        <v>0.91276710000000005</v>
      </c>
      <c r="Q3159">
        <v>0.1710604</v>
      </c>
      <c r="R3159">
        <v>0.37093759999999998</v>
      </c>
      <c r="S3159">
        <v>3.5252690000000002</v>
      </c>
      <c r="T3159">
        <v>-0.1738642</v>
      </c>
      <c r="U3159">
        <v>-0.4272919</v>
      </c>
      <c r="V3159">
        <v>0.45502309999999901</v>
      </c>
      <c r="W3159">
        <v>0.1860002</v>
      </c>
      <c r="X3159">
        <v>0.87083750000000004</v>
      </c>
      <c r="Y3159">
        <v>0.83435329999999996</v>
      </c>
      <c r="Z3159">
        <v>-5.4385290000000003E-2</v>
      </c>
      <c r="AA3159">
        <v>0.54854069999999899</v>
      </c>
      <c r="AB3159">
        <v>22</v>
      </c>
      <c r="AC3159">
        <v>1.32239999999998</v>
      </c>
      <c r="AD3159">
        <v>-7.3749999999999899E-2</v>
      </c>
      <c r="AE3159">
        <v>-0.34119999999998601</v>
      </c>
      <c r="AF3159">
        <v>1.22691469965723</v>
      </c>
      <c r="AG3159">
        <v>-7.3749999999999899E-2</v>
      </c>
      <c r="AH3159">
        <v>0.59076966205370895</v>
      </c>
      <c r="AI3159">
        <v>93.100039604971499</v>
      </c>
      <c r="AJ3159">
        <v>25.711203100902999</v>
      </c>
      <c r="AK3159">
        <v>1.36373294172211</v>
      </c>
    </row>
    <row r="3160" spans="1:37" x14ac:dyDescent="0.2">
      <c r="A3160" t="str">
        <f>"20200111150705496"</f>
        <v>20200111150705496</v>
      </c>
      <c r="B3160" t="str">
        <f>"1578726425489877"</f>
        <v>1578726425489877</v>
      </c>
      <c r="C3160" t="s">
        <v>37</v>
      </c>
      <c r="D3160">
        <v>5.4957779999999996</v>
      </c>
      <c r="E3160">
        <v>0.72516659999999999</v>
      </c>
      <c r="F3160" t="s">
        <v>38</v>
      </c>
      <c r="G3160">
        <v>-198.00980000000001</v>
      </c>
      <c r="H3160">
        <v>1.0548309999999901</v>
      </c>
      <c r="I3160">
        <v>152.23660000000001</v>
      </c>
      <c r="J3160">
        <v>-199.46350000000001</v>
      </c>
      <c r="K3160">
        <v>1.138973</v>
      </c>
      <c r="L3160">
        <v>152.626</v>
      </c>
      <c r="M3160">
        <v>0.66001489999999996</v>
      </c>
      <c r="N3160">
        <v>0</v>
      </c>
      <c r="O3160">
        <v>0.75119199999999997</v>
      </c>
      <c r="P3160">
        <v>0.91950149999999997</v>
      </c>
      <c r="Q3160">
        <v>0.17118720000000001</v>
      </c>
      <c r="R3160">
        <v>0.35385309999999998</v>
      </c>
      <c r="S3160">
        <v>3.5208279999999998</v>
      </c>
      <c r="T3160">
        <v>-0.1827317</v>
      </c>
      <c r="U3160">
        <v>-0.491867099999999</v>
      </c>
      <c r="V3160">
        <v>0.45447120000000002</v>
      </c>
      <c r="W3160">
        <v>0.1862856</v>
      </c>
      <c r="X3160">
        <v>0.87106469999999903</v>
      </c>
      <c r="Y3160">
        <v>0.83337909999999904</v>
      </c>
      <c r="Z3160">
        <v>-5.6809999999999999E-2</v>
      </c>
      <c r="AA3160">
        <v>0.54977449999999894</v>
      </c>
      <c r="AB3160">
        <v>22</v>
      </c>
      <c r="AC3160">
        <v>1.45369999999999</v>
      </c>
      <c r="AD3160">
        <v>-8.4142000000000106E-2</v>
      </c>
      <c r="AE3160">
        <v>-0.38939999999999397</v>
      </c>
      <c r="AF3160">
        <v>1.34487493285032</v>
      </c>
      <c r="AG3160">
        <v>-8.4142000000000106E-2</v>
      </c>
      <c r="AH3160">
        <v>0.66490136930891397</v>
      </c>
      <c r="AI3160">
        <v>93.210066027507395</v>
      </c>
      <c r="AJ3160">
        <v>26.307627306071801</v>
      </c>
      <c r="AK3160">
        <v>1.5026184785507</v>
      </c>
    </row>
    <row r="3161" spans="1:37" x14ac:dyDescent="0.2">
      <c r="A3161" t="str">
        <f>"20200111150705519"</f>
        <v>20200111150705519</v>
      </c>
      <c r="B3161" t="str">
        <f>"1578726425510377"</f>
        <v>1578726425510377</v>
      </c>
      <c r="C3161" t="s">
        <v>37</v>
      </c>
      <c r="D3161">
        <v>5.4605239999999897</v>
      </c>
      <c r="E3161">
        <v>0.72492959999999995</v>
      </c>
      <c r="F3161" t="s">
        <v>38</v>
      </c>
      <c r="G3161">
        <v>-197.88570000000001</v>
      </c>
      <c r="H3161">
        <v>1.0542100000000001</v>
      </c>
      <c r="I3161">
        <v>152.37370000000001</v>
      </c>
      <c r="J3161">
        <v>-199.2978</v>
      </c>
      <c r="K3161">
        <v>1.138652</v>
      </c>
      <c r="L3161">
        <v>152.78479999999999</v>
      </c>
      <c r="M3161">
        <v>0.67429550000000005</v>
      </c>
      <c r="N3161">
        <v>0</v>
      </c>
      <c r="O3161">
        <v>0.73838319999999902</v>
      </c>
      <c r="P3161">
        <v>0.92576530000000001</v>
      </c>
      <c r="Q3161">
        <v>0.1711878</v>
      </c>
      <c r="R3161">
        <v>0.33712509999999901</v>
      </c>
      <c r="S3161">
        <v>3.513855</v>
      </c>
      <c r="T3161">
        <v>-0.188767299999999</v>
      </c>
      <c r="U3161">
        <v>-0.56147769999999997</v>
      </c>
      <c r="V3161">
        <v>0.45394209999999902</v>
      </c>
      <c r="W3161">
        <v>0.18636150000000001</v>
      </c>
      <c r="X3161">
        <v>0.87132419999999999</v>
      </c>
      <c r="Y3161">
        <v>0.83350210000000002</v>
      </c>
      <c r="Z3161">
        <v>-5.8364270000000003E-2</v>
      </c>
      <c r="AA3161">
        <v>0.5494251</v>
      </c>
      <c r="AB3161">
        <v>22</v>
      </c>
      <c r="AC3161">
        <v>1.4120999999999799</v>
      </c>
      <c r="AD3161">
        <v>-8.4441999999999906E-2</v>
      </c>
      <c r="AE3161">
        <v>-0.41109999999997598</v>
      </c>
      <c r="AF3161">
        <v>1.31561330899742</v>
      </c>
      <c r="AG3161">
        <v>-8.4441999999999906E-2</v>
      </c>
      <c r="AH3161">
        <v>0.64652961774782802</v>
      </c>
      <c r="AI3161">
        <v>93.296852604040396</v>
      </c>
      <c r="AJ3161">
        <v>26.170808062230499</v>
      </c>
      <c r="AK3161">
        <v>1.4683219595171599</v>
      </c>
    </row>
    <row r="3162" spans="1:37" x14ac:dyDescent="0.2">
      <c r="A3162" t="str">
        <f>"20200111150705539"</f>
        <v>20200111150705539</v>
      </c>
      <c r="B3162" t="str">
        <f>"1578726425529893"</f>
        <v>1578726425529893</v>
      </c>
      <c r="C3162" t="s">
        <v>37</v>
      </c>
      <c r="D3162">
        <v>5.4541050000000002</v>
      </c>
      <c r="E3162">
        <v>0.7241573</v>
      </c>
      <c r="F3162" t="s">
        <v>38</v>
      </c>
      <c r="G3162">
        <v>-197.75960000000001</v>
      </c>
      <c r="H3162">
        <v>1.0544530000000001</v>
      </c>
      <c r="I3162">
        <v>152.5103</v>
      </c>
      <c r="J3162">
        <v>-199.14080000000001</v>
      </c>
      <c r="K3162">
        <v>1.1380209999999999</v>
      </c>
      <c r="L3162">
        <v>152.9299</v>
      </c>
      <c r="M3162">
        <v>0.68717150000000005</v>
      </c>
      <c r="N3162">
        <v>0</v>
      </c>
      <c r="O3162">
        <v>0.72639489999999995</v>
      </c>
      <c r="P3162">
        <v>0.93103409999999998</v>
      </c>
      <c r="Q3162">
        <v>0.17046749999999999</v>
      </c>
      <c r="R3162">
        <v>0.32267079999999998</v>
      </c>
      <c r="S3162">
        <v>3.503647</v>
      </c>
      <c r="T3162">
        <v>-0.19178139999999999</v>
      </c>
      <c r="U3162">
        <v>-0.62510679999999996</v>
      </c>
      <c r="V3162">
        <v>0.45266919999999999</v>
      </c>
      <c r="W3162">
        <v>0.1857885</v>
      </c>
      <c r="X3162">
        <v>0.87210849999999995</v>
      </c>
      <c r="Y3162">
        <v>0.83371519999999999</v>
      </c>
      <c r="Z3162">
        <v>-5.9025269999999998E-2</v>
      </c>
      <c r="AA3162">
        <v>0.54903109999999999</v>
      </c>
      <c r="AB3162">
        <v>22</v>
      </c>
      <c r="AC3162">
        <v>1.3812</v>
      </c>
      <c r="AD3162">
        <v>-8.3567999999999795E-2</v>
      </c>
      <c r="AE3162">
        <v>-0.41960000000000203</v>
      </c>
      <c r="AF3162">
        <v>1.28741329339333</v>
      </c>
      <c r="AG3162">
        <v>-8.3567999999999795E-2</v>
      </c>
      <c r="AH3162">
        <v>0.64222059551158905</v>
      </c>
      <c r="AI3162">
        <v>93.324316115331897</v>
      </c>
      <c r="AJ3162">
        <v>26.5121178926114</v>
      </c>
      <c r="AK3162">
        <v>1.4411328502012299</v>
      </c>
    </row>
    <row r="3163" spans="1:37" x14ac:dyDescent="0.2">
      <c r="A3163" t="str">
        <f>"20200111150705563"</f>
        <v>20200111150705563</v>
      </c>
      <c r="B3163" t="str">
        <f>"1578726425560149"</f>
        <v>1578726425560149</v>
      </c>
      <c r="C3163" t="s">
        <v>37</v>
      </c>
      <c r="D3163">
        <v>5.6371349999999998</v>
      </c>
      <c r="E3163">
        <v>0.72138000000000002</v>
      </c>
      <c r="F3163" t="s">
        <v>38</v>
      </c>
      <c r="G3163">
        <v>-197.62450000000001</v>
      </c>
      <c r="H3163">
        <v>1.0549109999999999</v>
      </c>
      <c r="I3163">
        <v>152.63579999999999</v>
      </c>
      <c r="J3163">
        <v>-198.96899999999999</v>
      </c>
      <c r="K3163">
        <v>1.1370819999999999</v>
      </c>
      <c r="L3163">
        <v>153.08269999999999</v>
      </c>
      <c r="M3163">
        <v>0.70047219999999999</v>
      </c>
      <c r="N3163">
        <v>0</v>
      </c>
      <c r="O3163">
        <v>0.71354859999999998</v>
      </c>
      <c r="P3163">
        <v>0.9361699</v>
      </c>
      <c r="Q3163">
        <v>0.17013829999999999</v>
      </c>
      <c r="R3163">
        <v>0.30763479999999999</v>
      </c>
      <c r="S3163">
        <v>3.49175999999999</v>
      </c>
      <c r="T3163">
        <v>-0.19139</v>
      </c>
      <c r="U3163">
        <v>-0.67662049999999996</v>
      </c>
      <c r="V3163">
        <v>0.45104569999999999</v>
      </c>
      <c r="W3163">
        <v>0.18580350000000001</v>
      </c>
      <c r="X3163">
        <v>0.87294609999999995</v>
      </c>
      <c r="Y3163">
        <v>0.83171689999999998</v>
      </c>
      <c r="Z3163">
        <v>-5.8550369999999997E-2</v>
      </c>
      <c r="AA3163">
        <v>0.55210409999999999</v>
      </c>
      <c r="AB3163">
        <v>22</v>
      </c>
      <c r="AC3163">
        <v>1.34450000000001</v>
      </c>
      <c r="AD3163">
        <v>-8.2170999999999703E-2</v>
      </c>
      <c r="AE3163">
        <v>-0.44689999999999902</v>
      </c>
      <c r="AF3163">
        <v>1.2682602549783699</v>
      </c>
      <c r="AG3163">
        <v>-8.2170999999999703E-2</v>
      </c>
      <c r="AH3163">
        <v>0.62086992882939396</v>
      </c>
      <c r="AI3163">
        <v>93.330374747148298</v>
      </c>
      <c r="AJ3163">
        <v>26.0838084755095</v>
      </c>
      <c r="AK3163">
        <v>1.4144665482518199</v>
      </c>
    </row>
    <row r="3164" spans="1:37" x14ac:dyDescent="0.2">
      <c r="A3164" t="str">
        <f>"20200111150705585"</f>
        <v>20200111150705585</v>
      </c>
      <c r="B3164" t="str">
        <f>"1578726425580645"</f>
        <v>1578726425580645</v>
      </c>
      <c r="C3164" t="s">
        <v>37</v>
      </c>
      <c r="D3164">
        <v>5.2725869999999997</v>
      </c>
      <c r="E3164">
        <v>0.71953610000000001</v>
      </c>
      <c r="F3164" t="s">
        <v>38</v>
      </c>
      <c r="G3164">
        <v>-197.4975</v>
      </c>
      <c r="H3164">
        <v>1.0531539999999999</v>
      </c>
      <c r="I3164">
        <v>152.78059999999999</v>
      </c>
      <c r="J3164">
        <v>-198.7979</v>
      </c>
      <c r="K3164">
        <v>1.133543</v>
      </c>
      <c r="L3164">
        <v>153.23099999999999</v>
      </c>
      <c r="M3164">
        <v>0.71338729999999995</v>
      </c>
      <c r="N3164">
        <v>0</v>
      </c>
      <c r="O3164">
        <v>0.70063030000000004</v>
      </c>
      <c r="P3164">
        <v>0.94087749999999903</v>
      </c>
      <c r="Q3164">
        <v>0.17199610000000001</v>
      </c>
      <c r="R3164">
        <v>0.29183359999999903</v>
      </c>
      <c r="S3164">
        <v>3.4749910000000002</v>
      </c>
      <c r="T3164">
        <v>-0.1982006</v>
      </c>
      <c r="U3164">
        <v>-0.71339419999999898</v>
      </c>
      <c r="V3164">
        <v>0.45044430000000002</v>
      </c>
      <c r="W3164">
        <v>0.18573499999999901</v>
      </c>
      <c r="X3164">
        <v>0.87327109999999997</v>
      </c>
      <c r="Y3164">
        <v>0.82756890000000005</v>
      </c>
      <c r="Z3164">
        <v>-6.026604E-2</v>
      </c>
      <c r="AA3164">
        <v>0.55811980000000005</v>
      </c>
      <c r="AB3164">
        <v>22</v>
      </c>
      <c r="AC3164">
        <v>1.30039999999999</v>
      </c>
      <c r="AD3164">
        <v>-8.0388999999999794E-2</v>
      </c>
      <c r="AE3164">
        <v>-0.45040000000000102</v>
      </c>
      <c r="AF3164">
        <v>1.2283385646095799</v>
      </c>
      <c r="AG3164">
        <v>-8.0388999999999794E-2</v>
      </c>
      <c r="AH3164">
        <v>0.61010307450877199</v>
      </c>
      <c r="AI3164">
        <v>93.354466633387602</v>
      </c>
      <c r="AJ3164">
        <v>26.4131159330956</v>
      </c>
      <c r="AK3164">
        <v>1.3738645428692</v>
      </c>
    </row>
    <row r="3165" spans="1:37" x14ac:dyDescent="0.2">
      <c r="A3165" t="str">
        <f>"20200111150705607"</f>
        <v>20200111150705607</v>
      </c>
      <c r="B3165" t="str">
        <f>"1578726425600165"</f>
        <v>1578726425600165</v>
      </c>
      <c r="C3165" t="s">
        <v>37</v>
      </c>
      <c r="D3165">
        <v>5.6005269999999996</v>
      </c>
      <c r="E3165">
        <v>0.7179025</v>
      </c>
      <c r="F3165" t="s">
        <v>38</v>
      </c>
      <c r="G3165">
        <v>-197.32320000000001</v>
      </c>
      <c r="H3165">
        <v>1.0539829999999999</v>
      </c>
      <c r="I3165">
        <v>152.90639999999999</v>
      </c>
      <c r="J3165">
        <v>-198.6181</v>
      </c>
      <c r="K3165">
        <v>1.128935</v>
      </c>
      <c r="L3165">
        <v>153.38120000000001</v>
      </c>
      <c r="M3165">
        <v>0.72671399999999997</v>
      </c>
      <c r="N3165">
        <v>0</v>
      </c>
      <c r="O3165">
        <v>0.68680859999999899</v>
      </c>
      <c r="P3165">
        <v>0.94502870000000005</v>
      </c>
      <c r="Q3165">
        <v>0.17572179999999901</v>
      </c>
      <c r="R3165">
        <v>0.27575909999999998</v>
      </c>
      <c r="S3165">
        <v>3.4586790000000001</v>
      </c>
      <c r="T3165">
        <v>-0.18660170000000001</v>
      </c>
      <c r="U3165">
        <v>-0.76092530000000003</v>
      </c>
      <c r="V3165">
        <v>0.44903509999999902</v>
      </c>
      <c r="W3165">
        <v>0.18667529999999999</v>
      </c>
      <c r="X3165">
        <v>0.87379619999999902</v>
      </c>
      <c r="Y3165">
        <v>0.8249573</v>
      </c>
      <c r="Z3165">
        <v>-5.6368359999999999E-2</v>
      </c>
      <c r="AA3165">
        <v>0.56237720000000002</v>
      </c>
      <c r="AB3165">
        <v>22</v>
      </c>
      <c r="AC3165">
        <v>1.29489999999998</v>
      </c>
      <c r="AD3165">
        <v>-7.4952000000000102E-2</v>
      </c>
      <c r="AE3165">
        <v>-0.47480000000001599</v>
      </c>
      <c r="AF3165">
        <v>1.2308686663573301</v>
      </c>
      <c r="AG3165">
        <v>-7.4952000000000102E-2</v>
      </c>
      <c r="AH3165">
        <v>0.61316991914691898</v>
      </c>
      <c r="AI3165">
        <v>93.119815101575298</v>
      </c>
      <c r="AJ3165">
        <v>26.480664063809702</v>
      </c>
      <c r="AK3165">
        <v>1.3771829311572601</v>
      </c>
    </row>
    <row r="3166" spans="1:37" x14ac:dyDescent="0.2">
      <c r="A3166" t="str">
        <f>"20200111150705626"</f>
        <v>20200111150705626</v>
      </c>
      <c r="B3166" t="str">
        <f>"1578726425620661"</f>
        <v>1578726425620661</v>
      </c>
      <c r="C3166" t="s">
        <v>37</v>
      </c>
      <c r="D3166">
        <v>5.3602650000000001</v>
      </c>
      <c r="E3166">
        <v>0.71720499999999998</v>
      </c>
      <c r="F3166" t="s">
        <v>38</v>
      </c>
      <c r="G3166">
        <v>-197.13800000000001</v>
      </c>
      <c r="H3166">
        <v>1.056281</v>
      </c>
      <c r="I3166">
        <v>153.03270000000001</v>
      </c>
      <c r="J3166">
        <v>-198.4777</v>
      </c>
      <c r="K3166">
        <v>1.1262829999999999</v>
      </c>
      <c r="L3166">
        <v>153.49250000000001</v>
      </c>
      <c r="M3166">
        <v>0.73620589999999997</v>
      </c>
      <c r="N3166">
        <v>0</v>
      </c>
      <c r="O3166">
        <v>0.67662159999999905</v>
      </c>
      <c r="P3166">
        <v>0.94825720000000002</v>
      </c>
      <c r="Q3166">
        <v>0.177095</v>
      </c>
      <c r="R3166">
        <v>0.26352520000000001</v>
      </c>
      <c r="S3166">
        <v>3.4423979999999998</v>
      </c>
      <c r="T3166">
        <v>-0.16898260000000001</v>
      </c>
      <c r="U3166">
        <v>-0.8104095</v>
      </c>
      <c r="V3166">
        <v>0.44851359999999901</v>
      </c>
      <c r="W3166">
        <v>0.18689359999999999</v>
      </c>
      <c r="X3166">
        <v>0.87401740000000006</v>
      </c>
      <c r="Y3166">
        <v>0.82572839999999903</v>
      </c>
      <c r="Z3166">
        <v>-5.0901960000000003E-2</v>
      </c>
      <c r="AA3166">
        <v>0.56176649999999995</v>
      </c>
      <c r="AB3166">
        <v>22</v>
      </c>
      <c r="AC3166">
        <v>1.3396999999999899</v>
      </c>
      <c r="AD3166">
        <v>-7.0001999999999898E-2</v>
      </c>
      <c r="AE3166">
        <v>-0.45980000000000099</v>
      </c>
      <c r="AF3166">
        <v>1.2420582424641</v>
      </c>
      <c r="AG3166">
        <v>-7.0001999999999898E-2</v>
      </c>
      <c r="AH3166">
        <v>0.67360127918395196</v>
      </c>
      <c r="AI3166">
        <v>92.836280641595806</v>
      </c>
      <c r="AJ3166">
        <v>28.472156569305401</v>
      </c>
      <c r="AK3166">
        <v>1.41468994518066</v>
      </c>
    </row>
    <row r="3167" spans="1:37" x14ac:dyDescent="0.2">
      <c r="A3167" t="str">
        <f>"20200111150705641"</f>
        <v>20200111150705641</v>
      </c>
      <c r="B3167" t="str">
        <f>"1578726425630421"</f>
        <v>1578726425630421</v>
      </c>
      <c r="C3167" t="s">
        <v>37</v>
      </c>
      <c r="D3167">
        <v>5.2471430000000003</v>
      </c>
      <c r="E3167">
        <v>0.71626309999999904</v>
      </c>
      <c r="F3167" t="s">
        <v>38</v>
      </c>
      <c r="G3167">
        <v>-197.0009</v>
      </c>
      <c r="H3167">
        <v>1.0575299999999901</v>
      </c>
      <c r="I3167">
        <v>153.12569999999999</v>
      </c>
      <c r="J3167">
        <v>-198.3537</v>
      </c>
      <c r="K3167">
        <v>1.1243299999999901</v>
      </c>
      <c r="L3167">
        <v>153.5872</v>
      </c>
      <c r="M3167">
        <v>0.74397659999999999</v>
      </c>
      <c r="N3167">
        <v>0</v>
      </c>
      <c r="O3167">
        <v>0.66805879999999995</v>
      </c>
      <c r="P3167">
        <v>0.95090490000000005</v>
      </c>
      <c r="Q3167">
        <v>0.17670910000000001</v>
      </c>
      <c r="R3167">
        <v>0.25407439999999998</v>
      </c>
      <c r="S3167">
        <v>3.4301149999999998</v>
      </c>
      <c r="T3167">
        <v>-0.15968789999999999</v>
      </c>
      <c r="U3167">
        <v>-0.85133359999999902</v>
      </c>
      <c r="V3167">
        <v>0.44753530000000002</v>
      </c>
      <c r="W3167">
        <v>0.1859885</v>
      </c>
      <c r="X3167">
        <v>0.87471160000000003</v>
      </c>
      <c r="Y3167">
        <v>0.826188699999999</v>
      </c>
      <c r="Z3167">
        <v>-4.7951210000000001E-2</v>
      </c>
      <c r="AA3167">
        <v>0.56134930000000005</v>
      </c>
      <c r="AB3167">
        <v>22</v>
      </c>
      <c r="AC3167">
        <v>1.3528</v>
      </c>
      <c r="AD3167">
        <v>-6.6799999999999901E-2</v>
      </c>
      <c r="AE3167">
        <v>-0.46150000000000002</v>
      </c>
      <c r="AF3167">
        <v>1.2444994201086601</v>
      </c>
      <c r="AG3167">
        <v>-6.6799999999999901E-2</v>
      </c>
      <c r="AH3167">
        <v>0.69668928258197405</v>
      </c>
      <c r="AI3167">
        <v>92.681574306903002</v>
      </c>
      <c r="AJ3167">
        <v>29.240750867766501</v>
      </c>
      <c r="AK3167">
        <v>1.4278014578768901</v>
      </c>
    </row>
    <row r="3168" spans="1:37" x14ac:dyDescent="0.2">
      <c r="A3168" t="str">
        <f>"20200111150705662"</f>
        <v>20200111150705662</v>
      </c>
      <c r="B3168" t="str">
        <f>"1578726425660678"</f>
        <v>1578726425660678</v>
      </c>
      <c r="C3168" t="s">
        <v>37</v>
      </c>
      <c r="D3168">
        <v>5.3240930000000004</v>
      </c>
      <c r="E3168">
        <v>0.71308890000000003</v>
      </c>
      <c r="F3168" t="s">
        <v>38</v>
      </c>
      <c r="G3168">
        <v>-196.87819999999999</v>
      </c>
      <c r="H3168">
        <v>1.056681</v>
      </c>
      <c r="I3168">
        <v>153.20750000000001</v>
      </c>
      <c r="J3168">
        <v>-198.17230000000001</v>
      </c>
      <c r="K3168">
        <v>1.1218939999999999</v>
      </c>
      <c r="L3168">
        <v>153.72069999999999</v>
      </c>
      <c r="M3168">
        <v>0.75474629999999998</v>
      </c>
      <c r="N3168">
        <v>0</v>
      </c>
      <c r="O3168">
        <v>0.65584770000000003</v>
      </c>
      <c r="P3168">
        <v>0.95463249999999999</v>
      </c>
      <c r="Q3168">
        <v>0.1754513</v>
      </c>
      <c r="R3168">
        <v>0.2406114</v>
      </c>
      <c r="S3168">
        <v>3.4191129999999998</v>
      </c>
      <c r="T3168">
        <v>-0.15676080000000001</v>
      </c>
      <c r="U3168">
        <v>-0.87995909999999999</v>
      </c>
      <c r="V3168">
        <v>0.4462467</v>
      </c>
      <c r="W3168">
        <v>0.1844478</v>
      </c>
      <c r="X3168">
        <v>0.87569560000000002</v>
      </c>
      <c r="Y3168">
        <v>0.82192399999999999</v>
      </c>
      <c r="Z3168">
        <v>-4.66711E-2</v>
      </c>
      <c r="AA3168">
        <v>0.56768200000000002</v>
      </c>
      <c r="AB3168">
        <v>22</v>
      </c>
      <c r="AC3168">
        <v>1.29410000000001</v>
      </c>
      <c r="AD3168">
        <v>-6.5212999999999896E-2</v>
      </c>
      <c r="AE3168">
        <v>-0.513199999999983</v>
      </c>
      <c r="AF3168">
        <v>1.2334987373872199</v>
      </c>
      <c r="AG3168">
        <v>-6.5212999999999896E-2</v>
      </c>
      <c r="AH3168">
        <v>0.63880541479725705</v>
      </c>
      <c r="AI3168">
        <v>92.687852132017596</v>
      </c>
      <c r="AJ3168">
        <v>27.378775314533701</v>
      </c>
      <c r="AK3168">
        <v>1.3906272787771601</v>
      </c>
    </row>
    <row r="3169" spans="1:37" x14ac:dyDescent="0.2">
      <c r="A3169" t="str">
        <f>"20200111150705683"</f>
        <v>20200111150705683</v>
      </c>
      <c r="B3169" t="str">
        <f>"1578726425680197"</f>
        <v>1578726425680197</v>
      </c>
      <c r="C3169" t="s">
        <v>37</v>
      </c>
      <c r="D3169">
        <v>5.358911</v>
      </c>
      <c r="E3169">
        <v>0.71176909999999904</v>
      </c>
      <c r="F3169" t="s">
        <v>38</v>
      </c>
      <c r="G3169">
        <v>-196.6859</v>
      </c>
      <c r="H3169">
        <v>1.05281</v>
      </c>
      <c r="I3169">
        <v>153.3245</v>
      </c>
      <c r="J3169">
        <v>-198.00630000000001</v>
      </c>
      <c r="K3169">
        <v>1.1198649999999899</v>
      </c>
      <c r="L3169">
        <v>153.8383</v>
      </c>
      <c r="M3169">
        <v>0.76447330000000002</v>
      </c>
      <c r="N3169">
        <v>0</v>
      </c>
      <c r="O3169">
        <v>0.6444685</v>
      </c>
      <c r="P3169">
        <v>0.95782479999999903</v>
      </c>
      <c r="Q3169">
        <v>0.17465929999999999</v>
      </c>
      <c r="R3169">
        <v>0.22817950000000001</v>
      </c>
      <c r="S3169">
        <v>3.3999629999999899</v>
      </c>
      <c r="T3169">
        <v>-0.15802620000000001</v>
      </c>
      <c r="U3169">
        <v>-0.90600590000000003</v>
      </c>
      <c r="V3169">
        <v>0.4449264</v>
      </c>
      <c r="W3169">
        <v>0.18346309999999999</v>
      </c>
      <c r="X3169">
        <v>0.87657389999999902</v>
      </c>
      <c r="Y3169">
        <v>0.81822430000000002</v>
      </c>
      <c r="Z3169">
        <v>-4.6784230000000003E-2</v>
      </c>
      <c r="AA3169">
        <v>0.57299239999999996</v>
      </c>
      <c r="AB3169">
        <v>22</v>
      </c>
      <c r="AC3169">
        <v>1.3204</v>
      </c>
      <c r="AD3169">
        <v>-6.7054999999999795E-2</v>
      </c>
      <c r="AE3169">
        <v>-0.51380000000000303</v>
      </c>
      <c r="AF3169">
        <v>1.2411125389792099</v>
      </c>
      <c r="AG3169">
        <v>-6.7054999999999795E-2</v>
      </c>
      <c r="AH3169">
        <v>0.67684831618339603</v>
      </c>
      <c r="AI3169">
        <v>92.715676760285902</v>
      </c>
      <c r="AJ3169">
        <v>28.606113134361198</v>
      </c>
      <c r="AK3169">
        <v>1.41526688315551</v>
      </c>
    </row>
    <row r="3170" spans="1:37" x14ac:dyDescent="0.2">
      <c r="A3170" t="str">
        <f>"20200111150705697"</f>
        <v>20200111150705697</v>
      </c>
      <c r="B3170" t="str">
        <f>"1578726425689957"</f>
        <v>1578726425689957</v>
      </c>
      <c r="C3170" t="s">
        <v>37</v>
      </c>
      <c r="D3170">
        <v>5.4180919999999997</v>
      </c>
      <c r="E3170">
        <v>0.71099349999999994</v>
      </c>
      <c r="F3170" t="s">
        <v>38</v>
      </c>
      <c r="G3170">
        <v>-196.517</v>
      </c>
      <c r="H3170">
        <v>1.0502659999999999</v>
      </c>
      <c r="I3170">
        <v>153.42410000000001</v>
      </c>
      <c r="J3170">
        <v>-197.88470000000001</v>
      </c>
      <c r="K3170">
        <v>1.1184540000000001</v>
      </c>
      <c r="L3170">
        <v>153.92230000000001</v>
      </c>
      <c r="M3170">
        <v>0.77162379999999997</v>
      </c>
      <c r="N3170">
        <v>0</v>
      </c>
      <c r="O3170">
        <v>0.63588230000000001</v>
      </c>
      <c r="P3170">
        <v>0.95956369999999902</v>
      </c>
      <c r="Q3170">
        <v>0.17414649999999901</v>
      </c>
      <c r="R3170">
        <v>0.22115670000000001</v>
      </c>
      <c r="S3170">
        <v>3.3851930000000001</v>
      </c>
      <c r="T3170">
        <v>-0.1582085</v>
      </c>
      <c r="U3170">
        <v>-0.94136049999999905</v>
      </c>
      <c r="V3170">
        <v>0.441777999999999</v>
      </c>
      <c r="W3170">
        <v>0.18283540000000001</v>
      </c>
      <c r="X3170">
        <v>0.87829570000000001</v>
      </c>
      <c r="Y3170">
        <v>0.81800779999999995</v>
      </c>
      <c r="Z3170">
        <v>-4.6677429999999999E-2</v>
      </c>
      <c r="AA3170">
        <v>0.57331009999999905</v>
      </c>
      <c r="AB3170">
        <v>22</v>
      </c>
      <c r="AC3170">
        <v>1.3677000000000099</v>
      </c>
      <c r="AD3170">
        <v>-6.8188000000000096E-2</v>
      </c>
      <c r="AE3170">
        <v>-0.49819999999999698</v>
      </c>
      <c r="AF3170">
        <v>1.2515298387264899</v>
      </c>
      <c r="AG3170">
        <v>-6.8188000000000096E-2</v>
      </c>
      <c r="AH3170">
        <v>0.73702843002256502</v>
      </c>
      <c r="AI3170">
        <v>92.6879312390287</v>
      </c>
      <c r="AJ3170">
        <v>30.4939163461531</v>
      </c>
      <c r="AK3170">
        <v>1.45402456899059</v>
      </c>
    </row>
    <row r="3171" spans="1:37" x14ac:dyDescent="0.2">
      <c r="A3171" t="str">
        <f>"20200111150705718"</f>
        <v>20200111150705718</v>
      </c>
      <c r="B3171" t="str">
        <f>"1578726425710453"</f>
        <v>1578726425710453</v>
      </c>
      <c r="C3171" t="s">
        <v>37</v>
      </c>
      <c r="D3171">
        <v>5.4208930000000004</v>
      </c>
      <c r="E3171">
        <v>0.70948339999999999</v>
      </c>
      <c r="F3171" t="s">
        <v>38</v>
      </c>
      <c r="G3171">
        <v>-196.393</v>
      </c>
      <c r="H3171">
        <v>1.04826</v>
      </c>
      <c r="I3171">
        <v>153.4975</v>
      </c>
      <c r="J3171">
        <v>-197.70070000000001</v>
      </c>
      <c r="K3171">
        <v>1.116457</v>
      </c>
      <c r="L3171">
        <v>154.04589999999999</v>
      </c>
      <c r="M3171">
        <v>0.78243189999999996</v>
      </c>
      <c r="N3171">
        <v>0</v>
      </c>
      <c r="O3171">
        <v>0.62252759999999996</v>
      </c>
      <c r="P3171">
        <v>0.96220669999999897</v>
      </c>
      <c r="Q3171">
        <v>0.1741422</v>
      </c>
      <c r="R3171">
        <v>0.20936279999999899</v>
      </c>
      <c r="S3171">
        <v>3.3768159999999998</v>
      </c>
      <c r="T3171">
        <v>-0.1589062</v>
      </c>
      <c r="U3171">
        <v>-0.96131900000000003</v>
      </c>
      <c r="V3171">
        <v>0.43764969999999997</v>
      </c>
      <c r="W3171">
        <v>0.1826952</v>
      </c>
      <c r="X3171">
        <v>0.88038930000000004</v>
      </c>
      <c r="Y3171">
        <v>0.81161499999999998</v>
      </c>
      <c r="Z3171">
        <v>-4.6320930000000003E-2</v>
      </c>
      <c r="AA3171">
        <v>0.58235349999999997</v>
      </c>
      <c r="AB3171">
        <v>22</v>
      </c>
      <c r="AC3171">
        <v>1.3077000000000101</v>
      </c>
      <c r="AD3171">
        <v>-6.8196999999999994E-2</v>
      </c>
      <c r="AE3171">
        <v>-0.54839999999998601</v>
      </c>
      <c r="AF3171">
        <v>1.2404574040449601</v>
      </c>
      <c r="AG3171">
        <v>-6.8196999999999994E-2</v>
      </c>
      <c r="AH3171">
        <v>0.68030712816100503</v>
      </c>
      <c r="AI3171">
        <v>92.759741382762698</v>
      </c>
      <c r="AJ3171">
        <v>28.741794258200201</v>
      </c>
      <c r="AK3171">
        <v>1.4164050235316299</v>
      </c>
    </row>
    <row r="3172" spans="1:37" x14ac:dyDescent="0.2">
      <c r="A3172" t="str">
        <f>"20200111150705742"</f>
        <v>20200111150705742</v>
      </c>
      <c r="B3172" t="str">
        <f>"1578726425730576"</f>
        <v>1578726425730576</v>
      </c>
      <c r="C3172" t="s">
        <v>37</v>
      </c>
      <c r="D3172">
        <v>5.4421379999999999</v>
      </c>
      <c r="E3172">
        <v>0.70801840000000005</v>
      </c>
      <c r="F3172" t="s">
        <v>38</v>
      </c>
      <c r="G3172">
        <v>-196.20070000000001</v>
      </c>
      <c r="H3172">
        <v>1.0460069999999999</v>
      </c>
      <c r="I3172">
        <v>153.6028</v>
      </c>
      <c r="J3172">
        <v>-197.50319999999999</v>
      </c>
      <c r="K3172">
        <v>1.114368</v>
      </c>
      <c r="L3172">
        <v>154.17490000000001</v>
      </c>
      <c r="M3172">
        <v>0.79374419999999901</v>
      </c>
      <c r="N3172">
        <v>0</v>
      </c>
      <c r="O3172">
        <v>0.60803160000000001</v>
      </c>
      <c r="P3172">
        <v>0.96479439999999905</v>
      </c>
      <c r="Q3172">
        <v>0.17428949999999899</v>
      </c>
      <c r="R3172">
        <v>0.196965</v>
      </c>
      <c r="S3172">
        <v>3.362473</v>
      </c>
      <c r="T3172">
        <v>-0.15792509999999901</v>
      </c>
      <c r="U3172">
        <v>-0.9929962</v>
      </c>
      <c r="V3172">
        <v>0.43293429999999999</v>
      </c>
      <c r="W3172">
        <v>0.18273739999999999</v>
      </c>
      <c r="X3172">
        <v>0.88270879999999996</v>
      </c>
      <c r="Y3172">
        <v>0.80661740000000004</v>
      </c>
      <c r="Z3172">
        <v>-4.5516679999999997E-2</v>
      </c>
      <c r="AA3172">
        <v>0.58931869999999997</v>
      </c>
      <c r="AB3172">
        <v>22</v>
      </c>
      <c r="AC3172">
        <v>1.30249999999998</v>
      </c>
      <c r="AD3172">
        <v>-6.8361000000000102E-2</v>
      </c>
      <c r="AE3172">
        <v>-0.57210000000000505</v>
      </c>
      <c r="AF3172">
        <v>1.24335797206071</v>
      </c>
      <c r="AG3172">
        <v>-6.8361000000000102E-2</v>
      </c>
      <c r="AH3172">
        <v>0.68450816980894003</v>
      </c>
      <c r="AI3172">
        <v>92.7574836147773</v>
      </c>
      <c r="AJ3172">
        <v>28.834184267217999</v>
      </c>
      <c r="AK3172">
        <v>1.4209728032383699</v>
      </c>
    </row>
    <row r="3173" spans="1:37" x14ac:dyDescent="0.2">
      <c r="A3173" t="str">
        <f>"20200111150705763"</f>
        <v>20200111150705763</v>
      </c>
      <c r="B3173" t="str">
        <f>"1578726425760832"</f>
        <v>1578726425760832</v>
      </c>
      <c r="C3173" t="s">
        <v>37</v>
      </c>
      <c r="D3173">
        <v>5.3065600000000002</v>
      </c>
      <c r="E3173">
        <v>0.70590699999999995</v>
      </c>
      <c r="F3173" t="s">
        <v>38</v>
      </c>
      <c r="G3173">
        <v>-195.99340000000001</v>
      </c>
      <c r="H3173">
        <v>1.0438209999999899</v>
      </c>
      <c r="I3173">
        <v>153.7116</v>
      </c>
      <c r="J3173">
        <v>-197.31909999999999</v>
      </c>
      <c r="K3173">
        <v>1.112344</v>
      </c>
      <c r="L3173">
        <v>154.29159999999999</v>
      </c>
      <c r="M3173">
        <v>0.80391449999999998</v>
      </c>
      <c r="N3173">
        <v>0</v>
      </c>
      <c r="O3173">
        <v>0.59451709999999902</v>
      </c>
      <c r="P3173">
        <v>0.96696229999999905</v>
      </c>
      <c r="Q3173">
        <v>0.17396449999999999</v>
      </c>
      <c r="R3173">
        <v>0.186334</v>
      </c>
      <c r="S3173">
        <v>3.347321</v>
      </c>
      <c r="T3173">
        <v>-0.1564152</v>
      </c>
      <c r="U3173">
        <v>-1.026672</v>
      </c>
      <c r="V3173">
        <v>0.42791819999999903</v>
      </c>
      <c r="W3173">
        <v>0.1821603</v>
      </c>
      <c r="X3173">
        <v>0.88527040000000001</v>
      </c>
      <c r="Y3173">
        <v>0.8028265</v>
      </c>
      <c r="Z3173">
        <v>-4.4626180000000001E-2</v>
      </c>
      <c r="AA3173">
        <v>0.59454030000000002</v>
      </c>
      <c r="AB3173">
        <v>22</v>
      </c>
      <c r="AC3173">
        <v>1.3256999999999799</v>
      </c>
      <c r="AD3173">
        <v>-6.8523000000000098E-2</v>
      </c>
      <c r="AE3173">
        <v>-0.57999999999998397</v>
      </c>
      <c r="AF3173">
        <v>1.2517846199693901</v>
      </c>
      <c r="AG3173">
        <v>-6.8523000000000098E-2</v>
      </c>
      <c r="AH3173">
        <v>0.71941395971980304</v>
      </c>
      <c r="AI3173">
        <v>92.717253011002995</v>
      </c>
      <c r="AJ3173">
        <v>29.886441317527101</v>
      </c>
      <c r="AK3173">
        <v>1.4454122532207401</v>
      </c>
    </row>
    <row r="3174" spans="1:37" x14ac:dyDescent="0.2">
      <c r="A3174" t="str">
        <f>"20200111150705787"</f>
        <v>20200111150705787</v>
      </c>
      <c r="B3174" t="str">
        <f>"1578726425780352"</f>
        <v>1578726425780352</v>
      </c>
      <c r="C3174" t="s">
        <v>37</v>
      </c>
      <c r="D3174">
        <v>5.3767290000000001</v>
      </c>
      <c r="E3174">
        <v>0.70446750000000002</v>
      </c>
      <c r="F3174" t="s">
        <v>78</v>
      </c>
      <c r="G3174">
        <v>-174.03700000000001</v>
      </c>
      <c r="H3174" s="1">
        <v>-7.7872659999999994E-6</v>
      </c>
      <c r="I3174">
        <v>146.96969999999999</v>
      </c>
      <c r="J3174">
        <v>-197.11619999999999</v>
      </c>
      <c r="K3174">
        <v>1.110052</v>
      </c>
      <c r="L3174">
        <v>154.4162</v>
      </c>
      <c r="M3174">
        <v>0.81467999999999996</v>
      </c>
      <c r="N3174">
        <v>0</v>
      </c>
      <c r="O3174">
        <v>0.57967999999999997</v>
      </c>
      <c r="P3174">
        <v>0.96897889999999998</v>
      </c>
      <c r="Q3174">
        <v>0.17655709999999999</v>
      </c>
      <c r="R3174">
        <v>0.17293819999999999</v>
      </c>
      <c r="S3174">
        <v>3.3331449999999898</v>
      </c>
      <c r="T3174">
        <v>-0.1592479</v>
      </c>
      <c r="U3174">
        <v>-1.0482180000000001</v>
      </c>
      <c r="V3174">
        <v>0.42393789999999998</v>
      </c>
      <c r="W3174">
        <v>0.18417359999999999</v>
      </c>
      <c r="X3174">
        <v>0.88676759999999999</v>
      </c>
      <c r="Y3174">
        <v>0.79605099999999995</v>
      </c>
      <c r="Z3174">
        <v>-4.483562E-2</v>
      </c>
      <c r="AA3174">
        <v>0.60356659999999995</v>
      </c>
      <c r="AB3174">
        <v>22</v>
      </c>
      <c r="AC3174">
        <v>23.079199999999901</v>
      </c>
      <c r="AD3174">
        <v>-1.1100597872660001</v>
      </c>
      <c r="AE3174">
        <v>-7.4465000000000101</v>
      </c>
      <c r="AF3174">
        <v>19.407004429088399</v>
      </c>
      <c r="AG3174">
        <v>-1.1100597872660001</v>
      </c>
      <c r="AH3174">
        <v>14.457222158673799</v>
      </c>
      <c r="AI3174">
        <v>92.6263232120249</v>
      </c>
      <c r="AJ3174">
        <v>36.684219401024201</v>
      </c>
      <c r="AK3174">
        <v>24.225509823060801</v>
      </c>
    </row>
    <row r="3175" spans="1:37" x14ac:dyDescent="0.2">
      <c r="A3175" t="str">
        <f>"20200111150705809"</f>
        <v>20200111150705809</v>
      </c>
      <c r="B3175" t="str">
        <f>"1578726425799872"</f>
        <v>1578726425799872</v>
      </c>
      <c r="C3175" t="s">
        <v>37</v>
      </c>
      <c r="D3175">
        <v>5.3957119999999996</v>
      </c>
      <c r="E3175">
        <v>0.70311950000000001</v>
      </c>
      <c r="F3175" t="s">
        <v>78</v>
      </c>
      <c r="G3175">
        <v>-172.96190000000001</v>
      </c>
      <c r="H3175" s="1">
        <v>-7.1689239999999999E-6</v>
      </c>
      <c r="I3175">
        <v>146.53219999999999</v>
      </c>
      <c r="J3175">
        <v>-196.92259999999999</v>
      </c>
      <c r="K3175">
        <v>1.107915</v>
      </c>
      <c r="L3175">
        <v>154.53110000000001</v>
      </c>
      <c r="M3175">
        <v>0.82451109999999905</v>
      </c>
      <c r="N3175">
        <v>0</v>
      </c>
      <c r="O3175">
        <v>0.56561609999999996</v>
      </c>
      <c r="P3175">
        <v>0.97093750000000001</v>
      </c>
      <c r="Q3175">
        <v>0.1791933</v>
      </c>
      <c r="R3175">
        <v>0.1586514</v>
      </c>
      <c r="S3175">
        <v>3.317062</v>
      </c>
      <c r="T3175">
        <v>-0.15244250000000001</v>
      </c>
      <c r="U3175">
        <v>-1.082703</v>
      </c>
      <c r="V3175">
        <v>0.42178649999999901</v>
      </c>
      <c r="W3175">
        <v>0.18608129999999901</v>
      </c>
      <c r="X3175">
        <v>0.88739500000000004</v>
      </c>
      <c r="Y3175">
        <v>0.79233199999999904</v>
      </c>
      <c r="Z3175">
        <v>-4.244009E-2</v>
      </c>
      <c r="AA3175">
        <v>0.60861219999999905</v>
      </c>
      <c r="AB3175">
        <v>22</v>
      </c>
      <c r="AC3175">
        <v>23.9606999999999</v>
      </c>
      <c r="AD3175">
        <v>-1.107922168924</v>
      </c>
      <c r="AE3175">
        <v>-7.9989000000000097</v>
      </c>
      <c r="AF3175">
        <v>20.1116696740946</v>
      </c>
      <c r="AG3175">
        <v>-1.107922168924</v>
      </c>
      <c r="AH3175">
        <v>15.204287925101299</v>
      </c>
      <c r="AI3175">
        <v>92.516191361749307</v>
      </c>
      <c r="AJ3175">
        <v>37.089036993300098</v>
      </c>
      <c r="AK3175">
        <v>25.236424467853499</v>
      </c>
    </row>
    <row r="3176" spans="1:37" x14ac:dyDescent="0.2">
      <c r="A3176" t="str">
        <f>"20200111150705830"</f>
        <v>20200111150705830</v>
      </c>
      <c r="B3176" t="str">
        <f>"1578726425819986"</f>
        <v>1578726425819986</v>
      </c>
      <c r="C3176" t="s">
        <v>37</v>
      </c>
      <c r="D3176">
        <v>5.3994160000000004</v>
      </c>
      <c r="E3176">
        <v>0.70168069999999905</v>
      </c>
      <c r="F3176" t="s">
        <v>78</v>
      </c>
      <c r="G3176">
        <v>-172.80119999999999</v>
      </c>
      <c r="H3176" s="1">
        <v>-7.0420329999999999E-6</v>
      </c>
      <c r="I3176">
        <v>146.3603</v>
      </c>
      <c r="J3176">
        <v>-196.732</v>
      </c>
      <c r="K3176">
        <v>1.1059760000000001</v>
      </c>
      <c r="L3176">
        <v>154.64019999999999</v>
      </c>
      <c r="M3176">
        <v>0.83378629999999998</v>
      </c>
      <c r="N3176">
        <v>0</v>
      </c>
      <c r="O3176">
        <v>0.55186029999999997</v>
      </c>
      <c r="P3176">
        <v>0.97290810000000005</v>
      </c>
      <c r="Q3176">
        <v>0.1779222</v>
      </c>
      <c r="R3176">
        <v>0.1476267</v>
      </c>
      <c r="S3176">
        <v>3.3004609999999999</v>
      </c>
      <c r="T3176">
        <v>-0.1515937</v>
      </c>
      <c r="U3176">
        <v>-1.1179809999999999</v>
      </c>
      <c r="V3176">
        <v>0.4174329</v>
      </c>
      <c r="W3176">
        <v>0.18416569999999999</v>
      </c>
      <c r="X3176">
        <v>0.88984979999999902</v>
      </c>
      <c r="Y3176">
        <v>0.7890028</v>
      </c>
      <c r="Z3176">
        <v>-4.1737440000000001E-2</v>
      </c>
      <c r="AA3176">
        <v>0.61297019999999902</v>
      </c>
      <c r="AB3176">
        <v>22</v>
      </c>
      <c r="AC3176">
        <v>23.930800000000001</v>
      </c>
      <c r="AD3176">
        <v>-1.1059830420329999</v>
      </c>
      <c r="AE3176">
        <v>-8.2798999999999907</v>
      </c>
      <c r="AF3176">
        <v>20.0743532063366</v>
      </c>
      <c r="AG3176">
        <v>-1.1059830420329999</v>
      </c>
      <c r="AH3176">
        <v>15.3564599176181</v>
      </c>
      <c r="AI3176">
        <v>92.505598609895301</v>
      </c>
      <c r="AJ3176">
        <v>37.415231892546998</v>
      </c>
      <c r="AK3176">
        <v>25.298690012398499</v>
      </c>
    </row>
    <row r="3177" spans="1:37" x14ac:dyDescent="0.2">
      <c r="A3177" t="str">
        <f>"20200111150705853"</f>
        <v>20200111150705853</v>
      </c>
      <c r="B3177" t="str">
        <f>"1578726425850243"</f>
        <v>1578726425850243</v>
      </c>
      <c r="C3177" t="s">
        <v>37</v>
      </c>
      <c r="D3177">
        <v>5.5996600000000001</v>
      </c>
      <c r="E3177">
        <v>0.70168069999999905</v>
      </c>
      <c r="F3177" t="s">
        <v>78</v>
      </c>
      <c r="G3177">
        <v>-172.40969999999999</v>
      </c>
      <c r="H3177" s="1">
        <v>-6.8003409999999903E-6</v>
      </c>
      <c r="I3177">
        <v>146.15</v>
      </c>
      <c r="J3177">
        <v>-196.5318</v>
      </c>
      <c r="K3177">
        <v>1.1041559999999999</v>
      </c>
      <c r="L3177">
        <v>154.7508</v>
      </c>
      <c r="M3177">
        <v>0.84310980000000002</v>
      </c>
      <c r="N3177">
        <v>0</v>
      </c>
      <c r="O3177">
        <v>0.53751789999999999</v>
      </c>
      <c r="P3177">
        <v>0.97480800000000001</v>
      </c>
      <c r="Q3177">
        <v>0.1747282</v>
      </c>
      <c r="R3177">
        <v>0.1386346</v>
      </c>
      <c r="S3177">
        <v>3.2848660000000001</v>
      </c>
      <c r="T3177">
        <v>-0.149369</v>
      </c>
      <c r="U3177">
        <v>-1.146652</v>
      </c>
      <c r="V3177">
        <v>0.41083389999999997</v>
      </c>
      <c r="W3177">
        <v>0.18042329999999901</v>
      </c>
      <c r="X3177">
        <v>0.89367940000000001</v>
      </c>
      <c r="Y3177">
        <v>0.78420679999999998</v>
      </c>
      <c r="Z3177">
        <v>-4.05948E-2</v>
      </c>
      <c r="AA3177">
        <v>0.619170199999999</v>
      </c>
      <c r="AB3177">
        <v>22</v>
      </c>
      <c r="AC3177">
        <v>24.1221</v>
      </c>
      <c r="AD3177">
        <v>-1.104162800341</v>
      </c>
      <c r="AE3177">
        <v>-8.6007999999999907</v>
      </c>
      <c r="AF3177">
        <v>20.182392033837601</v>
      </c>
      <c r="AG3177">
        <v>-1.104162800341</v>
      </c>
      <c r="AH3177">
        <v>15.6872225750945</v>
      </c>
      <c r="AI3177">
        <v>92.473377123703898</v>
      </c>
      <c r="AJ3177">
        <v>37.8569485239641</v>
      </c>
      <c r="AK3177">
        <v>25.585876491097999</v>
      </c>
    </row>
    <row r="3178" spans="1:37" x14ac:dyDescent="0.2">
      <c r="A3178" t="str">
        <f>"20200111150705876"</f>
        <v>20200111150705876</v>
      </c>
      <c r="B3178" t="str">
        <f>"1578726425869762"</f>
        <v>1578726425869762</v>
      </c>
      <c r="C3178" t="s">
        <v>37</v>
      </c>
      <c r="D3178">
        <v>5.5319039999999999</v>
      </c>
      <c r="E3178">
        <v>0.55313630000000003</v>
      </c>
      <c r="F3178" t="s">
        <v>38</v>
      </c>
      <c r="G3178">
        <v>-194.98990000000001</v>
      </c>
      <c r="H3178">
        <v>1.0338969999999901</v>
      </c>
      <c r="I3178">
        <v>154.19370000000001</v>
      </c>
      <c r="J3178">
        <v>-196.3176</v>
      </c>
      <c r="K3178">
        <v>1.1024559999999901</v>
      </c>
      <c r="L3178">
        <v>154.86410000000001</v>
      </c>
      <c r="M3178">
        <v>0.85259819999999997</v>
      </c>
      <c r="N3178">
        <v>0</v>
      </c>
      <c r="O3178">
        <v>0.52234729999999996</v>
      </c>
      <c r="P3178">
        <v>0.97640009999999999</v>
      </c>
      <c r="Q3178">
        <v>0.17247870000000001</v>
      </c>
      <c r="R3178">
        <v>0.1299776</v>
      </c>
      <c r="S3178">
        <v>3.2723239999999998</v>
      </c>
      <c r="T3178">
        <v>-0.14911350000000001</v>
      </c>
      <c r="U3178">
        <v>-1.181824</v>
      </c>
      <c r="V3178">
        <v>0.40306149999999902</v>
      </c>
      <c r="W3178">
        <v>0.17769299999999999</v>
      </c>
      <c r="X3178">
        <v>0.89775649999999996</v>
      </c>
      <c r="Y3178">
        <v>0.77977220000000003</v>
      </c>
      <c r="Z3178">
        <v>-3.9912099999999999E-2</v>
      </c>
      <c r="AA3178">
        <v>0.62478990000000001</v>
      </c>
      <c r="AB3178">
        <v>22</v>
      </c>
      <c r="AC3178">
        <v>1.3276999999999901</v>
      </c>
      <c r="AD3178">
        <v>-6.8558999999999995E-2</v>
      </c>
      <c r="AE3178">
        <v>-0.6704</v>
      </c>
      <c r="AF3178">
        <v>1.2625650206755299</v>
      </c>
      <c r="AG3178">
        <v>-6.8558999999999995E-2</v>
      </c>
      <c r="AH3178">
        <v>0.78024497533069204</v>
      </c>
      <c r="AI3178">
        <v>92.644757003299901</v>
      </c>
      <c r="AJ3178">
        <v>31.7154016403945</v>
      </c>
      <c r="AK3178">
        <v>1.4857836280707799</v>
      </c>
    </row>
    <row r="3179" spans="1:37" x14ac:dyDescent="0.2">
      <c r="A3179" t="str">
        <f>"20200111150705899"</f>
        <v>20200111150705899</v>
      </c>
      <c r="B3179" t="str">
        <f>"1578726425890258"</f>
        <v>1578726425890258</v>
      </c>
      <c r="C3179" t="s">
        <v>37</v>
      </c>
      <c r="D3179">
        <v>5.5407400000000004</v>
      </c>
      <c r="E3179">
        <v>0.55261640000000001</v>
      </c>
      <c r="F3179" t="s">
        <v>78</v>
      </c>
      <c r="G3179">
        <v>-180.14410000000001</v>
      </c>
      <c r="H3179" s="1">
        <v>-1.2777010000000001E-5</v>
      </c>
      <c r="I3179">
        <v>154.65989999999999</v>
      </c>
      <c r="J3179">
        <v>-196.1182</v>
      </c>
      <c r="K3179">
        <v>1.101083</v>
      </c>
      <c r="L3179">
        <v>154.96539999999999</v>
      </c>
      <c r="M3179">
        <v>0.86101349999999999</v>
      </c>
      <c r="N3179">
        <v>0</v>
      </c>
      <c r="O3179">
        <v>0.50836550000000003</v>
      </c>
      <c r="P3179">
        <v>0.97738269999999905</v>
      </c>
      <c r="Q3179">
        <v>0.17246589999999901</v>
      </c>
      <c r="R3179">
        <v>0.12238689999999899</v>
      </c>
      <c r="S3179">
        <v>3.1152500000000001</v>
      </c>
      <c r="T3179">
        <v>-0.21235199999999901</v>
      </c>
      <c r="U3179">
        <v>-3.93219E-2</v>
      </c>
      <c r="V3179">
        <v>0.39547739999999998</v>
      </c>
      <c r="W3179">
        <v>0.17731520000000001</v>
      </c>
      <c r="X3179">
        <v>0.90119749999999998</v>
      </c>
      <c r="Y3179">
        <v>0.51695469999999999</v>
      </c>
      <c r="Z3179">
        <v>-5.0947840000000001E-2</v>
      </c>
      <c r="AA3179">
        <v>0.85449529999999996</v>
      </c>
      <c r="AB3179">
        <v>22</v>
      </c>
      <c r="AC3179">
        <v>15.9740999999999</v>
      </c>
      <c r="AD3179">
        <v>-1.1010957770100001</v>
      </c>
      <c r="AE3179">
        <v>-0.305499999999995</v>
      </c>
      <c r="AF3179">
        <v>8.3450088615925999</v>
      </c>
      <c r="AG3179">
        <v>-1.1010957770100001</v>
      </c>
      <c r="AH3179">
        <v>13.5358180786835</v>
      </c>
      <c r="AI3179">
        <v>93.961111663858603</v>
      </c>
      <c r="AJ3179">
        <v>58.345624872750498</v>
      </c>
      <c r="AK3179">
        <v>15.939572010233601</v>
      </c>
    </row>
    <row r="3180" spans="1:37" x14ac:dyDescent="0.2">
      <c r="A3180" t="str">
        <f>"20200111150705920"</f>
        <v>20200111150705920</v>
      </c>
      <c r="B3180" t="str">
        <f>"1578726425909778"</f>
        <v>1578726425909778</v>
      </c>
      <c r="C3180" t="s">
        <v>37</v>
      </c>
      <c r="D3180">
        <v>5.4929800000000002</v>
      </c>
      <c r="E3180">
        <v>0.55225690000000005</v>
      </c>
      <c r="F3180" t="s">
        <v>78</v>
      </c>
      <c r="G3180">
        <v>-181.59299999999999</v>
      </c>
      <c r="H3180" s="1">
        <v>-1.2796799999999999E-5</v>
      </c>
      <c r="I3180">
        <v>154.67959999999999</v>
      </c>
      <c r="J3180">
        <v>-195.92179999999999</v>
      </c>
      <c r="K3180">
        <v>1.099931</v>
      </c>
      <c r="L3180">
        <v>155.06129999999999</v>
      </c>
      <c r="M3180">
        <v>0.86892860000000005</v>
      </c>
      <c r="N3180">
        <v>0</v>
      </c>
      <c r="O3180">
        <v>0.49472359999999999</v>
      </c>
      <c r="P3180">
        <v>0.97797769999999995</v>
      </c>
      <c r="Q3180">
        <v>0.17359340000000001</v>
      </c>
      <c r="R3180">
        <v>0.115865699999999</v>
      </c>
      <c r="S3180">
        <v>3.1188199999999999</v>
      </c>
      <c r="T3180">
        <v>-0.23642579999999999</v>
      </c>
      <c r="U3180">
        <v>-6.1370849999999998E-2</v>
      </c>
      <c r="V3180">
        <v>0.38726240000000001</v>
      </c>
      <c r="W3180">
        <v>0.17818000000000001</v>
      </c>
      <c r="X3180">
        <v>0.90458819999999995</v>
      </c>
      <c r="Y3180">
        <v>0.50899079999999997</v>
      </c>
      <c r="Z3180">
        <v>-5.5443970000000002E-2</v>
      </c>
      <c r="AA3180">
        <v>0.85898449999999904</v>
      </c>
      <c r="AB3180">
        <v>22</v>
      </c>
      <c r="AC3180">
        <v>14.328799999999999</v>
      </c>
      <c r="AD3180">
        <v>-1.0999437968000001</v>
      </c>
      <c r="AE3180">
        <v>-0.38169999999999499</v>
      </c>
      <c r="AF3180">
        <v>7.3778058835211002</v>
      </c>
      <c r="AG3180">
        <v>-1.0999437968000001</v>
      </c>
      <c r="AH3180">
        <v>12.1913755938125</v>
      </c>
      <c r="AI3180">
        <v>94.413862986257897</v>
      </c>
      <c r="AJ3180">
        <v>58.819100112100401</v>
      </c>
      <c r="AK3180">
        <v>14.2923593181968</v>
      </c>
    </row>
    <row r="3181" spans="1:37" x14ac:dyDescent="0.2">
      <c r="A3181" t="str">
        <f>"20200111150705942"</f>
        <v>20200111150705942</v>
      </c>
      <c r="B3181" t="str">
        <f>"1578726425940583"</f>
        <v>1578726425940583</v>
      </c>
      <c r="C3181" t="s">
        <v>37</v>
      </c>
      <c r="D3181">
        <v>5.4146019999999897</v>
      </c>
      <c r="E3181">
        <v>0.55174809999999996</v>
      </c>
      <c r="F3181" t="s">
        <v>78</v>
      </c>
      <c r="G3181">
        <v>-181.99539999999999</v>
      </c>
      <c r="H3181" s="1">
        <v>-1.28071E-5</v>
      </c>
      <c r="I3181">
        <v>154.69589999999999</v>
      </c>
      <c r="J3181">
        <v>-195.71090000000001</v>
      </c>
      <c r="K3181">
        <v>1.0988899999999999</v>
      </c>
      <c r="L3181">
        <v>155.1601</v>
      </c>
      <c r="M3181">
        <v>0.87703940000000002</v>
      </c>
      <c r="N3181">
        <v>0</v>
      </c>
      <c r="O3181">
        <v>0.48020639999999998</v>
      </c>
      <c r="P3181">
        <v>0.978554699999999</v>
      </c>
      <c r="Q3181">
        <v>0.17506150000000001</v>
      </c>
      <c r="R3181">
        <v>0.1085569</v>
      </c>
      <c r="S3181">
        <v>3.1210330000000002</v>
      </c>
      <c r="T3181">
        <v>-0.24650849999999999</v>
      </c>
      <c r="U3181">
        <v>-8.1909179999999998E-2</v>
      </c>
      <c r="V3181">
        <v>0.37893009999999999</v>
      </c>
      <c r="W3181">
        <v>0.17943879999999901</v>
      </c>
      <c r="X3181">
        <v>0.90786209999999901</v>
      </c>
      <c r="Y3181">
        <v>0.50013890000000005</v>
      </c>
      <c r="Z3181">
        <v>-5.6402050000000002E-2</v>
      </c>
      <c r="AA3181">
        <v>0.86410640000000005</v>
      </c>
      <c r="AB3181">
        <v>22</v>
      </c>
      <c r="AC3181">
        <v>13.7155</v>
      </c>
      <c r="AD3181">
        <v>-1.0989028071</v>
      </c>
      <c r="AE3181">
        <v>-0.464200000000005</v>
      </c>
      <c r="AF3181">
        <v>6.9495440239543598</v>
      </c>
      <c r="AG3181">
        <v>-1.0989028071</v>
      </c>
      <c r="AH3181">
        <v>11.732097739420199</v>
      </c>
      <c r="AI3181">
        <v>94.607442910479605</v>
      </c>
      <c r="AJ3181">
        <v>59.359490315765399</v>
      </c>
      <c r="AK3181">
        <v>13.6801267131427</v>
      </c>
    </row>
    <row r="3182" spans="1:37" x14ac:dyDescent="0.2">
      <c r="A3182" t="str">
        <f>"20200111150705965"</f>
        <v>20200111150705965</v>
      </c>
      <c r="B3182" t="str">
        <f>"1578726425960103"</f>
        <v>1578726425960103</v>
      </c>
      <c r="C3182" t="s">
        <v>37</v>
      </c>
      <c r="D3182">
        <v>5.459714</v>
      </c>
      <c r="E3182">
        <v>0.55157219999999996</v>
      </c>
      <c r="F3182" t="s">
        <v>78</v>
      </c>
      <c r="G3182">
        <v>-182.17169999999999</v>
      </c>
      <c r="H3182" s="1">
        <v>-1.2816539999999999E-5</v>
      </c>
      <c r="I3182">
        <v>154.7141</v>
      </c>
      <c r="J3182">
        <v>-195.4984</v>
      </c>
      <c r="K3182">
        <v>1.098012</v>
      </c>
      <c r="L3182">
        <v>155.25530000000001</v>
      </c>
      <c r="M3182">
        <v>0.88485519999999995</v>
      </c>
      <c r="N3182">
        <v>0</v>
      </c>
      <c r="O3182">
        <v>0.46565519999999999</v>
      </c>
      <c r="P3182">
        <v>0.97921579999999997</v>
      </c>
      <c r="Q3182">
        <v>0.17709449999999999</v>
      </c>
      <c r="R3182">
        <v>9.886375E-2</v>
      </c>
      <c r="S3182">
        <v>3.12249799999999</v>
      </c>
      <c r="T3182">
        <v>-0.25343569999999999</v>
      </c>
      <c r="U3182">
        <v>-0.10285950000000001</v>
      </c>
      <c r="V3182">
        <v>0.372838</v>
      </c>
      <c r="W3182">
        <v>0.18127360000000001</v>
      </c>
      <c r="X3182">
        <v>0.91001739999999998</v>
      </c>
      <c r="Y3182">
        <v>0.49152099999999999</v>
      </c>
      <c r="Z3182">
        <v>-5.6554029999999998E-2</v>
      </c>
      <c r="AA3182">
        <v>0.86902749999999995</v>
      </c>
      <c r="AB3182">
        <v>22</v>
      </c>
      <c r="AC3182">
        <v>13.326700000000001</v>
      </c>
      <c r="AD3182">
        <v>-1.0980248165399999</v>
      </c>
      <c r="AE3182">
        <v>-0.54120000000000301</v>
      </c>
      <c r="AF3182">
        <v>6.6401844546903801</v>
      </c>
      <c r="AG3182">
        <v>-1.0980248165399999</v>
      </c>
      <c r="AH3182">
        <v>11.463627601752799</v>
      </c>
      <c r="AI3182">
        <v>94.7380133397766</v>
      </c>
      <c r="AJ3182">
        <v>59.918888183791097</v>
      </c>
      <c r="AK3182">
        <v>13.2933241095566</v>
      </c>
    </row>
    <row r="3183" spans="1:37" x14ac:dyDescent="0.2">
      <c r="A3183" t="str">
        <f>"20200111150705987"</f>
        <v>20200111150705987</v>
      </c>
      <c r="B3183" t="str">
        <f>"1578726425980598"</f>
        <v>1578726425980598</v>
      </c>
      <c r="C3183" t="s">
        <v>37</v>
      </c>
      <c r="D3183">
        <v>5.4558460000000002</v>
      </c>
      <c r="E3183">
        <v>0.55135829999999997</v>
      </c>
      <c r="F3183" t="s">
        <v>78</v>
      </c>
      <c r="G3183">
        <v>-181.96099999999899</v>
      </c>
      <c r="H3183" s="1">
        <v>-1.2801789999999999E-5</v>
      </c>
      <c r="I3183">
        <v>154.68450000000001</v>
      </c>
      <c r="J3183">
        <v>-195.28479999999999</v>
      </c>
      <c r="K3183">
        <v>1.0972869999999999</v>
      </c>
      <c r="L3183">
        <v>155.34690000000001</v>
      </c>
      <c r="M3183">
        <v>0.89238399999999996</v>
      </c>
      <c r="N3183">
        <v>0</v>
      </c>
      <c r="O3183">
        <v>0.45106570000000001</v>
      </c>
      <c r="P3183">
        <v>0.97993839999999999</v>
      </c>
      <c r="Q3183">
        <v>0.17928859999999999</v>
      </c>
      <c r="R3183">
        <v>8.7041999999999994E-2</v>
      </c>
      <c r="S3183">
        <v>3.1227719999999999</v>
      </c>
      <c r="T3183">
        <v>-0.25328899999999999</v>
      </c>
      <c r="U3183">
        <v>-0.131683299999999</v>
      </c>
      <c r="V3183">
        <v>0.36878030000000001</v>
      </c>
      <c r="W3183">
        <v>0.18327650000000001</v>
      </c>
      <c r="X3183">
        <v>0.91126879999999999</v>
      </c>
      <c r="Y3183">
        <v>0.48530879999999998</v>
      </c>
      <c r="Z3183">
        <v>-5.5202069999999999E-2</v>
      </c>
      <c r="AA3183">
        <v>0.87259850000000005</v>
      </c>
      <c r="AB3183">
        <v>22</v>
      </c>
      <c r="AC3183">
        <v>13.3238</v>
      </c>
      <c r="AD3183">
        <v>-1.09729980179</v>
      </c>
      <c r="AE3183">
        <v>-0.662399999999991</v>
      </c>
      <c r="AF3183">
        <v>6.55728765660119</v>
      </c>
      <c r="AG3183">
        <v>-1.09729980179</v>
      </c>
      <c r="AH3183">
        <v>11.514359993447</v>
      </c>
      <c r="AI3183">
        <v>94.733936618785194</v>
      </c>
      <c r="AJ3183">
        <v>60.339014541973299</v>
      </c>
      <c r="AK3183">
        <v>13.295960827451101</v>
      </c>
    </row>
    <row r="3184" spans="1:37" x14ac:dyDescent="0.2">
      <c r="A3184" t="str">
        <f>"20200111150706010"</f>
        <v>20200111150706010</v>
      </c>
      <c r="B3184" t="str">
        <f>"1578726426000118"</f>
        <v>1578726426000118</v>
      </c>
      <c r="C3184" t="s">
        <v>37</v>
      </c>
      <c r="D3184">
        <v>5.4386950000000001</v>
      </c>
      <c r="E3184">
        <v>0.55110630000000005</v>
      </c>
      <c r="F3184" t="s">
        <v>78</v>
      </c>
      <c r="G3184">
        <v>-181.59399999999999</v>
      </c>
      <c r="H3184" s="1">
        <v>-1.2768369999999999E-5</v>
      </c>
      <c r="I3184">
        <v>154.6155</v>
      </c>
      <c r="J3184">
        <v>-195.07320000000001</v>
      </c>
      <c r="K3184">
        <v>1.0966830000000001</v>
      </c>
      <c r="L3184">
        <v>155.43350000000001</v>
      </c>
      <c r="M3184">
        <v>0.89954029999999996</v>
      </c>
      <c r="N3184">
        <v>0</v>
      </c>
      <c r="O3184">
        <v>0.4366255</v>
      </c>
      <c r="P3184">
        <v>0.98065740000000001</v>
      </c>
      <c r="Q3184">
        <v>0.18075759999999999</v>
      </c>
      <c r="R3184">
        <v>7.5086589999999995E-2</v>
      </c>
      <c r="S3184">
        <v>3.1220089999999998</v>
      </c>
      <c r="T3184">
        <v>-0.25022529999999998</v>
      </c>
      <c r="U3184">
        <v>-0.1667786</v>
      </c>
      <c r="V3184">
        <v>0.36514259999999998</v>
      </c>
      <c r="W3184">
        <v>0.1846043</v>
      </c>
      <c r="X3184">
        <v>0.91246489999999902</v>
      </c>
      <c r="Y3184">
        <v>0.48115580000000002</v>
      </c>
      <c r="Z3184">
        <v>-5.3332949999999997E-2</v>
      </c>
      <c r="AA3184">
        <v>0.87501130000000005</v>
      </c>
      <c r="AB3184">
        <v>22</v>
      </c>
      <c r="AC3184">
        <v>13.479199999999899</v>
      </c>
      <c r="AD3184">
        <v>-1.09669576837</v>
      </c>
      <c r="AE3184">
        <v>-0.81800000000001205</v>
      </c>
      <c r="AF3184">
        <v>6.57841243669432</v>
      </c>
      <c r="AG3184">
        <v>-1.09669576837</v>
      </c>
      <c r="AH3184">
        <v>11.691901201641</v>
      </c>
      <c r="AI3184">
        <v>94.673441202404604</v>
      </c>
      <c r="AJ3184">
        <v>60.635851374389901</v>
      </c>
      <c r="AK3184">
        <v>13.460267660954999</v>
      </c>
    </row>
    <row r="3185" spans="1:37" x14ac:dyDescent="0.2">
      <c r="A3185" t="str">
        <f>"20200111150706032"</f>
        <v>20200111150706032</v>
      </c>
      <c r="B3185" t="str">
        <f>"1578726426020418"</f>
        <v>1578726426020418</v>
      </c>
      <c r="C3185" t="s">
        <v>37</v>
      </c>
      <c r="D3185">
        <v>5.400563</v>
      </c>
      <c r="E3185">
        <v>0.55110340000000002</v>
      </c>
      <c r="F3185" t="s">
        <v>78</v>
      </c>
      <c r="G3185">
        <v>-181.71459999999999</v>
      </c>
      <c r="H3185" s="1">
        <v>-1.2746819999999999E-5</v>
      </c>
      <c r="I3185">
        <v>154.56319999999999</v>
      </c>
      <c r="J3185">
        <v>-194.86609999999999</v>
      </c>
      <c r="K3185">
        <v>1.0961879999999999</v>
      </c>
      <c r="L3185">
        <v>155.51439999999999</v>
      </c>
      <c r="M3185">
        <v>0.90627060000000004</v>
      </c>
      <c r="N3185">
        <v>0</v>
      </c>
      <c r="O3185">
        <v>0.42248379999999902</v>
      </c>
      <c r="P3185">
        <v>0.98140740000000004</v>
      </c>
      <c r="Q3185">
        <v>0.18130969999999999</v>
      </c>
      <c r="R3185">
        <v>6.2979880000000002E-2</v>
      </c>
      <c r="S3185">
        <v>3.1219790000000001</v>
      </c>
      <c r="T3185">
        <v>-0.25630380000000003</v>
      </c>
      <c r="U3185">
        <v>-0.20339969999999999</v>
      </c>
      <c r="V3185">
        <v>0.36209459999999999</v>
      </c>
      <c r="W3185">
        <v>0.18504909999999999</v>
      </c>
      <c r="X3185">
        <v>0.91358869999999903</v>
      </c>
      <c r="Y3185">
        <v>0.47758620000000002</v>
      </c>
      <c r="Z3185">
        <v>-5.3411670000000001E-2</v>
      </c>
      <c r="AA3185">
        <v>0.87695990000000001</v>
      </c>
      <c r="AB3185">
        <v>22</v>
      </c>
      <c r="AC3185">
        <v>13.1515</v>
      </c>
      <c r="AD3185">
        <v>-1.0962007468199999</v>
      </c>
      <c r="AE3185">
        <v>-0.95120000000000005</v>
      </c>
      <c r="AF3185">
        <v>6.3748623653882399</v>
      </c>
      <c r="AG3185">
        <v>-1.0962007468199999</v>
      </c>
      <c r="AH3185">
        <v>11.4389352201409</v>
      </c>
      <c r="AI3185">
        <v>94.785026939466405</v>
      </c>
      <c r="AJ3185">
        <v>60.869291023947603</v>
      </c>
      <c r="AK3185">
        <v>13.1411477895027</v>
      </c>
    </row>
    <row r="3186" spans="1:37" x14ac:dyDescent="0.2">
      <c r="A3186" t="str">
        <f>"20200111150706055"</f>
        <v>20200111150706055</v>
      </c>
      <c r="B3186" t="str">
        <f>"1578726426050674"</f>
        <v>1578726426050674</v>
      </c>
      <c r="C3186" t="s">
        <v>37</v>
      </c>
      <c r="D3186">
        <v>5.4203679999999999</v>
      </c>
      <c r="E3186">
        <v>0.54322309999999996</v>
      </c>
      <c r="F3186" t="s">
        <v>78</v>
      </c>
      <c r="G3186">
        <v>-181.55340000000001</v>
      </c>
      <c r="H3186" s="1">
        <v>-1.270895E-5</v>
      </c>
      <c r="I3186">
        <v>154.4778</v>
      </c>
      <c r="J3186">
        <v>-194.6482</v>
      </c>
      <c r="K3186">
        <v>1.09575</v>
      </c>
      <c r="L3186">
        <v>155.59530000000001</v>
      </c>
      <c r="M3186">
        <v>0.91307499999999997</v>
      </c>
      <c r="N3186">
        <v>0</v>
      </c>
      <c r="O3186">
        <v>0.4075744</v>
      </c>
      <c r="P3186">
        <v>0.98209480000000005</v>
      </c>
      <c r="Q3186">
        <v>0.18182509999999999</v>
      </c>
      <c r="R3186">
        <v>4.92924E-2</v>
      </c>
      <c r="S3186">
        <v>3.1198730000000001</v>
      </c>
      <c r="T3186">
        <v>-0.25689639999999903</v>
      </c>
      <c r="U3186">
        <v>-0.24293519999999999</v>
      </c>
      <c r="V3186">
        <v>0.35984240000000001</v>
      </c>
      <c r="W3186">
        <v>0.1854595</v>
      </c>
      <c r="X3186">
        <v>0.91439499999999996</v>
      </c>
      <c r="Y3186">
        <v>0.47434209999999899</v>
      </c>
      <c r="Z3186">
        <v>-5.2295729999999999E-2</v>
      </c>
      <c r="AA3186">
        <v>0.87878599999999996</v>
      </c>
      <c r="AB3186">
        <v>22</v>
      </c>
      <c r="AC3186">
        <v>13.0947999999999</v>
      </c>
      <c r="AD3186">
        <v>-1.0957627089499999</v>
      </c>
      <c r="AE3186">
        <v>-1.1174999999999999</v>
      </c>
      <c r="AF3186">
        <v>6.3141365008966002</v>
      </c>
      <c r="AG3186">
        <v>-1.0957627089499999</v>
      </c>
      <c r="AH3186">
        <v>11.422683215377999</v>
      </c>
      <c r="AI3186">
        <v>94.799056711655197</v>
      </c>
      <c r="AJ3186">
        <v>61.067422584597097</v>
      </c>
      <c r="AK3186">
        <v>13.0975840331398</v>
      </c>
    </row>
    <row r="3187" spans="1:37" x14ac:dyDescent="0.2">
      <c r="A3187" t="str">
        <f>"20200111150706077"</f>
        <v>20200111150706077</v>
      </c>
      <c r="B3187" t="str">
        <f>"1578726426070194"</f>
        <v>1578726426070194</v>
      </c>
      <c r="C3187" t="s">
        <v>37</v>
      </c>
      <c r="D3187">
        <v>5.3609830000000001</v>
      </c>
      <c r="E3187">
        <v>0.54407249999999996</v>
      </c>
      <c r="F3187" t="s">
        <v>39</v>
      </c>
      <c r="G3187">
        <v>-148.99590000000001</v>
      </c>
      <c r="H3187">
        <v>7.9986680000000004E-2</v>
      </c>
      <c r="I3187">
        <v>152.37209999999999</v>
      </c>
      <c r="J3187">
        <v>-194.43</v>
      </c>
      <c r="K3187">
        <v>1.0953850000000001</v>
      </c>
      <c r="L3187">
        <v>155.67230000000001</v>
      </c>
      <c r="M3187">
        <v>0.91960789999999903</v>
      </c>
      <c r="N3187">
        <v>0</v>
      </c>
      <c r="O3187">
        <v>0.39261590000000002</v>
      </c>
      <c r="P3187">
        <v>0.982763099999999</v>
      </c>
      <c r="Q3187">
        <v>0.18121899999999999</v>
      </c>
      <c r="R3187">
        <v>3.655804E-2</v>
      </c>
      <c r="S3187">
        <v>3.0782780000000001</v>
      </c>
      <c r="T3187">
        <v>-6.8491699999999905E-2</v>
      </c>
      <c r="U3187">
        <v>-0.21733089999999899</v>
      </c>
      <c r="V3187">
        <v>0.35680299999999998</v>
      </c>
      <c r="W3187">
        <v>0.18480070000000001</v>
      </c>
      <c r="X3187">
        <v>0.91571849999999999</v>
      </c>
      <c r="Y3187">
        <v>0.4562387</v>
      </c>
      <c r="Z3187">
        <v>-1.364109E-2</v>
      </c>
      <c r="AA3187">
        <v>0.88975289999999996</v>
      </c>
      <c r="AB3187">
        <v>22</v>
      </c>
      <c r="AC3187">
        <v>45.434100000000001</v>
      </c>
      <c r="AD3187">
        <v>-1.0153983200000001</v>
      </c>
      <c r="AE3187">
        <v>-3.30020000000001</v>
      </c>
      <c r="AF3187">
        <v>20.864490444493899</v>
      </c>
      <c r="AG3187">
        <v>-1.0153983200000001</v>
      </c>
      <c r="AH3187">
        <v>40.4692632701557</v>
      </c>
      <c r="AI3187">
        <v>91.277550857302401</v>
      </c>
      <c r="AJ3187">
        <v>62.726003041329001</v>
      </c>
      <c r="AK3187">
        <v>45.542499545872701</v>
      </c>
    </row>
    <row r="3188" spans="1:37" x14ac:dyDescent="0.2">
      <c r="A3188" t="str">
        <f>"20200111150706110"</f>
        <v>20200111150706110</v>
      </c>
      <c r="B3188" t="str">
        <f>"1578726426100452"</f>
        <v>1578726426100452</v>
      </c>
      <c r="C3188" t="s">
        <v>37</v>
      </c>
      <c r="D3188">
        <v>5.2886280000000001</v>
      </c>
      <c r="E3188">
        <v>0.59869469999999902</v>
      </c>
      <c r="F3188" t="s">
        <v>39</v>
      </c>
      <c r="G3188">
        <v>-152.4718</v>
      </c>
      <c r="H3188">
        <v>7.9986210000000002E-2</v>
      </c>
      <c r="I3188">
        <v>152.07599999999999</v>
      </c>
      <c r="J3188">
        <v>-194.10159999999999</v>
      </c>
      <c r="K3188">
        <v>1.0949439999999999</v>
      </c>
      <c r="L3188">
        <v>155.7809</v>
      </c>
      <c r="M3188">
        <v>0.92893009999999998</v>
      </c>
      <c r="N3188">
        <v>0</v>
      </c>
      <c r="O3188">
        <v>0.37002550000000001</v>
      </c>
      <c r="P3188">
        <v>0.98371339999999996</v>
      </c>
      <c r="Q3188">
        <v>0.17925829999999901</v>
      </c>
      <c r="R3188">
        <v>1.322627E-2</v>
      </c>
      <c r="S3188">
        <v>3.0761569999999998</v>
      </c>
      <c r="T3188">
        <v>-7.4443700000000002E-2</v>
      </c>
      <c r="U3188">
        <v>-0.26365659999999902</v>
      </c>
      <c r="V3188">
        <v>0.3562553</v>
      </c>
      <c r="W3188">
        <v>0.18268389999999901</v>
      </c>
      <c r="X3188">
        <v>0.91635630000000001</v>
      </c>
      <c r="Y3188">
        <v>0.44780379999999997</v>
      </c>
      <c r="Z3188">
        <v>-1.4216680000000001E-2</v>
      </c>
      <c r="AA3188">
        <v>0.8940188</v>
      </c>
      <c r="AB3188">
        <v>22</v>
      </c>
      <c r="AC3188">
        <v>41.629799999999904</v>
      </c>
      <c r="AD3188">
        <v>-1.01495779</v>
      </c>
      <c r="AE3188">
        <v>-3.7048999999999999</v>
      </c>
      <c r="AF3188">
        <v>18.836174303324</v>
      </c>
      <c r="AG3188">
        <v>-1.01495779</v>
      </c>
      <c r="AH3188">
        <v>37.281451314923601</v>
      </c>
      <c r="AI3188">
        <v>91.3919504493972</v>
      </c>
      <c r="AJ3188">
        <v>63.195153794888803</v>
      </c>
      <c r="AK3188">
        <v>41.7820321890607</v>
      </c>
    </row>
    <row r="3189" spans="1:37" x14ac:dyDescent="0.2">
      <c r="A3189" t="str">
        <f>"20200111150706132"</f>
        <v>20200111150706132</v>
      </c>
      <c r="B3189" t="str">
        <f>"1578726426129730"</f>
        <v>1578726426129730</v>
      </c>
      <c r="C3189" t="s">
        <v>37</v>
      </c>
      <c r="D3189">
        <v>5.278937</v>
      </c>
      <c r="E3189">
        <v>0.69349680000000002</v>
      </c>
      <c r="F3189" t="s">
        <v>39</v>
      </c>
      <c r="G3189">
        <v>-154.04060000000001</v>
      </c>
      <c r="H3189" s="1">
        <v>-3.9850839999999997E-6</v>
      </c>
      <c r="I3189">
        <v>145.7278</v>
      </c>
      <c r="J3189">
        <v>-193.88130000000001</v>
      </c>
      <c r="K3189">
        <v>1.094719</v>
      </c>
      <c r="L3189">
        <v>155.84880000000001</v>
      </c>
      <c r="M3189">
        <v>0.93484369999999894</v>
      </c>
      <c r="N3189">
        <v>0</v>
      </c>
      <c r="O3189">
        <v>0.35482279999999999</v>
      </c>
      <c r="P3189">
        <v>0.98382389999999997</v>
      </c>
      <c r="Q3189">
        <v>0.1791277</v>
      </c>
      <c r="R3189">
        <v>-1.9491059999999999E-3</v>
      </c>
      <c r="S3189">
        <v>3.07537799999999</v>
      </c>
      <c r="T3189">
        <v>-8.405638E-2</v>
      </c>
      <c r="U3189">
        <v>-0.77174379999999998</v>
      </c>
      <c r="V3189">
        <v>0.35545470000000001</v>
      </c>
      <c r="W3189">
        <v>0.18247769999999999</v>
      </c>
      <c r="X3189">
        <v>0.91670819999999997</v>
      </c>
      <c r="Y3189">
        <v>0.5714089</v>
      </c>
      <c r="Z3189">
        <v>-1.7183730000000001E-2</v>
      </c>
      <c r="AA3189">
        <v>0.82048559999999904</v>
      </c>
      <c r="AB3189">
        <v>22</v>
      </c>
      <c r="AC3189">
        <v>39.840699999999998</v>
      </c>
      <c r="AD3189">
        <v>-1.0947229850839999</v>
      </c>
      <c r="AE3189">
        <v>-10.121</v>
      </c>
      <c r="AF3189">
        <v>23.583198524550902</v>
      </c>
      <c r="AG3189">
        <v>-1.0947229850839999</v>
      </c>
      <c r="AH3189">
        <v>33.632640031851302</v>
      </c>
      <c r="AI3189">
        <v>91.5265995575364</v>
      </c>
      <c r="AJ3189">
        <v>54.961871455765603</v>
      </c>
      <c r="AK3189">
        <v>41.0916067655494</v>
      </c>
    </row>
    <row r="3190" spans="1:37" x14ac:dyDescent="0.2">
      <c r="A3190" t="str">
        <f>"20200111150706156"</f>
        <v>20200111150706156</v>
      </c>
      <c r="B3190" t="str">
        <f>"1578726426150226"</f>
        <v>1578726426150226</v>
      </c>
      <c r="C3190" t="s">
        <v>37</v>
      </c>
      <c r="D3190">
        <v>5.1799480000000004</v>
      </c>
      <c r="E3190">
        <v>0.69027050000000001</v>
      </c>
      <c r="F3190" t="s">
        <v>78</v>
      </c>
      <c r="G3190">
        <v>-170.7475</v>
      </c>
      <c r="H3190" s="1">
        <v>-5.3530880000000001E-6</v>
      </c>
      <c r="I3190">
        <v>143.95529999999999</v>
      </c>
      <c r="J3190">
        <v>-193.65599999999901</v>
      </c>
      <c r="K3190">
        <v>1.094516</v>
      </c>
      <c r="L3190">
        <v>155.91399999999999</v>
      </c>
      <c r="M3190">
        <v>0.94061430000000001</v>
      </c>
      <c r="N3190">
        <v>0</v>
      </c>
      <c r="O3190">
        <v>0.33923219999999998</v>
      </c>
      <c r="P3190">
        <v>0.98356149999999998</v>
      </c>
      <c r="Q3190">
        <v>0.17969560000000001</v>
      </c>
      <c r="R3190">
        <v>-1.7786679999999999E-2</v>
      </c>
      <c r="S3190">
        <v>3.0726619999999998</v>
      </c>
      <c r="T3190">
        <v>-0.1454027</v>
      </c>
      <c r="U3190">
        <v>-1.579712</v>
      </c>
      <c r="V3190">
        <v>0.35496100000000003</v>
      </c>
      <c r="W3190">
        <v>0.1829662</v>
      </c>
      <c r="X3190">
        <v>0.91680209999999995</v>
      </c>
      <c r="Y3190">
        <v>0.73085080000000002</v>
      </c>
      <c r="Z3190">
        <v>-3.1471399999999997E-2</v>
      </c>
      <c r="AA3190">
        <v>0.68181130000000001</v>
      </c>
      <c r="AB3190">
        <v>22</v>
      </c>
      <c r="AC3190">
        <v>22.908499999999901</v>
      </c>
      <c r="AD3190">
        <v>-1.094521353088</v>
      </c>
      <c r="AE3190">
        <v>-11.958699999999901</v>
      </c>
      <c r="AF3190">
        <v>18.987345137678702</v>
      </c>
      <c r="AG3190">
        <v>-1.094521353088</v>
      </c>
      <c r="AH3190">
        <v>17.461416904312301</v>
      </c>
      <c r="AI3190">
        <v>92.429620305268003</v>
      </c>
      <c r="AJ3190">
        <v>42.602710822988598</v>
      </c>
      <c r="AK3190">
        <v>25.818952974044102</v>
      </c>
    </row>
    <row r="3191" spans="1:37" x14ac:dyDescent="0.2">
      <c r="A3191" t="str">
        <f>"20200111150706179"</f>
        <v>20200111150706179</v>
      </c>
      <c r="B3191" t="str">
        <f>"1578726426170722"</f>
        <v>1578726426170722</v>
      </c>
      <c r="C3191" t="s">
        <v>37</v>
      </c>
      <c r="D3191">
        <v>5.2563639999999996</v>
      </c>
      <c r="E3191">
        <v>0.66468780000000005</v>
      </c>
      <c r="F3191" t="s">
        <v>78</v>
      </c>
      <c r="G3191">
        <v>-170.73589999999999</v>
      </c>
      <c r="H3191" s="1">
        <v>-5.3145380000000003E-6</v>
      </c>
      <c r="I3191">
        <v>143.85210000000001</v>
      </c>
      <c r="J3191">
        <v>-193.41890000000001</v>
      </c>
      <c r="K3191">
        <v>1.094333</v>
      </c>
      <c r="L3191">
        <v>155.97829999999999</v>
      </c>
      <c r="M3191">
        <v>0.94638929999999999</v>
      </c>
      <c r="N3191">
        <v>0</v>
      </c>
      <c r="O3191">
        <v>0.3227737</v>
      </c>
      <c r="P3191">
        <v>0.98314919999999995</v>
      </c>
      <c r="Q3191">
        <v>0.17962829999999999</v>
      </c>
      <c r="R3191">
        <v>-3.3929519999999998E-2</v>
      </c>
      <c r="S3191">
        <v>3.047714</v>
      </c>
      <c r="T3191">
        <v>-0.14553959999999999</v>
      </c>
      <c r="U3191">
        <v>-1.603882</v>
      </c>
      <c r="V3191">
        <v>0.35403370000000001</v>
      </c>
      <c r="W3191">
        <v>0.18283629999999901</v>
      </c>
      <c r="X3191">
        <v>0.91718639999999996</v>
      </c>
      <c r="Y3191">
        <v>0.72546330000000003</v>
      </c>
      <c r="Z3191">
        <v>-3.0825169999999999E-2</v>
      </c>
      <c r="AA3191">
        <v>0.68757019999999902</v>
      </c>
      <c r="AB3191">
        <v>22</v>
      </c>
      <c r="AC3191">
        <v>22.683</v>
      </c>
      <c r="AD3191">
        <v>-1.0943383145379999</v>
      </c>
      <c r="AE3191">
        <v>-12.1261999999999</v>
      </c>
      <c r="AF3191">
        <v>18.765158309939299</v>
      </c>
      <c r="AG3191">
        <v>-1.0943383145379999</v>
      </c>
      <c r="AH3191">
        <v>17.522653461309002</v>
      </c>
      <c r="AI3191">
        <v>92.440682133685797</v>
      </c>
      <c r="AJ3191">
        <v>43.038942585826803</v>
      </c>
      <c r="AK3191">
        <v>25.697706649988799</v>
      </c>
    </row>
    <row r="3192" spans="1:37" x14ac:dyDescent="0.2">
      <c r="A3192" t="str">
        <f>"20200111150706201"</f>
        <v>20200111150706201</v>
      </c>
      <c r="B3192" t="str">
        <f>"1578726426190242"</f>
        <v>1578726426190242</v>
      </c>
      <c r="C3192" t="s">
        <v>37</v>
      </c>
      <c r="D3192">
        <v>5.1952499999999997</v>
      </c>
      <c r="E3192">
        <v>0.67043109999999995</v>
      </c>
      <c r="F3192" t="s">
        <v>115</v>
      </c>
      <c r="G3192">
        <v>-102.19750000000001</v>
      </c>
      <c r="H3192">
        <v>2.700685</v>
      </c>
      <c r="I3192">
        <v>112.10299999999999</v>
      </c>
      <c r="J3192">
        <v>-193.18690000000001</v>
      </c>
      <c r="K3192">
        <v>1.094177</v>
      </c>
      <c r="L3192">
        <v>156.03700000000001</v>
      </c>
      <c r="M3192">
        <v>0.95174360000000002</v>
      </c>
      <c r="N3192">
        <v>0</v>
      </c>
      <c r="O3192">
        <v>0.30662859999999997</v>
      </c>
      <c r="P3192">
        <v>0.98234249999999901</v>
      </c>
      <c r="Q3192">
        <v>0.1807243</v>
      </c>
      <c r="R3192">
        <v>-4.8395929999999997E-2</v>
      </c>
      <c r="S3192">
        <v>2.992111</v>
      </c>
      <c r="T3192">
        <v>5.2689189999999997E-2</v>
      </c>
      <c r="U3192">
        <v>-1.439133</v>
      </c>
      <c r="V3192">
        <v>0.35190559999999999</v>
      </c>
      <c r="W3192">
        <v>0.18391160000000001</v>
      </c>
      <c r="X3192">
        <v>0.9177902</v>
      </c>
      <c r="Y3192">
        <v>0.68878329999999999</v>
      </c>
      <c r="Z3192">
        <v>1.089742E-2</v>
      </c>
      <c r="AA3192">
        <v>0.72488529999999995</v>
      </c>
      <c r="AB3192">
        <v>23</v>
      </c>
      <c r="AC3192">
        <v>90.989400000000003</v>
      </c>
      <c r="AD3192">
        <v>1.606508</v>
      </c>
      <c r="AE3192">
        <v>-43.933999999999997</v>
      </c>
      <c r="AF3192">
        <v>69.701918376200894</v>
      </c>
      <c r="AG3192">
        <v>1.606508</v>
      </c>
      <c r="AH3192">
        <v>73.114636453815606</v>
      </c>
      <c r="AI3192">
        <v>89.088867785556104</v>
      </c>
      <c r="AJ3192">
        <v>46.368868883149403</v>
      </c>
      <c r="AK3192">
        <v>101.028156258788</v>
      </c>
    </row>
    <row r="3193" spans="1:37" x14ac:dyDescent="0.2">
      <c r="A3193" t="str">
        <f>"20200111150706223"</f>
        <v>20200111150706223</v>
      </c>
      <c r="B3193" t="str">
        <f>"1578726426220498"</f>
        <v>1578726426220498</v>
      </c>
      <c r="C3193" t="s">
        <v>37</v>
      </c>
      <c r="D3193">
        <v>5.2356339999999904</v>
      </c>
      <c r="E3193">
        <v>0.67018880000000003</v>
      </c>
      <c r="F3193" t="s">
        <v>79</v>
      </c>
      <c r="G3193">
        <v>-120.8685</v>
      </c>
      <c r="H3193">
        <v>0.28606989999999999</v>
      </c>
      <c r="I3193">
        <v>118.8828</v>
      </c>
      <c r="J3193">
        <v>-192.96870000000001</v>
      </c>
      <c r="K3193">
        <v>1.0940529999999999</v>
      </c>
      <c r="L3193">
        <v>156.08840000000001</v>
      </c>
      <c r="M3193">
        <v>0.95651469999999905</v>
      </c>
      <c r="N3193">
        <v>0</v>
      </c>
      <c r="O3193">
        <v>0.29140650000000001</v>
      </c>
      <c r="P3193">
        <v>0.98141520000000004</v>
      </c>
      <c r="Q3193">
        <v>0.18200379999999899</v>
      </c>
      <c r="R3193">
        <v>-6.0819110000000003E-2</v>
      </c>
      <c r="S3193">
        <v>2.9845280000000001</v>
      </c>
      <c r="T3193">
        <v>-3.3349629999999998E-2</v>
      </c>
      <c r="U3193">
        <v>-1.533325</v>
      </c>
      <c r="V3193">
        <v>0.34884320000000002</v>
      </c>
      <c r="W3193">
        <v>0.18520880000000001</v>
      </c>
      <c r="X3193">
        <v>0.91869809999999996</v>
      </c>
      <c r="Y3193">
        <v>0.69631080000000001</v>
      </c>
      <c r="Z3193">
        <v>-6.75062699999999E-3</v>
      </c>
      <c r="AA3193">
        <v>0.71770859999999903</v>
      </c>
      <c r="AB3193">
        <v>23</v>
      </c>
      <c r="AC3193">
        <v>72.100200000000001</v>
      </c>
      <c r="AD3193">
        <v>-0.80798309999999995</v>
      </c>
      <c r="AE3193">
        <v>-37.205599999999997</v>
      </c>
      <c r="AF3193">
        <v>56.597138875412497</v>
      </c>
      <c r="AG3193">
        <v>-0.80798309999999995</v>
      </c>
      <c r="AH3193">
        <v>58.121888332593002</v>
      </c>
      <c r="AI3193">
        <v>90.5706262361104</v>
      </c>
      <c r="AJ3193">
        <v>45.761482790490803</v>
      </c>
      <c r="AK3193">
        <v>81.129790267934396</v>
      </c>
    </row>
    <row r="3194" spans="1:37" x14ac:dyDescent="0.2">
      <c r="A3194" t="str">
        <f>"20200111150706247"</f>
        <v>20200111150706247</v>
      </c>
      <c r="B3194" t="str">
        <f>"1578726426240018"</f>
        <v>1578726426240018</v>
      </c>
      <c r="C3194" t="s">
        <v>37</v>
      </c>
      <c r="D3194">
        <v>5.2610460000000003</v>
      </c>
      <c r="E3194">
        <v>0.6692304</v>
      </c>
      <c r="F3194" t="s">
        <v>39</v>
      </c>
      <c r="G3194">
        <v>-152.18870000000001</v>
      </c>
      <c r="H3194" s="1">
        <v>-4.2336399999999998E-6</v>
      </c>
      <c r="I3194">
        <v>134.54069999999999</v>
      </c>
      <c r="J3194">
        <v>-192.71860000000001</v>
      </c>
      <c r="K3194">
        <v>1.093923</v>
      </c>
      <c r="L3194">
        <v>156.143</v>
      </c>
      <c r="M3194">
        <v>0.96167009999999897</v>
      </c>
      <c r="N3194">
        <v>0</v>
      </c>
      <c r="O3194">
        <v>0.27391559999999998</v>
      </c>
      <c r="P3194">
        <v>0.98020859999999999</v>
      </c>
      <c r="Q3194">
        <v>0.18280779999999999</v>
      </c>
      <c r="R3194">
        <v>-7.5976409999999994E-2</v>
      </c>
      <c r="S3194">
        <v>2.9742130000000002</v>
      </c>
      <c r="T3194">
        <v>-7.9792859999999993E-2</v>
      </c>
      <c r="U3194">
        <v>-1.5715330000000001</v>
      </c>
      <c r="V3194">
        <v>0.34627390000000002</v>
      </c>
      <c r="W3194">
        <v>0.18601429999999999</v>
      </c>
      <c r="X3194">
        <v>0.91950699999999996</v>
      </c>
      <c r="Y3194">
        <v>0.69123349999999995</v>
      </c>
      <c r="Z3194">
        <v>-1.565132E-2</v>
      </c>
      <c r="AA3194">
        <v>0.72246189999999999</v>
      </c>
      <c r="AB3194">
        <v>23</v>
      </c>
      <c r="AC3194">
        <v>40.529899999999998</v>
      </c>
      <c r="AD3194">
        <v>-1.0939272336399899</v>
      </c>
      <c r="AE3194">
        <v>-21.6023</v>
      </c>
      <c r="AF3194">
        <v>31.8605467401221</v>
      </c>
      <c r="AG3194">
        <v>-1.0939272336399899</v>
      </c>
      <c r="AH3194">
        <v>33.043099163211103</v>
      </c>
      <c r="AI3194">
        <v>91.365220164651802</v>
      </c>
      <c r="AJ3194">
        <v>46.043820663836698</v>
      </c>
      <c r="AK3194">
        <v>45.914458699649401</v>
      </c>
    </row>
    <row r="3195" spans="1:37" x14ac:dyDescent="0.2">
      <c r="A3195" t="str">
        <f>"20200111150706268"</f>
        <v>20200111150706268</v>
      </c>
      <c r="B3195" t="str">
        <f>"1578726426260513"</f>
        <v>1578726426260513</v>
      </c>
      <c r="C3195" t="s">
        <v>37</v>
      </c>
      <c r="D3195">
        <v>5.233727</v>
      </c>
      <c r="E3195">
        <v>0.66881800000000002</v>
      </c>
      <c r="F3195" t="s">
        <v>39</v>
      </c>
      <c r="G3195">
        <v>-160.02930000000001</v>
      </c>
      <c r="H3195" s="1">
        <v>-4.9233610000000001E-6</v>
      </c>
      <c r="I3195">
        <v>138.32169999999999</v>
      </c>
      <c r="J3195">
        <v>-192.5052</v>
      </c>
      <c r="K3195">
        <v>1.093823</v>
      </c>
      <c r="L3195">
        <v>156.1857</v>
      </c>
      <c r="M3195">
        <v>0.96580270000000001</v>
      </c>
      <c r="N3195">
        <v>0</v>
      </c>
      <c r="O3195">
        <v>0.25896929999999901</v>
      </c>
      <c r="P3195">
        <v>0.97919269999999903</v>
      </c>
      <c r="Q3195">
        <v>0.1822773</v>
      </c>
      <c r="R3195">
        <v>-8.9201130000000003E-2</v>
      </c>
      <c r="S3195">
        <v>2.95417799999999</v>
      </c>
      <c r="T3195">
        <v>-9.8859790000000003E-2</v>
      </c>
      <c r="U3195">
        <v>-1.610535</v>
      </c>
      <c r="V3195">
        <v>0.34444720000000001</v>
      </c>
      <c r="W3195">
        <v>0.18548489999999901</v>
      </c>
      <c r="X3195">
        <v>0.92029969999999905</v>
      </c>
      <c r="Y3195">
        <v>0.68929949999999995</v>
      </c>
      <c r="Z3195">
        <v>-1.895177E-2</v>
      </c>
      <c r="AA3195">
        <v>0.7242286</v>
      </c>
      <c r="AB3195">
        <v>23</v>
      </c>
      <c r="AC3195">
        <v>32.475900000000003</v>
      </c>
      <c r="AD3195">
        <v>-1.093827923361</v>
      </c>
      <c r="AE3195">
        <v>-17.864000000000001</v>
      </c>
      <c r="AF3195">
        <v>25.643081660350301</v>
      </c>
      <c r="AG3195">
        <v>-1.093827923361</v>
      </c>
      <c r="AH3195">
        <v>26.717955444087799</v>
      </c>
      <c r="AI3195">
        <v>91.691845341674295</v>
      </c>
      <c r="AJ3195">
        <v>46.176009607307002</v>
      </c>
      <c r="AK3195">
        <v>37.048795387672001</v>
      </c>
    </row>
    <row r="3196" spans="1:37" x14ac:dyDescent="0.2">
      <c r="A3196" t="str">
        <f>"20200111150706289"</f>
        <v>20200111150706289</v>
      </c>
      <c r="B3196" t="str">
        <f>"1578726426280034"</f>
        <v>1578726426280034</v>
      </c>
      <c r="C3196" t="s">
        <v>37</v>
      </c>
      <c r="D3196">
        <v>5.2455689999999997</v>
      </c>
      <c r="E3196">
        <v>0.66838059999999999</v>
      </c>
      <c r="F3196" t="s">
        <v>39</v>
      </c>
      <c r="G3196">
        <v>-164.1225</v>
      </c>
      <c r="H3196" s="1">
        <v>-2.9265560000000001E-6</v>
      </c>
      <c r="I3196">
        <v>140.24680000000001</v>
      </c>
      <c r="J3196">
        <v>-192.2903</v>
      </c>
      <c r="K3196">
        <v>1.0937429999999999</v>
      </c>
      <c r="L3196">
        <v>156.2253</v>
      </c>
      <c r="M3196">
        <v>0.96972150000000001</v>
      </c>
      <c r="N3196">
        <v>0</v>
      </c>
      <c r="O3196">
        <v>0.2438871</v>
      </c>
      <c r="P3196">
        <v>0.97810640000000004</v>
      </c>
      <c r="Q3196">
        <v>0.18121889999999999</v>
      </c>
      <c r="R3196">
        <v>-0.1023124</v>
      </c>
      <c r="S3196">
        <v>2.9346770000000002</v>
      </c>
      <c r="T3196">
        <v>-0.1130979</v>
      </c>
      <c r="U3196">
        <v>-1.64802599999999</v>
      </c>
      <c r="V3196">
        <v>0.34246379999999998</v>
      </c>
      <c r="W3196">
        <v>0.18443889999999999</v>
      </c>
      <c r="X3196">
        <v>0.921249599999999</v>
      </c>
      <c r="Y3196">
        <v>0.68698199999999998</v>
      </c>
      <c r="Z3196">
        <v>-2.1159259999999999E-2</v>
      </c>
      <c r="AA3196">
        <v>0.72636630000000002</v>
      </c>
      <c r="AB3196">
        <v>23</v>
      </c>
      <c r="AC3196">
        <v>28.1678</v>
      </c>
      <c r="AD3196">
        <v>-1.0937459265559999</v>
      </c>
      <c r="AE3196">
        <v>-15.978499999999899</v>
      </c>
      <c r="AF3196">
        <v>22.3407557393415</v>
      </c>
      <c r="AG3196">
        <v>-1.0937459265559999</v>
      </c>
      <c r="AH3196">
        <v>23.3931524020228</v>
      </c>
      <c r="AI3196">
        <v>91.936579740269195</v>
      </c>
      <c r="AJ3196">
        <v>46.318217707566198</v>
      </c>
      <c r="AK3196">
        <v>32.365803349539199</v>
      </c>
    </row>
    <row r="3197" spans="1:37" x14ac:dyDescent="0.2">
      <c r="A3197" t="str">
        <f>"20200111150706314"</f>
        <v>20200111150706314</v>
      </c>
      <c r="B3197" t="str">
        <f>"1578726426310289"</f>
        <v>1578726426310289</v>
      </c>
      <c r="C3197" t="s">
        <v>37</v>
      </c>
      <c r="D3197">
        <v>5.2252140000000002</v>
      </c>
      <c r="E3197">
        <v>0.66679509999999997</v>
      </c>
      <c r="F3197" t="s">
        <v>39</v>
      </c>
      <c r="G3197">
        <v>-166.3192</v>
      </c>
      <c r="H3197" s="1">
        <v>-2.145891E-6</v>
      </c>
      <c r="I3197">
        <v>141.21530000000001</v>
      </c>
      <c r="J3197">
        <v>-192.0444</v>
      </c>
      <c r="K3197">
        <v>1.0936680000000001</v>
      </c>
      <c r="L3197">
        <v>156.2664</v>
      </c>
      <c r="M3197">
        <v>0.9739063</v>
      </c>
      <c r="N3197">
        <v>0</v>
      </c>
      <c r="O3197">
        <v>0.22660039999999901</v>
      </c>
      <c r="P3197">
        <v>0.97675970000000001</v>
      </c>
      <c r="Q3197">
        <v>0.17996999999999999</v>
      </c>
      <c r="R3197">
        <v>-0.11640830000000001</v>
      </c>
      <c r="S3197">
        <v>2.9137270000000002</v>
      </c>
      <c r="T3197">
        <v>-0.1227081</v>
      </c>
      <c r="U3197">
        <v>-1.683975</v>
      </c>
      <c r="V3197">
        <v>0.33938879999999999</v>
      </c>
      <c r="W3197">
        <v>0.1832357</v>
      </c>
      <c r="X3197">
        <v>0.92262670000000002</v>
      </c>
      <c r="Y3197">
        <v>0.68295150000000004</v>
      </c>
      <c r="Z3197">
        <v>-2.2276270000000001E-2</v>
      </c>
      <c r="AA3197">
        <v>0.73012390000000005</v>
      </c>
      <c r="AB3197">
        <v>23</v>
      </c>
      <c r="AC3197">
        <v>25.725200000000001</v>
      </c>
      <c r="AD3197">
        <v>-1.0936701458910001</v>
      </c>
      <c r="AE3197">
        <v>-15.0510999999999</v>
      </c>
      <c r="AF3197">
        <v>20.461776869553699</v>
      </c>
      <c r="AG3197">
        <v>-1.0936701458910001</v>
      </c>
      <c r="AH3197">
        <v>21.6159618758047</v>
      </c>
      <c r="AI3197">
        <v>92.104325608801005</v>
      </c>
      <c r="AJ3197">
        <v>46.571219219647901</v>
      </c>
      <c r="AK3197">
        <v>29.784731572798499</v>
      </c>
    </row>
    <row r="3198" spans="1:37" x14ac:dyDescent="0.2">
      <c r="A3198" t="str">
        <f>"20200111150706334"</f>
        <v>20200111150706334</v>
      </c>
      <c r="B3198" t="str">
        <f>"1578726426329810"</f>
        <v>1578726426329810</v>
      </c>
      <c r="C3198" t="s">
        <v>37</v>
      </c>
      <c r="D3198">
        <v>5.2092970000000003</v>
      </c>
      <c r="E3198">
        <v>0.6653502</v>
      </c>
      <c r="F3198" t="s">
        <v>78</v>
      </c>
      <c r="G3198">
        <v>-170.3373</v>
      </c>
      <c r="H3198" s="1">
        <v>-4.9944540000000002E-6</v>
      </c>
      <c r="I3198">
        <v>143.4091</v>
      </c>
      <c r="J3198">
        <v>-191.82089999999999</v>
      </c>
      <c r="K3198">
        <v>1.0936090000000001</v>
      </c>
      <c r="L3198">
        <v>156.2997</v>
      </c>
      <c r="M3198">
        <v>0.97743259999999899</v>
      </c>
      <c r="N3198">
        <v>0</v>
      </c>
      <c r="O3198">
        <v>0.21087259999999999</v>
      </c>
      <c r="P3198">
        <v>0.97527819999999898</v>
      </c>
      <c r="Q3198">
        <v>0.1798507</v>
      </c>
      <c r="R3198">
        <v>-0.12839780000000001</v>
      </c>
      <c r="S3198">
        <v>2.893967</v>
      </c>
      <c r="T3198">
        <v>-0.14580760000000001</v>
      </c>
      <c r="U3198">
        <v>-1.714127</v>
      </c>
      <c r="V3198">
        <v>0.3358507</v>
      </c>
      <c r="W3198">
        <v>0.18318319999999999</v>
      </c>
      <c r="X3198">
        <v>0.92393080000000005</v>
      </c>
      <c r="Y3198">
        <v>0.67874909999999999</v>
      </c>
      <c r="Z3198">
        <v>-2.5720940000000001E-2</v>
      </c>
      <c r="AA3198">
        <v>0.73391960000000001</v>
      </c>
      <c r="AB3198">
        <v>23</v>
      </c>
      <c r="AC3198">
        <v>21.483599999999999</v>
      </c>
      <c r="AD3198">
        <v>-1.093613994454</v>
      </c>
      <c r="AE3198">
        <v>-12.890599999999999</v>
      </c>
      <c r="AF3198">
        <v>17.0987723301483</v>
      </c>
      <c r="AG3198">
        <v>-1.093613994454</v>
      </c>
      <c r="AH3198">
        <v>18.2471767100457</v>
      </c>
      <c r="AI3198">
        <v>92.504126654842594</v>
      </c>
      <c r="AJ3198">
        <v>46.8609087495919</v>
      </c>
      <c r="AK3198">
        <v>25.030450748133699</v>
      </c>
    </row>
    <row r="3199" spans="1:37" x14ac:dyDescent="0.2">
      <c r="A3199" t="str">
        <f>"20200111150706357"</f>
        <v>20200111150706357</v>
      </c>
      <c r="B3199" t="str">
        <f>"1578726426350306"</f>
        <v>1578726426350306</v>
      </c>
      <c r="C3199" t="s">
        <v>37</v>
      </c>
      <c r="D3199">
        <v>5.2524629999999997</v>
      </c>
      <c r="E3199">
        <v>0.64983329999999995</v>
      </c>
      <c r="F3199" t="s">
        <v>78</v>
      </c>
      <c r="G3199">
        <v>-171.48750000000001</v>
      </c>
      <c r="H3199" s="1">
        <v>-5.6993139999999998E-6</v>
      </c>
      <c r="I3199">
        <v>144.0112</v>
      </c>
      <c r="J3199">
        <v>-191.5831</v>
      </c>
      <c r="K3199">
        <v>1.0935549999999901</v>
      </c>
      <c r="L3199">
        <v>156.33109999999999</v>
      </c>
      <c r="M3199">
        <v>0.98089780000000004</v>
      </c>
      <c r="N3199">
        <v>0</v>
      </c>
      <c r="O3199">
        <v>0.19411789999999901</v>
      </c>
      <c r="P3199">
        <v>0.97350309999999995</v>
      </c>
      <c r="Q3199">
        <v>0.17982319999999999</v>
      </c>
      <c r="R3199">
        <v>-0.1412639</v>
      </c>
      <c r="S3199">
        <v>2.8757630000000001</v>
      </c>
      <c r="T3199">
        <v>-0.15467039999999899</v>
      </c>
      <c r="U3199">
        <v>-1.73797599999999</v>
      </c>
      <c r="V3199">
        <v>0.33223999999999998</v>
      </c>
      <c r="W3199">
        <v>0.18322769999999999</v>
      </c>
      <c r="X3199">
        <v>0.92522660000000001</v>
      </c>
      <c r="Y3199">
        <v>0.67259609999999903</v>
      </c>
      <c r="Z3199">
        <v>-2.6385269999999999E-2</v>
      </c>
      <c r="AA3199">
        <v>0.73953930000000001</v>
      </c>
      <c r="AB3199">
        <v>23</v>
      </c>
      <c r="AC3199">
        <v>20.095599999999902</v>
      </c>
      <c r="AD3199">
        <v>-1.0935606993139999</v>
      </c>
      <c r="AE3199">
        <v>-12.319899999999899</v>
      </c>
      <c r="AF3199">
        <v>15.952404264343301</v>
      </c>
      <c r="AG3199">
        <v>-1.0935606993139999</v>
      </c>
      <c r="AH3199">
        <v>17.284380905388499</v>
      </c>
      <c r="AI3199">
        <v>92.661953182292095</v>
      </c>
      <c r="AJ3199">
        <v>47.294921820118702</v>
      </c>
      <c r="AK3199">
        <v>23.546228999537998</v>
      </c>
    </row>
    <row r="3200" spans="1:37" x14ac:dyDescent="0.2">
      <c r="A3200" t="str">
        <f>"20200111150706379"</f>
        <v>20200111150706379</v>
      </c>
      <c r="B3200" t="str">
        <f>"1578726426369826"</f>
        <v>1578726426369826</v>
      </c>
      <c r="C3200" t="s">
        <v>37</v>
      </c>
      <c r="D3200">
        <v>5.3641930000000002</v>
      </c>
      <c r="E3200">
        <v>0.64975229999999995</v>
      </c>
      <c r="F3200" t="s">
        <v>78</v>
      </c>
      <c r="G3200">
        <v>-178.40780000000001</v>
      </c>
      <c r="H3200" s="1">
        <v>-1.062247E-5</v>
      </c>
      <c r="I3200">
        <v>148.7629</v>
      </c>
      <c r="J3200">
        <v>-191.34719999999999</v>
      </c>
      <c r="K3200">
        <v>1.093512</v>
      </c>
      <c r="L3200">
        <v>156.35830000000001</v>
      </c>
      <c r="M3200">
        <v>0.98404319999999901</v>
      </c>
      <c r="N3200">
        <v>0</v>
      </c>
      <c r="O3200">
        <v>0.17748739999999999</v>
      </c>
      <c r="P3200">
        <v>0.97187639999999997</v>
      </c>
      <c r="Q3200">
        <v>0.17963080000000001</v>
      </c>
      <c r="R3200">
        <v>-0.15228069999999999</v>
      </c>
      <c r="S3200">
        <v>2.8854060000000001</v>
      </c>
      <c r="T3200">
        <v>-0.23949239999999999</v>
      </c>
      <c r="U3200">
        <v>-1.6574549999999999</v>
      </c>
      <c r="V3200">
        <v>0.32705149999999999</v>
      </c>
      <c r="W3200">
        <v>0.183158399999999</v>
      </c>
      <c r="X3200">
        <v>0.92708699999999999</v>
      </c>
      <c r="Y3200">
        <v>0.64193089999999997</v>
      </c>
      <c r="Z3200">
        <v>-3.8486470000000002E-2</v>
      </c>
      <c r="AA3200">
        <v>0.76579600000000003</v>
      </c>
      <c r="AB3200">
        <v>23</v>
      </c>
      <c r="AC3200">
        <v>12.9393999999999</v>
      </c>
      <c r="AD3200">
        <v>-1.0935226224700001</v>
      </c>
      <c r="AE3200">
        <v>-7.5954000000000104</v>
      </c>
      <c r="AF3200">
        <v>9.7199196172460205</v>
      </c>
      <c r="AG3200">
        <v>-1.0935226224700001</v>
      </c>
      <c r="AH3200">
        <v>11.3255761087874</v>
      </c>
      <c r="AI3200">
        <v>94.190545563642104</v>
      </c>
      <c r="AJ3200">
        <v>49.362903170029597</v>
      </c>
      <c r="AK3200">
        <v>14.964668499085199</v>
      </c>
    </row>
    <row r="3201" spans="1:37" x14ac:dyDescent="0.2">
      <c r="A3201" t="str">
        <f>"20200111150706406"</f>
        <v>20200111150706406</v>
      </c>
      <c r="B3201" t="str">
        <f>"1578726426400082"</f>
        <v>1578726426400082</v>
      </c>
      <c r="C3201" t="s">
        <v>37</v>
      </c>
      <c r="D3201">
        <v>5.2738079999999998</v>
      </c>
      <c r="E3201">
        <v>0.6375189</v>
      </c>
      <c r="F3201" t="s">
        <v>78</v>
      </c>
      <c r="G3201">
        <v>-178.28120000000001</v>
      </c>
      <c r="H3201" s="1">
        <v>-1.052871E-5</v>
      </c>
      <c r="I3201">
        <v>148.66229999999999</v>
      </c>
      <c r="J3201">
        <v>-191.06739999999999</v>
      </c>
      <c r="K3201">
        <v>1.0934619999999999</v>
      </c>
      <c r="L3201">
        <v>156.3854</v>
      </c>
      <c r="M3201">
        <v>0.98739959999999904</v>
      </c>
      <c r="N3201">
        <v>0</v>
      </c>
      <c r="O3201">
        <v>0.15775039999999901</v>
      </c>
      <c r="P3201">
        <v>0.96995779999999998</v>
      </c>
      <c r="Q3201">
        <v>0.17886060000000001</v>
      </c>
      <c r="R3201">
        <v>-0.16489589999999901</v>
      </c>
      <c r="S3201">
        <v>2.8666079999999998</v>
      </c>
      <c r="T3201">
        <v>-0.23991170000000001</v>
      </c>
      <c r="U3201">
        <v>-1.6884459999999999</v>
      </c>
      <c r="V3201">
        <v>0.3205247</v>
      </c>
      <c r="W3201">
        <v>0.18255170000000001</v>
      </c>
      <c r="X3201">
        <v>0.92948310000000001</v>
      </c>
      <c r="Y3201">
        <v>0.63498690000000002</v>
      </c>
      <c r="Z3201">
        <v>-3.6863159999999999E-2</v>
      </c>
      <c r="AA3201">
        <v>0.77164290000000002</v>
      </c>
      <c r="AB3201">
        <v>23</v>
      </c>
      <c r="AC3201">
        <v>12.7861999999999</v>
      </c>
      <c r="AD3201">
        <v>-1.09347252871</v>
      </c>
      <c r="AE3201">
        <v>-7.7231000000000103</v>
      </c>
      <c r="AF3201">
        <v>9.5921696694636704</v>
      </c>
      <c r="AG3201">
        <v>-1.09347252871</v>
      </c>
      <c r="AH3201">
        <v>11.3468579738374</v>
      </c>
      <c r="AI3201">
        <v>94.209080068226399</v>
      </c>
      <c r="AJ3201">
        <v>49.790188282687602</v>
      </c>
      <c r="AK3201">
        <v>14.898207510209399</v>
      </c>
    </row>
    <row r="3202" spans="1:37" x14ac:dyDescent="0.2">
      <c r="A3202" t="str">
        <f>"20200111150706430"</f>
        <v>20200111150706430</v>
      </c>
      <c r="B3202" t="str">
        <f>"1578726426420578"</f>
        <v>1578726426420578</v>
      </c>
      <c r="C3202" t="s">
        <v>37</v>
      </c>
      <c r="D3202">
        <v>5.3201169999999998</v>
      </c>
      <c r="E3202">
        <v>0.63613469999999905</v>
      </c>
      <c r="F3202" t="s">
        <v>78</v>
      </c>
      <c r="G3202">
        <v>-179.01519999999999</v>
      </c>
      <c r="H3202" s="1">
        <v>-1.1149649999999999E-5</v>
      </c>
      <c r="I3202">
        <v>149.5283</v>
      </c>
      <c r="J3202">
        <v>-190.82310000000001</v>
      </c>
      <c r="K3202">
        <v>1.0934250000000001</v>
      </c>
      <c r="L3202">
        <v>156.40459999999999</v>
      </c>
      <c r="M3202">
        <v>0.98999889999999902</v>
      </c>
      <c r="N3202">
        <v>0</v>
      </c>
      <c r="O3202">
        <v>0.14051949999999999</v>
      </c>
      <c r="P3202">
        <v>0.96860740000000001</v>
      </c>
      <c r="Q3202">
        <v>0.17692269999999999</v>
      </c>
      <c r="R3202">
        <v>-0.17463679999999901</v>
      </c>
      <c r="S3202">
        <v>2.8638309999999998</v>
      </c>
      <c r="T3202">
        <v>-0.25982889999999997</v>
      </c>
      <c r="U3202">
        <v>-1.629364</v>
      </c>
      <c r="V3202">
        <v>0.31365029999999999</v>
      </c>
      <c r="W3202">
        <v>0.18079619999999999</v>
      </c>
      <c r="X3202">
        <v>0.93216749999999904</v>
      </c>
      <c r="Y3202">
        <v>0.60937489999999905</v>
      </c>
      <c r="Z3202">
        <v>-3.7586429999999997E-2</v>
      </c>
      <c r="AA3202">
        <v>0.79199079999999999</v>
      </c>
      <c r="AB3202">
        <v>23</v>
      </c>
      <c r="AC3202">
        <v>11.8079</v>
      </c>
      <c r="AD3202">
        <v>-1.09343614965</v>
      </c>
      <c r="AE3202">
        <v>-6.8762999999999801</v>
      </c>
      <c r="AF3202">
        <v>8.4135555898013195</v>
      </c>
      <c r="AG3202">
        <v>-1.09343614965</v>
      </c>
      <c r="AH3202">
        <v>10.6561557274104</v>
      </c>
      <c r="AI3202">
        <v>94.604347876993998</v>
      </c>
      <c r="AJ3202">
        <v>51.707183514504699</v>
      </c>
      <c r="AK3202">
        <v>13.6212031466703</v>
      </c>
    </row>
    <row r="3203" spans="1:37" x14ac:dyDescent="0.2">
      <c r="A3203" t="str">
        <f>"20200111150706469"</f>
        <v>20200111150706469</v>
      </c>
      <c r="B3203" t="str">
        <f>"1578726426460593"</f>
        <v>1578726426460593</v>
      </c>
      <c r="C3203" t="s">
        <v>37</v>
      </c>
      <c r="D3203">
        <v>5.3467459999999898</v>
      </c>
      <c r="E3203">
        <v>0.63534029999999997</v>
      </c>
      <c r="F3203" t="s">
        <v>78</v>
      </c>
      <c r="G3203">
        <v>-178.90299999999999</v>
      </c>
      <c r="H3203" s="1">
        <v>-1.1087819999999901E-5</v>
      </c>
      <c r="I3203">
        <v>149.51669999999999</v>
      </c>
      <c r="J3203">
        <v>-190.41579999999999</v>
      </c>
      <c r="K3203">
        <v>1.0933930000000001</v>
      </c>
      <c r="L3203">
        <v>156.42699999999999</v>
      </c>
      <c r="M3203">
        <v>0.99364300000000005</v>
      </c>
      <c r="N3203">
        <v>0</v>
      </c>
      <c r="O3203">
        <v>0.1118847</v>
      </c>
      <c r="P3203">
        <v>0.9670337</v>
      </c>
      <c r="Q3203">
        <v>0.17421410000000001</v>
      </c>
      <c r="R3203">
        <v>-0.1857297</v>
      </c>
      <c r="S3203">
        <v>2.8482210000000001</v>
      </c>
      <c r="T3203">
        <v>-0.26126929999999998</v>
      </c>
      <c r="U3203">
        <v>-1.6458279999999901</v>
      </c>
      <c r="V3203">
        <v>0.29732550000000002</v>
      </c>
      <c r="W3203">
        <v>0.178539</v>
      </c>
      <c r="X3203">
        <v>0.93793459999999995</v>
      </c>
      <c r="Y3203">
        <v>0.59180900000000003</v>
      </c>
      <c r="Z3203">
        <v>-3.4716660000000003E-2</v>
      </c>
      <c r="AA3203">
        <v>0.80533030000000005</v>
      </c>
      <c r="AB3203">
        <v>23</v>
      </c>
      <c r="AC3203">
        <v>11.5128</v>
      </c>
      <c r="AD3203">
        <v>-1.09340408782</v>
      </c>
      <c r="AE3203">
        <v>-6.9103000000000296</v>
      </c>
      <c r="AF3203">
        <v>8.1013914601511399</v>
      </c>
      <c r="AG3203">
        <v>-1.09340408782</v>
      </c>
      <c r="AH3203">
        <v>10.597017279458299</v>
      </c>
      <c r="AI3203">
        <v>94.686079935542807</v>
      </c>
      <c r="AJ3203">
        <v>52.602183955328002</v>
      </c>
      <c r="AK3203">
        <v>13.3837532594937</v>
      </c>
    </row>
    <row r="3204" spans="1:37" x14ac:dyDescent="0.2">
      <c r="A3204" t="str">
        <f>"20200111150706493"</f>
        <v>20200111150706493</v>
      </c>
      <c r="B3204" t="str">
        <f>"1578726426489874"</f>
        <v>1578726426489874</v>
      </c>
      <c r="C3204" t="s">
        <v>37</v>
      </c>
      <c r="D3204">
        <v>5.3389850000000001</v>
      </c>
      <c r="E3204">
        <v>0.63657240000000004</v>
      </c>
      <c r="F3204" t="s">
        <v>78</v>
      </c>
      <c r="G3204">
        <v>-179.0419</v>
      </c>
      <c r="H3204" s="1">
        <v>-1.1206219999999999E-5</v>
      </c>
      <c r="I3204">
        <v>149.71199999999999</v>
      </c>
      <c r="J3204">
        <v>-190.1568</v>
      </c>
      <c r="K3204">
        <v>1.0933979999999901</v>
      </c>
      <c r="L3204">
        <v>156.43549999999999</v>
      </c>
      <c r="M3204">
        <v>0.99551789999999996</v>
      </c>
      <c r="N3204">
        <v>0</v>
      </c>
      <c r="O3204">
        <v>9.3751929999999997E-2</v>
      </c>
      <c r="P3204">
        <v>0.96546449999999995</v>
      </c>
      <c r="Q3204">
        <v>0.17364669999999999</v>
      </c>
      <c r="R3204">
        <v>-0.19422909999999999</v>
      </c>
      <c r="S3204">
        <v>2.8303529999999899</v>
      </c>
      <c r="T3204">
        <v>-0.27208949999999998</v>
      </c>
      <c r="U3204">
        <v>-1.6710049999999901</v>
      </c>
      <c r="V3204">
        <v>0.2884274</v>
      </c>
      <c r="W3204">
        <v>0.1782204</v>
      </c>
      <c r="X3204">
        <v>0.94076939999999998</v>
      </c>
      <c r="Y3204">
        <v>0.58454289999999998</v>
      </c>
      <c r="Z3204">
        <v>-3.4322709999999999E-2</v>
      </c>
      <c r="AA3204">
        <v>0.81063649999999998</v>
      </c>
      <c r="AB3204">
        <v>23</v>
      </c>
      <c r="AC3204">
        <v>11.1149</v>
      </c>
      <c r="AD3204">
        <v>-1.09340920621999</v>
      </c>
      <c r="AE3204">
        <v>-6.7234999999999703</v>
      </c>
      <c r="AF3204">
        <v>7.6815833948102599</v>
      </c>
      <c r="AG3204">
        <v>-1.09340920621999</v>
      </c>
      <c r="AH3204">
        <v>10.362133768740099</v>
      </c>
      <c r="AI3204">
        <v>94.845260118941695</v>
      </c>
      <c r="AJ3204">
        <v>53.449982891565298</v>
      </c>
      <c r="AK3204">
        <v>12.945118129431499</v>
      </c>
    </row>
    <row r="3205" spans="1:37" x14ac:dyDescent="0.2">
      <c r="A3205" t="str">
        <f>"20200111150706517"</f>
        <v>20200111150706517</v>
      </c>
      <c r="B3205" t="str">
        <f>"1578726426510370"</f>
        <v>1578726426510370</v>
      </c>
      <c r="C3205" t="s">
        <v>37</v>
      </c>
      <c r="D3205">
        <v>5.3103339999999903</v>
      </c>
      <c r="E3205">
        <v>0.6367699</v>
      </c>
      <c r="F3205" t="s">
        <v>78</v>
      </c>
      <c r="G3205">
        <v>-178.66839999999999</v>
      </c>
      <c r="H3205" s="1">
        <v>-1.095303E-5</v>
      </c>
      <c r="I3205">
        <v>149.4725</v>
      </c>
      <c r="J3205">
        <v>-189.90559999999999</v>
      </c>
      <c r="K3205">
        <v>1.093424</v>
      </c>
      <c r="L3205">
        <v>156.4391</v>
      </c>
      <c r="M3205">
        <v>0.99700889999999998</v>
      </c>
      <c r="N3205">
        <v>0</v>
      </c>
      <c r="O3205">
        <v>7.6286270000000003E-2</v>
      </c>
      <c r="P3205">
        <v>0.9641189</v>
      </c>
      <c r="Q3205">
        <v>0.17241289999999901</v>
      </c>
      <c r="R3205">
        <v>-0.2018624</v>
      </c>
      <c r="S3205">
        <v>2.8125309999999999</v>
      </c>
      <c r="T3205">
        <v>-0.2676848</v>
      </c>
      <c r="U3205">
        <v>-1.7046809999999999</v>
      </c>
      <c r="V3205">
        <v>0.27931040000000001</v>
      </c>
      <c r="W3205">
        <v>0.1772533</v>
      </c>
      <c r="X3205">
        <v>0.9436985</v>
      </c>
      <c r="Y3205">
        <v>0.57986579999999999</v>
      </c>
      <c r="Z3205">
        <v>-3.210872E-2</v>
      </c>
      <c r="AA3205">
        <v>0.814079</v>
      </c>
      <c r="AB3205">
        <v>23</v>
      </c>
      <c r="AC3205">
        <v>11.2372</v>
      </c>
      <c r="AD3205">
        <v>-1.0934349530299901</v>
      </c>
      <c r="AE3205">
        <v>-6.9665999999999997</v>
      </c>
      <c r="AF3205">
        <v>7.7505956686935198</v>
      </c>
      <c r="AG3205">
        <v>-1.0934349530299901</v>
      </c>
      <c r="AH3205">
        <v>10.60045075821</v>
      </c>
      <c r="AI3205">
        <v>94.759860756444098</v>
      </c>
      <c r="AJ3205">
        <v>53.827327385988902</v>
      </c>
      <c r="AK3205">
        <v>13.177135101884399</v>
      </c>
    </row>
    <row r="3206" spans="1:37" x14ac:dyDescent="0.2">
      <c r="A3206" t="str">
        <f>"20200111150706539"</f>
        <v>20200111150706539</v>
      </c>
      <c r="B3206" t="str">
        <f>"1578726426529890"</f>
        <v>1578726426529890</v>
      </c>
      <c r="C3206" t="s">
        <v>37</v>
      </c>
      <c r="D3206">
        <v>5.3337409999999998</v>
      </c>
      <c r="E3206">
        <v>0.63698690000000002</v>
      </c>
      <c r="F3206" t="s">
        <v>78</v>
      </c>
      <c r="G3206">
        <v>-178.68029999999999</v>
      </c>
      <c r="H3206" s="1">
        <v>-1.0971709999999999E-5</v>
      </c>
      <c r="I3206">
        <v>149.518</v>
      </c>
      <c r="J3206">
        <v>-189.66390000000001</v>
      </c>
      <c r="K3206">
        <v>1.093466</v>
      </c>
      <c r="L3206">
        <v>156.4385</v>
      </c>
      <c r="M3206">
        <v>0.99814659999999999</v>
      </c>
      <c r="N3206">
        <v>0</v>
      </c>
      <c r="O3206">
        <v>5.9586670000000001E-2</v>
      </c>
      <c r="P3206">
        <v>0.96260419999999902</v>
      </c>
      <c r="Q3206">
        <v>0.17082639999999999</v>
      </c>
      <c r="R3206">
        <v>-0.21026529999999999</v>
      </c>
      <c r="S3206">
        <v>2.7990879999999998</v>
      </c>
      <c r="T3206">
        <v>-0.27265429999999902</v>
      </c>
      <c r="U3206">
        <v>-1.7258</v>
      </c>
      <c r="V3206">
        <v>0.27167179999999902</v>
      </c>
      <c r="W3206">
        <v>0.17589449999999901</v>
      </c>
      <c r="X3206">
        <v>0.9461794</v>
      </c>
      <c r="Y3206">
        <v>0.57242510000000002</v>
      </c>
      <c r="Z3206">
        <v>-3.0939810000000002E-2</v>
      </c>
      <c r="AA3206">
        <v>0.81937309999999997</v>
      </c>
      <c r="AB3206">
        <v>23</v>
      </c>
      <c r="AC3206">
        <v>10.983599999999999</v>
      </c>
      <c r="AD3206">
        <v>-1.0934769717099999</v>
      </c>
      <c r="AE3206">
        <v>-6.9204999999999997</v>
      </c>
      <c r="AF3206">
        <v>7.5094500860478197</v>
      </c>
      <c r="AG3206">
        <v>-1.0934769717099999</v>
      </c>
      <c r="AH3206">
        <v>10.477345822830999</v>
      </c>
      <c r="AI3206">
        <v>94.848662213410904</v>
      </c>
      <c r="AJ3206">
        <v>54.369615848168202</v>
      </c>
      <c r="AK3206">
        <v>12.9368585048186</v>
      </c>
    </row>
    <row r="3207" spans="1:37" x14ac:dyDescent="0.2">
      <c r="A3207" t="str">
        <f>"20200111150706559"</f>
        <v>20200111150706559</v>
      </c>
      <c r="B3207" t="str">
        <f>"1578726426550385"</f>
        <v>1578726426550385</v>
      </c>
      <c r="C3207" t="s">
        <v>37</v>
      </c>
      <c r="D3207">
        <v>5.6806830000000001</v>
      </c>
      <c r="E3207">
        <v>0.5620271</v>
      </c>
      <c r="F3207" t="s">
        <v>78</v>
      </c>
      <c r="G3207">
        <v>-178.84119999999999</v>
      </c>
      <c r="H3207" s="1">
        <v>-1.108677E-5</v>
      </c>
      <c r="I3207">
        <v>149.637</v>
      </c>
      <c r="J3207">
        <v>-189.45169999999999</v>
      </c>
      <c r="K3207">
        <v>1.093521</v>
      </c>
      <c r="L3207">
        <v>156.435</v>
      </c>
      <c r="M3207">
        <v>0.99890889999999999</v>
      </c>
      <c r="N3207">
        <v>0</v>
      </c>
      <c r="O3207">
        <v>4.5046080000000002E-2</v>
      </c>
      <c r="P3207">
        <v>0.96151600000000004</v>
      </c>
      <c r="Q3207">
        <v>0.16966700000000001</v>
      </c>
      <c r="R3207">
        <v>-0.21610219999999999</v>
      </c>
      <c r="S3207">
        <v>2.7842250000000002</v>
      </c>
      <c r="T3207">
        <v>-0.28130679999999902</v>
      </c>
      <c r="U3207">
        <v>-1.7497560000000001</v>
      </c>
      <c r="V3207">
        <v>0.26356030000000003</v>
      </c>
      <c r="W3207">
        <v>0.1749763</v>
      </c>
      <c r="X3207">
        <v>0.94864079999999995</v>
      </c>
      <c r="Y3207">
        <v>0.56744939999999999</v>
      </c>
      <c r="Z3207">
        <v>-3.0412519999999998E-2</v>
      </c>
      <c r="AA3207">
        <v>0.82284639999999998</v>
      </c>
      <c r="AB3207">
        <v>23</v>
      </c>
      <c r="AC3207">
        <v>10.6105</v>
      </c>
      <c r="AD3207">
        <v>-1.09353208677</v>
      </c>
      <c r="AE3207">
        <v>-6.798</v>
      </c>
      <c r="AF3207">
        <v>7.2147651814773504</v>
      </c>
      <c r="AG3207">
        <v>-1.09353208677</v>
      </c>
      <c r="AH3207">
        <v>10.216545370863599</v>
      </c>
      <c r="AI3207">
        <v>94.996780495993207</v>
      </c>
      <c r="AJ3207">
        <v>54.770857186765802</v>
      </c>
      <c r="AK3207">
        <v>12.5549372106581</v>
      </c>
    </row>
    <row r="3208" spans="1:37" x14ac:dyDescent="0.2">
      <c r="A3208" t="str">
        <f>"20200111150706585"</f>
        <v>20200111150706585</v>
      </c>
      <c r="B3208" t="str">
        <f>"1578726426580642"</f>
        <v>1578726426580642</v>
      </c>
      <c r="C3208" t="s">
        <v>37</v>
      </c>
      <c r="D3208">
        <v>5.6252059999999897</v>
      </c>
      <c r="E3208">
        <v>0.49417440000000001</v>
      </c>
      <c r="F3208" t="s">
        <v>115</v>
      </c>
      <c r="G3208">
        <v>-96.756900000000002</v>
      </c>
      <c r="H3208">
        <v>4.0309589999999904</v>
      </c>
      <c r="I3208">
        <v>118.675</v>
      </c>
      <c r="J3208">
        <v>-189.17930000000001</v>
      </c>
      <c r="K3208">
        <v>1.0936250000000001</v>
      </c>
      <c r="L3208">
        <v>156.42609999999999</v>
      </c>
      <c r="M3208">
        <v>0.99957119999999999</v>
      </c>
      <c r="N3208">
        <v>0</v>
      </c>
      <c r="O3208">
        <v>2.6587710000000001E-2</v>
      </c>
      <c r="P3208">
        <v>0.95944739999999995</v>
      </c>
      <c r="Q3208">
        <v>0.169755399999999</v>
      </c>
      <c r="R3208">
        <v>-0.22504289999999999</v>
      </c>
      <c r="S3208">
        <v>2.8438110000000001</v>
      </c>
      <c r="T3208">
        <v>9.0118530000000002E-2</v>
      </c>
      <c r="U3208">
        <v>-1.158447</v>
      </c>
      <c r="V3208">
        <v>0.2547914</v>
      </c>
      <c r="W3208">
        <v>0.17533119999999999</v>
      </c>
      <c r="X3208">
        <v>0.95096809999999998</v>
      </c>
      <c r="Y3208">
        <v>0.40156389999999997</v>
      </c>
      <c r="Z3208">
        <v>6.9282800000000002E-3</v>
      </c>
      <c r="AA3208">
        <v>0.91580479999999997</v>
      </c>
      <c r="AB3208">
        <v>23</v>
      </c>
      <c r="AC3208">
        <v>92.422399999999996</v>
      </c>
      <c r="AD3208">
        <v>2.9373339999999901</v>
      </c>
      <c r="AE3208">
        <v>-37.751100000000001</v>
      </c>
      <c r="AF3208">
        <v>40.160472555619698</v>
      </c>
      <c r="AG3208">
        <v>2.9373339999999901</v>
      </c>
      <c r="AH3208">
        <v>91.306892047575005</v>
      </c>
      <c r="AI3208">
        <v>88.313279822160297</v>
      </c>
      <c r="AJ3208">
        <v>66.258160513089805</v>
      </c>
      <c r="AK3208">
        <v>99.791983757743594</v>
      </c>
    </row>
    <row r="3209" spans="1:37" x14ac:dyDescent="0.2">
      <c r="A3209" t="str">
        <f>"20200111150706609"</f>
        <v>20200111150706609</v>
      </c>
      <c r="B3209" t="str">
        <f>"1578726426600162"</f>
        <v>1578726426600162</v>
      </c>
      <c r="C3209" t="s">
        <v>37</v>
      </c>
      <c r="D3209">
        <v>5.4250280000000002</v>
      </c>
      <c r="E3209">
        <v>0.48410209999999998</v>
      </c>
      <c r="F3209" t="s">
        <v>53</v>
      </c>
      <c r="G3209">
        <v>0</v>
      </c>
      <c r="H3209">
        <v>0</v>
      </c>
      <c r="I3209">
        <v>0</v>
      </c>
      <c r="J3209">
        <v>-188.91499999999999</v>
      </c>
      <c r="K3209">
        <v>1.0937569999999901</v>
      </c>
      <c r="L3209">
        <v>156.41319999999999</v>
      </c>
      <c r="M3209">
        <v>0.99988509999999997</v>
      </c>
      <c r="N3209">
        <v>0</v>
      </c>
      <c r="O3209">
        <v>8.9579910000000002E-3</v>
      </c>
      <c r="P3209">
        <v>0.95768920000000002</v>
      </c>
      <c r="Q3209">
        <v>0.16952679999999901</v>
      </c>
      <c r="R3209">
        <v>-0.2325777</v>
      </c>
      <c r="S3209">
        <v>2.9638209999999998</v>
      </c>
      <c r="T3209">
        <v>4.4638990000000003E-2</v>
      </c>
      <c r="U3209">
        <v>-0.66123959999999904</v>
      </c>
      <c r="V3209">
        <v>0.2453996</v>
      </c>
      <c r="W3209">
        <v>0.17539089999999999</v>
      </c>
      <c r="X3209">
        <v>0.95342389999999999</v>
      </c>
      <c r="Y3209">
        <v>0.22645979999999999</v>
      </c>
      <c r="Z3209">
        <v>1.8179019999999999E-3</v>
      </c>
      <c r="AA3209">
        <v>0.97401879999999996</v>
      </c>
      <c r="AB3209">
        <v>23</v>
      </c>
      <c r="AC3209">
        <v>2.9638209999999998</v>
      </c>
      <c r="AD3209">
        <v>4.4638990000000003E-2</v>
      </c>
      <c r="AE3209">
        <v>-0.66123959999999904</v>
      </c>
      <c r="AF3209">
        <v>0.68761634704842001</v>
      </c>
      <c r="AG3209">
        <v>4.4638990000000003E-2</v>
      </c>
      <c r="AH3209">
        <v>2.9571392426536498</v>
      </c>
      <c r="AI3209">
        <v>89.157636788144004</v>
      </c>
      <c r="AJ3209">
        <v>76.909769599932602</v>
      </c>
      <c r="AK3209">
        <v>3.0363598898349702</v>
      </c>
    </row>
    <row r="3210" spans="1:37" x14ac:dyDescent="0.2">
      <c r="A3210" t="str">
        <f>"20200111150706632"</f>
        <v>20200111150706632</v>
      </c>
      <c r="B3210" t="str">
        <f>"1578726426630417"</f>
        <v>1578726426630417</v>
      </c>
      <c r="C3210" t="s">
        <v>37</v>
      </c>
      <c r="D3210">
        <v>8.1991289999999992</v>
      </c>
      <c r="E3210">
        <v>0.48136980000000001</v>
      </c>
      <c r="F3210" t="s">
        <v>39</v>
      </c>
      <c r="G3210">
        <v>-123.36669999999999</v>
      </c>
      <c r="H3210" s="1">
        <v>-3.72189E-6</v>
      </c>
      <c r="I3210">
        <v>142.9759</v>
      </c>
      <c r="J3210">
        <v>-188.6773</v>
      </c>
      <c r="K3210">
        <v>1.0939019999999999</v>
      </c>
      <c r="L3210">
        <v>156.39789999999999</v>
      </c>
      <c r="M3210">
        <v>0.99990429999999997</v>
      </c>
      <c r="N3210">
        <v>0</v>
      </c>
      <c r="O3210">
        <v>-6.6138380000000004E-3</v>
      </c>
      <c r="P3210">
        <v>0.95594319999999899</v>
      </c>
      <c r="Q3210">
        <v>0.16993079999999999</v>
      </c>
      <c r="R3210">
        <v>-0.23936650000000001</v>
      </c>
      <c r="S3210">
        <v>2.9923860000000002</v>
      </c>
      <c r="T3210">
        <v>-4.9931879999999998E-2</v>
      </c>
      <c r="U3210">
        <v>-0.61343380000000003</v>
      </c>
      <c r="V3210">
        <v>0.23723069999999999</v>
      </c>
      <c r="W3210">
        <v>0.17604710000000001</v>
      </c>
      <c r="X3210">
        <v>0.95536849999999995</v>
      </c>
      <c r="Y3210">
        <v>0.19431300000000001</v>
      </c>
      <c r="Z3210">
        <v>-1.495185E-3</v>
      </c>
      <c r="AA3210">
        <v>0.98093839999999999</v>
      </c>
      <c r="AB3210">
        <v>23</v>
      </c>
      <c r="AC3210">
        <v>65.310599999999994</v>
      </c>
      <c r="AD3210">
        <v>-1.0939057218899999</v>
      </c>
      <c r="AE3210">
        <v>-13.421999999999899</v>
      </c>
      <c r="AF3210">
        <v>12.9862252699086</v>
      </c>
      <c r="AG3210">
        <v>-1.0939057218899999</v>
      </c>
      <c r="AH3210">
        <v>65.3803503821063</v>
      </c>
      <c r="AI3210">
        <v>90.940186553542503</v>
      </c>
      <c r="AJ3210">
        <v>78.765794317930698</v>
      </c>
      <c r="AK3210">
        <v>66.666550027552702</v>
      </c>
    </row>
    <row r="3211" spans="1:37" x14ac:dyDescent="0.2">
      <c r="A3211" t="str">
        <f>"20200111150706653"</f>
        <v>20200111150706653</v>
      </c>
      <c r="B3211" t="str">
        <f>"1578726426649938"</f>
        <v>1578726426649938</v>
      </c>
      <c r="C3211" t="s">
        <v>37</v>
      </c>
      <c r="D3211">
        <v>5.4109920000000002</v>
      </c>
      <c r="E3211">
        <v>0.47808820000000002</v>
      </c>
      <c r="F3211" t="s">
        <v>39</v>
      </c>
      <c r="G3211">
        <v>-162.9658</v>
      </c>
      <c r="H3211">
        <v>7.9986009999999996E-2</v>
      </c>
      <c r="I3211">
        <v>151.11170000000001</v>
      </c>
      <c r="J3211">
        <v>-188.4556</v>
      </c>
      <c r="K3211">
        <v>1.094071</v>
      </c>
      <c r="L3211">
        <v>156.38059999999999</v>
      </c>
      <c r="M3211">
        <v>0.999710399999999</v>
      </c>
      <c r="N3211">
        <v>0</v>
      </c>
      <c r="O3211">
        <v>-2.0807340000000001E-2</v>
      </c>
      <c r="P3211">
        <v>0.95407779999999998</v>
      </c>
      <c r="Q3211">
        <v>0.16997379999999901</v>
      </c>
      <c r="R3211">
        <v>-0.24666669999999999</v>
      </c>
      <c r="S3211">
        <v>3.0046390000000001</v>
      </c>
      <c r="T3211">
        <v>-0.1184863</v>
      </c>
      <c r="U3211">
        <v>-0.61775210000000003</v>
      </c>
      <c r="V3211">
        <v>0.2308723</v>
      </c>
      <c r="W3211">
        <v>0.17629400000000001</v>
      </c>
      <c r="X3211">
        <v>0.95687949999999999</v>
      </c>
      <c r="Y3211">
        <v>0.1808418</v>
      </c>
      <c r="Z3211">
        <v>-2.7161500000000001E-3</v>
      </c>
      <c r="AA3211">
        <v>0.98350849999999901</v>
      </c>
      <c r="AB3211">
        <v>23</v>
      </c>
      <c r="AC3211">
        <v>25.489799999999999</v>
      </c>
      <c r="AD3211">
        <v>-1.01408499</v>
      </c>
      <c r="AE3211">
        <v>-5.2688999999999702</v>
      </c>
      <c r="AF3211">
        <v>4.7301654853994597</v>
      </c>
      <c r="AG3211">
        <v>-1.01408499</v>
      </c>
      <c r="AH3211">
        <v>25.555130256731601</v>
      </c>
      <c r="AI3211">
        <v>92.234516731756401</v>
      </c>
      <c r="AJ3211">
        <v>79.513435185809399</v>
      </c>
      <c r="AK3211">
        <v>26.008989144615501</v>
      </c>
    </row>
    <row r="3212" spans="1:37" x14ac:dyDescent="0.2">
      <c r="A3212" t="str">
        <f>"20200111150706674"</f>
        <v>20200111150706674</v>
      </c>
      <c r="B3212" t="str">
        <f>"1578726426670434"</f>
        <v>1578726426670434</v>
      </c>
      <c r="C3212" t="s">
        <v>37</v>
      </c>
      <c r="D3212">
        <v>5.4138789999999997</v>
      </c>
      <c r="E3212">
        <v>0.47830699999999998</v>
      </c>
      <c r="F3212" t="s">
        <v>39</v>
      </c>
      <c r="G3212">
        <v>-158.87020000000001</v>
      </c>
      <c r="H3212">
        <v>7.9986550000000003E-2</v>
      </c>
      <c r="I3212">
        <v>150.3432</v>
      </c>
      <c r="J3212">
        <v>-188.2337</v>
      </c>
      <c r="K3212">
        <v>1.0942799999999999</v>
      </c>
      <c r="L3212">
        <v>156.3604</v>
      </c>
      <c r="M3212">
        <v>0.99932649999999901</v>
      </c>
      <c r="N3212">
        <v>0</v>
      </c>
      <c r="O3212">
        <v>-3.4679590000000003E-2</v>
      </c>
      <c r="P3212">
        <v>0.95184859999999905</v>
      </c>
      <c r="Q3212">
        <v>0.16993539999999999</v>
      </c>
      <c r="R3212">
        <v>-0.25516030000000001</v>
      </c>
      <c r="S3212">
        <v>3.004257</v>
      </c>
      <c r="T3212">
        <v>-0.10297539999999999</v>
      </c>
      <c r="U3212">
        <v>-0.61306759999999905</v>
      </c>
      <c r="V3212">
        <v>0.22601089999999999</v>
      </c>
      <c r="W3212">
        <v>0.176424</v>
      </c>
      <c r="X3212">
        <v>0.95801550000000002</v>
      </c>
      <c r="Y3212">
        <v>0.16576979999999999</v>
      </c>
      <c r="Z3212">
        <v>-1.6361100000000001E-3</v>
      </c>
      <c r="AA3212">
        <v>0.98616309999999996</v>
      </c>
      <c r="AB3212">
        <v>23</v>
      </c>
      <c r="AC3212">
        <v>29.363499999999899</v>
      </c>
      <c r="AD3212">
        <v>-1.01429344999999</v>
      </c>
      <c r="AE3212">
        <v>-6.0171999999999999</v>
      </c>
      <c r="AF3212">
        <v>4.98947912401003</v>
      </c>
      <c r="AG3212">
        <v>-1.01429344999999</v>
      </c>
      <c r="AH3212">
        <v>29.520719378131702</v>
      </c>
      <c r="AI3212">
        <v>91.940336561650099</v>
      </c>
      <c r="AJ3212">
        <v>80.406749190245606</v>
      </c>
      <c r="AK3212">
        <v>29.956578004405699</v>
      </c>
    </row>
    <row r="3213" spans="1:37" x14ac:dyDescent="0.2">
      <c r="A3213" t="str">
        <f>"20200111150706694"</f>
        <v>20200111150706694</v>
      </c>
      <c r="B3213" t="str">
        <f>"1578726426689955"</f>
        <v>1578726426689955</v>
      </c>
      <c r="C3213" t="s">
        <v>37</v>
      </c>
      <c r="D3213">
        <v>5.5854799999999996</v>
      </c>
      <c r="E3213">
        <v>0.47936229999999902</v>
      </c>
      <c r="F3213" t="s">
        <v>39</v>
      </c>
      <c r="G3213">
        <v>-165.19239999999999</v>
      </c>
      <c r="H3213">
        <v>7.9985299999999995E-2</v>
      </c>
      <c r="I3213">
        <v>151.4272</v>
      </c>
      <c r="J3213">
        <v>-188.01499999999999</v>
      </c>
      <c r="K3213">
        <v>1.094479</v>
      </c>
      <c r="L3213">
        <v>156.33770000000001</v>
      </c>
      <c r="M3213">
        <v>0.99877320000000003</v>
      </c>
      <c r="N3213">
        <v>0</v>
      </c>
      <c r="O3213">
        <v>-4.8061930000000003E-2</v>
      </c>
      <c r="P3213">
        <v>0.95025550000000003</v>
      </c>
      <c r="Q3213">
        <v>0.16822590000000001</v>
      </c>
      <c r="R3213">
        <v>-0.26213539999999902</v>
      </c>
      <c r="S3213">
        <v>3.0030060000000001</v>
      </c>
      <c r="T3213">
        <v>-0.13219420000000001</v>
      </c>
      <c r="U3213">
        <v>-0.64294430000000002</v>
      </c>
      <c r="V3213">
        <v>0.22004580000000001</v>
      </c>
      <c r="W3213">
        <v>0.174904</v>
      </c>
      <c r="X3213">
        <v>0.95968140000000002</v>
      </c>
      <c r="Y3213">
        <v>0.16200829999999999</v>
      </c>
      <c r="Z3213">
        <v>-1.4363259999999999E-3</v>
      </c>
      <c r="AA3213">
        <v>0.98678829999999995</v>
      </c>
      <c r="AB3213">
        <v>23</v>
      </c>
      <c r="AC3213">
        <v>22.822599999999898</v>
      </c>
      <c r="AD3213">
        <v>-1.0144937000000001</v>
      </c>
      <c r="AE3213">
        <v>-4.9105000000000096</v>
      </c>
      <c r="AF3213">
        <v>3.80067070753236</v>
      </c>
      <c r="AG3213">
        <v>-1.0144937000000001</v>
      </c>
      <c r="AH3213">
        <v>22.9888321689204</v>
      </c>
      <c r="AI3213">
        <v>92.493017176416501</v>
      </c>
      <c r="AJ3213">
        <v>80.612386282330107</v>
      </c>
      <c r="AK3213">
        <v>23.322965072760901</v>
      </c>
    </row>
    <row r="3214" spans="1:37" x14ac:dyDescent="0.2">
      <c r="A3214" t="str">
        <f>"20200111150706736"</f>
        <v>20200111150706736</v>
      </c>
      <c r="B3214" t="str">
        <f>"1578726426729972"</f>
        <v>1578726426729972</v>
      </c>
      <c r="C3214" t="s">
        <v>37</v>
      </c>
      <c r="D3214">
        <v>5.4158429999999997</v>
      </c>
      <c r="E3214">
        <v>0.48783019999999999</v>
      </c>
      <c r="F3214" t="s">
        <v>39</v>
      </c>
      <c r="G3214">
        <v>-168.5813</v>
      </c>
      <c r="H3214">
        <v>7.9986470000000004E-2</v>
      </c>
      <c r="I3214">
        <v>151.95830000000001</v>
      </c>
      <c r="J3214">
        <v>-187.57329999999999</v>
      </c>
      <c r="K3214">
        <v>1.0948420000000001</v>
      </c>
      <c r="L3214">
        <v>156.2843</v>
      </c>
      <c r="M3214">
        <v>0.99717429999999996</v>
      </c>
      <c r="N3214">
        <v>0</v>
      </c>
      <c r="O3214">
        <v>-7.4194609999999994E-2</v>
      </c>
      <c r="P3214">
        <v>0.94707199999999903</v>
      </c>
      <c r="Q3214">
        <v>0.163958399999999</v>
      </c>
      <c r="R3214">
        <v>-0.27599299999999999</v>
      </c>
      <c r="S3214">
        <v>2.998383</v>
      </c>
      <c r="T3214">
        <v>-0.15652349999999901</v>
      </c>
      <c r="U3214">
        <v>-0.67568969999999995</v>
      </c>
      <c r="V3214">
        <v>0.20859369999999999</v>
      </c>
      <c r="W3214">
        <v>0.1709744</v>
      </c>
      <c r="X3214">
        <v>0.96294150000000001</v>
      </c>
      <c r="Y3214">
        <v>0.1467541</v>
      </c>
      <c r="Z3214" s="1">
        <v>3.1892679999999999E-5</v>
      </c>
      <c r="AA3214">
        <v>0.98917299999999997</v>
      </c>
      <c r="AB3214">
        <v>23</v>
      </c>
      <c r="AC3214">
        <v>18.991999999999901</v>
      </c>
      <c r="AD3214">
        <v>-1.01485553</v>
      </c>
      <c r="AE3214">
        <v>-4.3259999999999899</v>
      </c>
      <c r="AF3214">
        <v>2.8970091651929999</v>
      </c>
      <c r="AG3214">
        <v>-1.01485553</v>
      </c>
      <c r="AH3214">
        <v>19.208492173509399</v>
      </c>
      <c r="AI3214">
        <v>92.990576745537794</v>
      </c>
      <c r="AJ3214">
        <v>81.423336801504007</v>
      </c>
      <c r="AK3214">
        <v>19.452217493894</v>
      </c>
    </row>
    <row r="3215" spans="1:37" x14ac:dyDescent="0.2">
      <c r="A3215" t="str">
        <f>"20200111150706763"</f>
        <v>20200111150706763</v>
      </c>
      <c r="B3215" t="str">
        <f>"1578726426760226"</f>
        <v>1578726426760226</v>
      </c>
      <c r="C3215" t="s">
        <v>37</v>
      </c>
      <c r="D3215">
        <v>5.5025339999999998</v>
      </c>
      <c r="E3215">
        <v>0.49467640000000002</v>
      </c>
      <c r="F3215" t="s">
        <v>53</v>
      </c>
      <c r="G3215">
        <v>0</v>
      </c>
      <c r="H3215">
        <v>0</v>
      </c>
      <c r="I3215">
        <v>0</v>
      </c>
      <c r="J3215">
        <v>-187.28829999999999</v>
      </c>
      <c r="K3215">
        <v>1.0950599999999999</v>
      </c>
      <c r="L3215">
        <v>156.2441</v>
      </c>
      <c r="M3215">
        <v>0.99583790000000005</v>
      </c>
      <c r="N3215">
        <v>0</v>
      </c>
      <c r="O3215">
        <v>-9.03891E-2</v>
      </c>
      <c r="P3215">
        <v>0.94440419999999903</v>
      </c>
      <c r="Q3215">
        <v>0.16300139999999999</v>
      </c>
      <c r="R3215">
        <v>-0.28553659999999997</v>
      </c>
      <c r="S3215">
        <v>2.891464</v>
      </c>
      <c r="T3215">
        <v>0.33837329999999999</v>
      </c>
      <c r="U3215">
        <v>-0.74674989999999997</v>
      </c>
      <c r="V3215">
        <v>0.20252010000000001</v>
      </c>
      <c r="W3215">
        <v>0.17017660000000001</v>
      </c>
      <c r="X3215">
        <v>0.96437830000000002</v>
      </c>
      <c r="Y3215">
        <v>0.16105749999999999</v>
      </c>
      <c r="Z3215">
        <v>-1.0921169999999899E-3</v>
      </c>
      <c r="AA3215">
        <v>0.98694439999999894</v>
      </c>
      <c r="AB3215">
        <v>23</v>
      </c>
      <c r="AC3215">
        <v>2.891464</v>
      </c>
      <c r="AD3215">
        <v>0.33837329999999999</v>
      </c>
      <c r="AE3215">
        <v>-0.74674989999999997</v>
      </c>
      <c r="AF3215">
        <v>0.47620423020071201</v>
      </c>
      <c r="AG3215">
        <v>0.33837329999999999</v>
      </c>
      <c r="AH3215">
        <v>2.9097717484963201</v>
      </c>
      <c r="AI3215">
        <v>83.453268379830405</v>
      </c>
      <c r="AJ3215">
        <v>80.705545325009197</v>
      </c>
      <c r="AK3215">
        <v>2.9678339891849199</v>
      </c>
    </row>
    <row r="3216" spans="1:37" x14ac:dyDescent="0.2">
      <c r="A3216" t="str">
        <f>"20200111150706784"</f>
        <v>20200111150706784</v>
      </c>
      <c r="B3216" t="str">
        <f>"1578726426780722"</f>
        <v>1578726426780722</v>
      </c>
      <c r="C3216" t="s">
        <v>37</v>
      </c>
      <c r="D3216">
        <v>5.4929239999999897</v>
      </c>
      <c r="E3216">
        <v>0.49055310000000002</v>
      </c>
      <c r="F3216" t="s">
        <v>38</v>
      </c>
      <c r="G3216">
        <v>-186.49029999999999</v>
      </c>
      <c r="H3216">
        <v>1.0145999999999999</v>
      </c>
      <c r="I3216">
        <v>156.00720000000001</v>
      </c>
      <c r="J3216">
        <v>-187.05779999999999</v>
      </c>
      <c r="K3216">
        <v>1.0952299999999999</v>
      </c>
      <c r="L3216">
        <v>156.20869999999999</v>
      </c>
      <c r="M3216">
        <v>0.99459699999999995</v>
      </c>
      <c r="N3216">
        <v>0</v>
      </c>
      <c r="O3216">
        <v>-0.103160899999999</v>
      </c>
      <c r="P3216">
        <v>0.94217030000000002</v>
      </c>
      <c r="Q3216">
        <v>0.1633116</v>
      </c>
      <c r="R3216">
        <v>-0.29265099999999999</v>
      </c>
      <c r="S3216">
        <v>2.9622189999999899</v>
      </c>
      <c r="T3216">
        <v>-0.2984443</v>
      </c>
      <c r="U3216">
        <v>-0.87944029999999995</v>
      </c>
      <c r="V3216">
        <v>0.1973482</v>
      </c>
      <c r="W3216">
        <v>0.17060890000000001</v>
      </c>
      <c r="X3216">
        <v>0.96537359999999905</v>
      </c>
      <c r="Y3216">
        <v>0.18381400000000001</v>
      </c>
      <c r="Z3216">
        <v>1.056661E-3</v>
      </c>
      <c r="AA3216">
        <v>0.98296049999999902</v>
      </c>
      <c r="AB3216">
        <v>23</v>
      </c>
      <c r="AC3216">
        <v>0.56749999999999501</v>
      </c>
      <c r="AD3216">
        <v>-8.0629999999999896E-2</v>
      </c>
      <c r="AE3216">
        <v>-0.201499999999981</v>
      </c>
      <c r="AF3216">
        <v>0.13937846813138799</v>
      </c>
      <c r="AG3216">
        <v>-8.0629999999999896E-2</v>
      </c>
      <c r="AH3216">
        <v>0.57495322099923396</v>
      </c>
      <c r="AI3216">
        <v>97.761026728333206</v>
      </c>
      <c r="AJ3216">
        <v>76.373393947001802</v>
      </c>
      <c r="AK3216">
        <v>0.59707517166270296</v>
      </c>
    </row>
    <row r="3217" spans="1:37" x14ac:dyDescent="0.2">
      <c r="A3217" t="str">
        <f>"20200111150706808"</f>
        <v>20200111150706808</v>
      </c>
      <c r="B3217" t="str">
        <f>"1578726426800242"</f>
        <v>1578726426800242</v>
      </c>
      <c r="C3217" t="s">
        <v>37</v>
      </c>
      <c r="D3217">
        <v>5.4425359999999996</v>
      </c>
      <c r="E3217">
        <v>0.48817479999999902</v>
      </c>
      <c r="F3217" t="s">
        <v>38</v>
      </c>
      <c r="G3217">
        <v>-186.28129999999999</v>
      </c>
      <c r="H3217">
        <v>1.010707</v>
      </c>
      <c r="I3217">
        <v>155.9802</v>
      </c>
      <c r="J3217">
        <v>-186.80459999999999</v>
      </c>
      <c r="K3217">
        <v>1.0954250000000001</v>
      </c>
      <c r="L3217">
        <v>156.16679999999999</v>
      </c>
      <c r="M3217">
        <v>0.99308549999999995</v>
      </c>
      <c r="N3217">
        <v>0</v>
      </c>
      <c r="O3217">
        <v>-0.11682679999999999</v>
      </c>
      <c r="P3217">
        <v>0.93957809999999897</v>
      </c>
      <c r="Q3217">
        <v>0.16416140000000001</v>
      </c>
      <c r="R3217">
        <v>-0.30040709999999998</v>
      </c>
      <c r="S3217">
        <v>2.9688110000000001</v>
      </c>
      <c r="T3217">
        <v>-0.32254949999999999</v>
      </c>
      <c r="U3217">
        <v>-0.87324519999999906</v>
      </c>
      <c r="V3217">
        <v>0.191972799999999</v>
      </c>
      <c r="W3217">
        <v>0.17158509999999999</v>
      </c>
      <c r="X3217">
        <v>0.96628409999999998</v>
      </c>
      <c r="Y3217">
        <v>0.1678905</v>
      </c>
      <c r="Z3217">
        <v>3.41660099999999E-3</v>
      </c>
      <c r="AA3217">
        <v>0.98579969999999995</v>
      </c>
      <c r="AB3217">
        <v>23</v>
      </c>
      <c r="AC3217">
        <v>0.52330000000000598</v>
      </c>
      <c r="AD3217">
        <v>-8.4718000000000002E-2</v>
      </c>
      <c r="AE3217">
        <v>-0.18659999999999799</v>
      </c>
      <c r="AF3217">
        <v>0.12136060487019</v>
      </c>
      <c r="AG3217">
        <v>-8.4718000000000002E-2</v>
      </c>
      <c r="AH3217">
        <v>0.52921200705109095</v>
      </c>
      <c r="AI3217">
        <v>98.868523962274907</v>
      </c>
      <c r="AJ3217">
        <v>77.084068996921602</v>
      </c>
      <c r="AK3217">
        <v>0.54951877524385095</v>
      </c>
    </row>
    <row r="3218" spans="1:37" x14ac:dyDescent="0.2">
      <c r="A3218" t="str">
        <f>"20200111150706828"</f>
        <v>20200111150706828</v>
      </c>
      <c r="B3218" t="str">
        <f>"1578726426820737"</f>
        <v>1578726426820737</v>
      </c>
      <c r="C3218" t="s">
        <v>37</v>
      </c>
      <c r="D3218">
        <v>5.5097370000000003</v>
      </c>
      <c r="E3218">
        <v>0.48605870000000001</v>
      </c>
      <c r="F3218" t="s">
        <v>38</v>
      </c>
      <c r="G3218">
        <v>-186.06989999999999</v>
      </c>
      <c r="H3218">
        <v>1.011876</v>
      </c>
      <c r="I3218">
        <v>155.9486</v>
      </c>
      <c r="J3218">
        <v>-186.58789999999999</v>
      </c>
      <c r="K3218">
        <v>1.0955979999999901</v>
      </c>
      <c r="L3218">
        <v>156.1283</v>
      </c>
      <c r="M3218">
        <v>0.99167939999999999</v>
      </c>
      <c r="N3218">
        <v>0</v>
      </c>
      <c r="O3218">
        <v>-0.128222</v>
      </c>
      <c r="P3218">
        <v>0.93788139999999998</v>
      </c>
      <c r="Q3218">
        <v>0.1649986</v>
      </c>
      <c r="R3218">
        <v>-0.30521169999999997</v>
      </c>
      <c r="S3218">
        <v>2.969894</v>
      </c>
      <c r="T3218">
        <v>-0.33751550000000002</v>
      </c>
      <c r="U3218">
        <v>-0.88195800000000002</v>
      </c>
      <c r="V3218">
        <v>0.1857704</v>
      </c>
      <c r="W3218">
        <v>0.17256450000000001</v>
      </c>
      <c r="X3218">
        <v>0.96732149999999995</v>
      </c>
      <c r="Y3218">
        <v>0.1592189</v>
      </c>
      <c r="Z3218">
        <v>5.29752E-3</v>
      </c>
      <c r="AA3218">
        <v>0.98722909999999997</v>
      </c>
      <c r="AB3218">
        <v>23</v>
      </c>
      <c r="AC3218">
        <v>0.51800000000000002</v>
      </c>
      <c r="AD3218">
        <v>-8.3721999999999797E-2</v>
      </c>
      <c r="AE3218">
        <v>-0.179699999999996</v>
      </c>
      <c r="AF3218">
        <v>0.109245867272772</v>
      </c>
      <c r="AG3218">
        <v>-8.3721999999999797E-2</v>
      </c>
      <c r="AH3218">
        <v>0.52453615625920802</v>
      </c>
      <c r="AI3218">
        <v>98.881132374807606</v>
      </c>
      <c r="AJ3218">
        <v>78.235113311796695</v>
      </c>
      <c r="AK3218">
        <v>0.542293474074108</v>
      </c>
    </row>
    <row r="3219" spans="1:37" x14ac:dyDescent="0.2">
      <c r="A3219" t="str">
        <f>"20200111150706870"</f>
        <v>20200111150706870</v>
      </c>
      <c r="B3219" t="str">
        <f>"1578726426860758"</f>
        <v>1578726426860758</v>
      </c>
      <c r="C3219" t="s">
        <v>37</v>
      </c>
      <c r="D3219">
        <v>5.4327259999999997</v>
      </c>
      <c r="E3219">
        <v>0.48514390000000002</v>
      </c>
      <c r="F3219" t="s">
        <v>38</v>
      </c>
      <c r="G3219">
        <v>-185.86019999999999</v>
      </c>
      <c r="H3219">
        <v>1.010054</v>
      </c>
      <c r="I3219">
        <v>155.91139999999999</v>
      </c>
      <c r="J3219">
        <v>-186.1524</v>
      </c>
      <c r="K3219">
        <v>1.095933</v>
      </c>
      <c r="L3219">
        <v>156.04419999999999</v>
      </c>
      <c r="M3219">
        <v>0.9885581</v>
      </c>
      <c r="N3219">
        <v>0</v>
      </c>
      <c r="O3219">
        <v>-0.1504154</v>
      </c>
      <c r="P3219">
        <v>0.93458009999999903</v>
      </c>
      <c r="Q3219">
        <v>0.1664001</v>
      </c>
      <c r="R3219">
        <v>-0.31443860000000001</v>
      </c>
      <c r="S3219">
        <v>2.971832</v>
      </c>
      <c r="T3219">
        <v>-0.34919820000000001</v>
      </c>
      <c r="U3219">
        <v>-0.8859863</v>
      </c>
      <c r="V3219">
        <v>0.17351150000000001</v>
      </c>
      <c r="W3219">
        <v>0.17423159999999999</v>
      </c>
      <c r="X3219">
        <v>0.96929719999999997</v>
      </c>
      <c r="Y3219">
        <v>0.1383655</v>
      </c>
      <c r="Z3219">
        <v>9.1701879999999993E-3</v>
      </c>
      <c r="AA3219">
        <v>0.99033879999999996</v>
      </c>
      <c r="AB3219">
        <v>24</v>
      </c>
      <c r="AC3219">
        <v>0.29220000000000801</v>
      </c>
      <c r="AD3219">
        <v>-8.5878999999999997E-2</v>
      </c>
      <c r="AE3219">
        <v>-0.132800000000003</v>
      </c>
      <c r="AF3219">
        <v>8.1499958609984102E-2</v>
      </c>
      <c r="AG3219">
        <v>-8.5878999999999997E-2</v>
      </c>
      <c r="AH3219">
        <v>0.28821746722879299</v>
      </c>
      <c r="AI3219">
        <v>105.99882400602</v>
      </c>
      <c r="AJ3219">
        <v>74.210558694949299</v>
      </c>
      <c r="AK3219">
        <v>0.31158747457208402</v>
      </c>
    </row>
    <row r="3220" spans="1:37" x14ac:dyDescent="0.2">
      <c r="A3220" t="str">
        <f>"20200111150706896"</f>
        <v>20200111150706896</v>
      </c>
      <c r="B3220" t="str">
        <f>"1578726426890034"</f>
        <v>1578726426890034</v>
      </c>
      <c r="C3220" t="s">
        <v>37</v>
      </c>
      <c r="D3220">
        <v>5.4603849999999996</v>
      </c>
      <c r="E3220">
        <v>0.4843343</v>
      </c>
      <c r="F3220" t="s">
        <v>38</v>
      </c>
      <c r="G3220">
        <v>-185.43639999999999</v>
      </c>
      <c r="H3220">
        <v>1.0177700000000001</v>
      </c>
      <c r="I3220">
        <v>155.8244</v>
      </c>
      <c r="J3220">
        <v>-185.8723</v>
      </c>
      <c r="K3220">
        <v>1.0960809999999901</v>
      </c>
      <c r="L3220">
        <v>155.98519999999999</v>
      </c>
      <c r="M3220">
        <v>0.98634840000000001</v>
      </c>
      <c r="N3220">
        <v>0</v>
      </c>
      <c r="O3220">
        <v>-0.1642866</v>
      </c>
      <c r="P3220">
        <v>0.93166119999999997</v>
      </c>
      <c r="Q3220">
        <v>0.16700139999999999</v>
      </c>
      <c r="R3220">
        <v>-0.3226735</v>
      </c>
      <c r="S3220">
        <v>2.9617610000000001</v>
      </c>
      <c r="T3220">
        <v>-0.32319589999999998</v>
      </c>
      <c r="U3220">
        <v>-0.90884399999999999</v>
      </c>
      <c r="V3220">
        <v>0.16840379999999899</v>
      </c>
      <c r="W3220">
        <v>0.1749279</v>
      </c>
      <c r="X3220">
        <v>0.9700723</v>
      </c>
      <c r="Y3220">
        <v>0.132468</v>
      </c>
      <c r="Z3220">
        <v>1.026529E-2</v>
      </c>
      <c r="AA3220">
        <v>0.99113410000000002</v>
      </c>
      <c r="AB3220">
        <v>24</v>
      </c>
      <c r="AC3220">
        <v>0.43590000000000301</v>
      </c>
      <c r="AD3220">
        <v>-7.8310999999999797E-2</v>
      </c>
      <c r="AE3220">
        <v>-0.160799999999994</v>
      </c>
      <c r="AF3220">
        <v>8.4594525703113099E-2</v>
      </c>
      <c r="AG3220">
        <v>-7.8310999999999797E-2</v>
      </c>
      <c r="AH3220">
        <v>0.44378772425406499</v>
      </c>
      <c r="AI3220">
        <v>99.833900509435296</v>
      </c>
      <c r="AJ3220">
        <v>79.207787307523205</v>
      </c>
      <c r="AK3220">
        <v>0.45851542034978199</v>
      </c>
    </row>
    <row r="3221" spans="1:37" x14ac:dyDescent="0.2">
      <c r="A3221" t="str">
        <f>"20200111150706919"</f>
        <v>20200111150706919</v>
      </c>
      <c r="B3221" t="str">
        <f>"1578726426910530"</f>
        <v>1578726426910530</v>
      </c>
      <c r="C3221" t="s">
        <v>37</v>
      </c>
      <c r="D3221">
        <v>5.5330370000000002</v>
      </c>
      <c r="E3221">
        <v>0.4840217</v>
      </c>
      <c r="F3221" t="s">
        <v>38</v>
      </c>
      <c r="G3221">
        <v>-185.02359999999999</v>
      </c>
      <c r="H3221">
        <v>1.00725</v>
      </c>
      <c r="I3221">
        <v>155.7183</v>
      </c>
      <c r="J3221">
        <v>-185.63550000000001</v>
      </c>
      <c r="K3221">
        <v>1.096168</v>
      </c>
      <c r="L3221">
        <v>155.9323</v>
      </c>
      <c r="M3221">
        <v>0.9843615</v>
      </c>
      <c r="N3221">
        <v>0</v>
      </c>
      <c r="O3221">
        <v>-0.1758043</v>
      </c>
      <c r="P3221">
        <v>0.92943869999999895</v>
      </c>
      <c r="Q3221">
        <v>0.1678473</v>
      </c>
      <c r="R3221">
        <v>-0.32859060000000001</v>
      </c>
      <c r="S3221">
        <v>2.9538419999999999</v>
      </c>
      <c r="T3221">
        <v>-0.30871569999999998</v>
      </c>
      <c r="U3221">
        <v>-0.92842099999999905</v>
      </c>
      <c r="V3221">
        <v>0.16322310000000001</v>
      </c>
      <c r="W3221">
        <v>0.17586260000000001</v>
      </c>
      <c r="X3221">
        <v>0.97078869999999895</v>
      </c>
      <c r="Y3221">
        <v>0.12767980000000001</v>
      </c>
      <c r="Z3221">
        <v>1.1209210000000001E-2</v>
      </c>
      <c r="AA3221">
        <v>0.99175210000000003</v>
      </c>
      <c r="AB3221">
        <v>24</v>
      </c>
      <c r="AC3221">
        <v>0.61190000000001898</v>
      </c>
      <c r="AD3221">
        <v>-8.8917999999999997E-2</v>
      </c>
      <c r="AE3221">
        <v>-0.213999999999998</v>
      </c>
      <c r="AF3221">
        <v>0.10118143492155</v>
      </c>
      <c r="AG3221">
        <v>-8.8917999999999997E-2</v>
      </c>
      <c r="AH3221">
        <v>0.62817389781122501</v>
      </c>
      <c r="AI3221">
        <v>97.955490649453296</v>
      </c>
      <c r="AJ3221">
        <v>80.849826602823299</v>
      </c>
      <c r="AK3221">
        <v>0.64245353091732005</v>
      </c>
    </row>
    <row r="3222" spans="1:37" x14ac:dyDescent="0.2">
      <c r="A3222" t="str">
        <f>"20200111150706941"</f>
        <v>20200111150706941</v>
      </c>
      <c r="B3222" t="str">
        <f>"1578726426930050"</f>
        <v>1578726426930050</v>
      </c>
      <c r="C3222" t="s">
        <v>37</v>
      </c>
      <c r="D3222">
        <v>5.4848970000000001</v>
      </c>
      <c r="E3222">
        <v>0.48322139999999902</v>
      </c>
      <c r="F3222" t="s">
        <v>38</v>
      </c>
      <c r="G3222">
        <v>-184.81180000000001</v>
      </c>
      <c r="H3222">
        <v>1.011916</v>
      </c>
      <c r="I3222">
        <v>155.66800000000001</v>
      </c>
      <c r="J3222">
        <v>-185.39529999999999</v>
      </c>
      <c r="K3222">
        <v>1.096236</v>
      </c>
      <c r="L3222">
        <v>155.8759</v>
      </c>
      <c r="M3222">
        <v>0.98223729999999998</v>
      </c>
      <c r="N3222">
        <v>0</v>
      </c>
      <c r="O3222">
        <v>-0.18731099999999901</v>
      </c>
      <c r="P3222">
        <v>0.92728809999999995</v>
      </c>
      <c r="Q3222">
        <v>0.16692509999999999</v>
      </c>
      <c r="R3222">
        <v>-0.33507229999999999</v>
      </c>
      <c r="S3222">
        <v>2.9478610000000001</v>
      </c>
      <c r="T3222">
        <v>-0.3014637</v>
      </c>
      <c r="U3222">
        <v>-0.94570919999999903</v>
      </c>
      <c r="V3222">
        <v>0.1585529</v>
      </c>
      <c r="W3222">
        <v>0.17501429999999901</v>
      </c>
      <c r="X3222">
        <v>0.97171549999999995</v>
      </c>
      <c r="Y3222">
        <v>0.121997699999999</v>
      </c>
      <c r="Z3222">
        <v>1.235404E-2</v>
      </c>
      <c r="AA3222">
        <v>0.99245349999999999</v>
      </c>
      <c r="AB3222">
        <v>24</v>
      </c>
      <c r="AC3222">
        <v>0.58349999999998603</v>
      </c>
      <c r="AD3222">
        <v>-8.4319999999999895E-2</v>
      </c>
      <c r="AE3222">
        <v>-0.20789999999999501</v>
      </c>
      <c r="AF3222">
        <v>9.3190258221752406E-2</v>
      </c>
      <c r="AG3222">
        <v>-8.4319999999999895E-2</v>
      </c>
      <c r="AH3222">
        <v>0.60097937111491695</v>
      </c>
      <c r="AI3222">
        <v>97.893584517083596</v>
      </c>
      <c r="AJ3222">
        <v>81.185686799818399</v>
      </c>
      <c r="AK3222">
        <v>0.61397922695569895</v>
      </c>
    </row>
    <row r="3223" spans="1:37" x14ac:dyDescent="0.2">
      <c r="A3223" t="str">
        <f>"20200111150706966"</f>
        <v>20200111150706966</v>
      </c>
      <c r="B3223" t="str">
        <f>"1578726426960306"</f>
        <v>1578726426960306</v>
      </c>
      <c r="C3223" t="s">
        <v>37</v>
      </c>
      <c r="D3223">
        <v>5.4693250000000004</v>
      </c>
      <c r="E3223">
        <v>0.4821454</v>
      </c>
      <c r="F3223" t="s">
        <v>38</v>
      </c>
      <c r="G3223">
        <v>-184.60069999999999</v>
      </c>
      <c r="H3223">
        <v>1.0149779999999999</v>
      </c>
      <c r="I3223">
        <v>155.61660000000001</v>
      </c>
      <c r="J3223">
        <v>-185.14259999999999</v>
      </c>
      <c r="K3223">
        <v>1.0963080000000001</v>
      </c>
      <c r="L3223">
        <v>155.81360000000001</v>
      </c>
      <c r="M3223">
        <v>0.97988850000000005</v>
      </c>
      <c r="N3223">
        <v>0</v>
      </c>
      <c r="O3223">
        <v>-0.19923650000000001</v>
      </c>
      <c r="P3223">
        <v>0.92527280000000001</v>
      </c>
      <c r="Q3223">
        <v>0.16446720000000001</v>
      </c>
      <c r="R3223">
        <v>-0.34179090000000001</v>
      </c>
      <c r="S3223">
        <v>2.9424739999999998</v>
      </c>
      <c r="T3223">
        <v>-0.30068339999999999</v>
      </c>
      <c r="U3223">
        <v>-0.96005249999999998</v>
      </c>
      <c r="V3223">
        <v>0.15361810000000001</v>
      </c>
      <c r="W3223">
        <v>0.17263779999999901</v>
      </c>
      <c r="X3223">
        <v>0.97293249999999998</v>
      </c>
      <c r="Y3223">
        <v>0.1149216</v>
      </c>
      <c r="Z3223">
        <v>1.383413E-2</v>
      </c>
      <c r="AA3223">
        <v>0.993278199999999</v>
      </c>
      <c r="AB3223">
        <v>24</v>
      </c>
      <c r="AC3223">
        <v>0.54189999999999805</v>
      </c>
      <c r="AD3223">
        <v>-8.1329999999999902E-2</v>
      </c>
      <c r="AE3223">
        <v>-0.19700000000000201</v>
      </c>
      <c r="AF3223">
        <v>8.3417386760285206E-2</v>
      </c>
      <c r="AG3223">
        <v>-8.1329999999999902E-2</v>
      </c>
      <c r="AH3223">
        <v>0.55916151040583795</v>
      </c>
      <c r="AI3223">
        <v>98.186287677838394</v>
      </c>
      <c r="AJ3223">
        <v>81.515020942341394</v>
      </c>
      <c r="AK3223">
        <v>0.57116952302556701</v>
      </c>
    </row>
    <row r="3224" spans="1:37" x14ac:dyDescent="0.2">
      <c r="A3224" t="str">
        <f>"20200111150707005"</f>
        <v>20200111150707005</v>
      </c>
      <c r="B3224" t="str">
        <f>"1578726427000322"</f>
        <v>1578726427000322</v>
      </c>
      <c r="C3224" t="s">
        <v>37</v>
      </c>
      <c r="D3224">
        <v>5.426336</v>
      </c>
      <c r="E3224">
        <v>0.48104209999999897</v>
      </c>
      <c r="F3224" t="s">
        <v>38</v>
      </c>
      <c r="G3224">
        <v>-184.3895</v>
      </c>
      <c r="H3224">
        <v>1.0180039999999999</v>
      </c>
      <c r="I3224">
        <v>155.56440000000001</v>
      </c>
      <c r="J3224">
        <v>-184.7346</v>
      </c>
      <c r="K3224">
        <v>1.096489</v>
      </c>
      <c r="L3224">
        <v>155.70670000000001</v>
      </c>
      <c r="M3224">
        <v>0.97587809999999897</v>
      </c>
      <c r="N3224">
        <v>0</v>
      </c>
      <c r="O3224">
        <v>-0.2180367</v>
      </c>
      <c r="P3224">
        <v>0.92170580000000002</v>
      </c>
      <c r="Q3224">
        <v>0.163052</v>
      </c>
      <c r="R3224">
        <v>-0.35195549999999998</v>
      </c>
      <c r="S3224">
        <v>2.9374389999999999</v>
      </c>
      <c r="T3224">
        <v>-0.30550490000000002</v>
      </c>
      <c r="U3224">
        <v>-0.97230530000000004</v>
      </c>
      <c r="V3224">
        <v>0.14545179999999999</v>
      </c>
      <c r="W3224">
        <v>0.1713672</v>
      </c>
      <c r="X3224">
        <v>0.97441109999999898</v>
      </c>
      <c r="Y3224">
        <v>0.100221399999999</v>
      </c>
      <c r="Z3224">
        <v>1.6645900000000002E-2</v>
      </c>
      <c r="AA3224">
        <v>0.99482590000000004</v>
      </c>
      <c r="AB3224">
        <v>24</v>
      </c>
      <c r="AC3224">
        <v>0.34510000000000202</v>
      </c>
      <c r="AD3224">
        <v>-7.8484999999999902E-2</v>
      </c>
      <c r="AE3224">
        <v>-0.14230000000000501</v>
      </c>
      <c r="AF3224">
        <v>6.0933216560329399E-2</v>
      </c>
      <c r="AG3224">
        <v>-7.8484999999999902E-2</v>
      </c>
      <c r="AH3224">
        <v>0.35225268236178497</v>
      </c>
      <c r="AI3224">
        <v>102.38272984299201</v>
      </c>
      <c r="AJ3224">
        <v>80.186004741642705</v>
      </c>
      <c r="AK3224">
        <v>0.36599822996356202</v>
      </c>
    </row>
    <row r="3225" spans="1:37" x14ac:dyDescent="0.2">
      <c r="A3225" t="str">
        <f>"20200111150707033"</f>
        <v>20200111150707033</v>
      </c>
      <c r="B3225" t="str">
        <f>"1578726427030578"</f>
        <v>1578726427030578</v>
      </c>
      <c r="C3225" t="s">
        <v>37</v>
      </c>
      <c r="D3225">
        <v>5.4435760000000002</v>
      </c>
      <c r="E3225">
        <v>0.48051309999999903</v>
      </c>
      <c r="F3225" t="s">
        <v>38</v>
      </c>
      <c r="G3225">
        <v>-183.97280000000001</v>
      </c>
      <c r="H3225">
        <v>1.016594</v>
      </c>
      <c r="I3225">
        <v>155.44749999999999</v>
      </c>
      <c r="J3225">
        <v>-184.43729999999999</v>
      </c>
      <c r="K3225">
        <v>1.0966659999999999</v>
      </c>
      <c r="L3225">
        <v>155.6242</v>
      </c>
      <c r="M3225">
        <v>0.97280159999999904</v>
      </c>
      <c r="N3225">
        <v>0</v>
      </c>
      <c r="O3225">
        <v>-0.23137939999999901</v>
      </c>
      <c r="P3225">
        <v>0.91762849999999996</v>
      </c>
      <c r="Q3225">
        <v>0.16429270000000001</v>
      </c>
      <c r="R3225">
        <v>-0.3618924</v>
      </c>
      <c r="S3225">
        <v>2.9287259999999899</v>
      </c>
      <c r="T3225">
        <v>-0.30709229999999998</v>
      </c>
      <c r="U3225">
        <v>-0.99630739999999995</v>
      </c>
      <c r="V3225">
        <v>0.14263210000000001</v>
      </c>
      <c r="W3225">
        <v>0.1726598</v>
      </c>
      <c r="X3225">
        <v>0.97459979999999902</v>
      </c>
      <c r="Y3225">
        <v>9.4896640000000004E-2</v>
      </c>
      <c r="Z3225">
        <v>1.832976E-2</v>
      </c>
      <c r="AA3225">
        <v>0.99531840000000005</v>
      </c>
      <c r="AB3225">
        <v>24</v>
      </c>
      <c r="AC3225">
        <v>0.46449999999998598</v>
      </c>
      <c r="AD3225">
        <v>-8.0071999999999893E-2</v>
      </c>
      <c r="AE3225">
        <v>-0.17670000000000999</v>
      </c>
      <c r="AF3225">
        <v>6.27921525182394E-2</v>
      </c>
      <c r="AG3225">
        <v>-8.0071999999999893E-2</v>
      </c>
      <c r="AH3225">
        <v>0.4803122045039</v>
      </c>
      <c r="AI3225">
        <v>99.386209345584206</v>
      </c>
      <c r="AJ3225">
        <v>82.551850892976006</v>
      </c>
      <c r="AK3225">
        <v>0.49097270127499898</v>
      </c>
    </row>
    <row r="3226" spans="1:37" x14ac:dyDescent="0.2">
      <c r="A3226" t="str">
        <f>"20200111150707054"</f>
        <v>20200111150707054</v>
      </c>
      <c r="B3226" t="str">
        <f>"1578726427050098"</f>
        <v>1578726427050098</v>
      </c>
      <c r="C3226" t="s">
        <v>37</v>
      </c>
      <c r="D3226">
        <v>5.4565769999999896</v>
      </c>
      <c r="E3226">
        <v>0.48009370000000001</v>
      </c>
      <c r="F3226" t="s">
        <v>38</v>
      </c>
      <c r="G3226">
        <v>-183.5633</v>
      </c>
      <c r="H3226">
        <v>1.0053099999999999</v>
      </c>
      <c r="I3226">
        <v>155.3176</v>
      </c>
      <c r="J3226">
        <v>-184.2011</v>
      </c>
      <c r="K3226">
        <v>1.09683</v>
      </c>
      <c r="L3226">
        <v>155.55549999999999</v>
      </c>
      <c r="M3226">
        <v>0.97029480000000001</v>
      </c>
      <c r="N3226">
        <v>0</v>
      </c>
      <c r="O3226">
        <v>-0.24167810000000001</v>
      </c>
      <c r="P3226">
        <v>0.91466619999999998</v>
      </c>
      <c r="Q3226">
        <v>0.16491989999999901</v>
      </c>
      <c r="R3226">
        <v>-0.36903559999999902</v>
      </c>
      <c r="S3226">
        <v>2.9199679999999999</v>
      </c>
      <c r="T3226">
        <v>-0.30505339999999997</v>
      </c>
      <c r="U3226">
        <v>-1.024216</v>
      </c>
      <c r="V3226">
        <v>0.13986509999999999</v>
      </c>
      <c r="W3226">
        <v>0.17334559999999999</v>
      </c>
      <c r="X3226">
        <v>0.97487900000000005</v>
      </c>
      <c r="Y3226">
        <v>9.3793970000000004E-2</v>
      </c>
      <c r="Z3226">
        <v>1.928096E-2</v>
      </c>
      <c r="AA3226">
        <v>0.99540490000000004</v>
      </c>
      <c r="AB3226">
        <v>24</v>
      </c>
      <c r="AC3226">
        <v>0.63779999999999804</v>
      </c>
      <c r="AD3226">
        <v>-9.1520000000000004E-2</v>
      </c>
      <c r="AE3226">
        <v>-0.237899999999996</v>
      </c>
      <c r="AF3226">
        <v>7.5333737587648206E-2</v>
      </c>
      <c r="AG3226">
        <v>-9.1520000000000004E-2</v>
      </c>
      <c r="AH3226">
        <v>0.66438072565798301</v>
      </c>
      <c r="AI3226">
        <v>97.793941516715805</v>
      </c>
      <c r="AJ3226">
        <v>83.530895787416398</v>
      </c>
      <c r="AK3226">
        <v>0.67487245539046303</v>
      </c>
    </row>
    <row r="3227" spans="1:37" x14ac:dyDescent="0.2">
      <c r="A3227" t="str">
        <f>"20200111150707079"</f>
        <v>20200111150707079</v>
      </c>
      <c r="B3227" t="str">
        <f>"1578726427070594"</f>
        <v>1578726427070594</v>
      </c>
      <c r="C3227" t="s">
        <v>37</v>
      </c>
      <c r="D3227">
        <v>5.437036</v>
      </c>
      <c r="E3227">
        <v>0.47948370000000001</v>
      </c>
      <c r="F3227" t="s">
        <v>38</v>
      </c>
      <c r="G3227">
        <v>-183.35419999999999</v>
      </c>
      <c r="H3227">
        <v>1.008186</v>
      </c>
      <c r="I3227">
        <v>155.25229999999999</v>
      </c>
      <c r="J3227">
        <v>-183.96109999999999</v>
      </c>
      <c r="K3227">
        <v>1.097</v>
      </c>
      <c r="L3227">
        <v>155.48339999999999</v>
      </c>
      <c r="M3227">
        <v>0.96769719999999904</v>
      </c>
      <c r="N3227">
        <v>0</v>
      </c>
      <c r="O3227">
        <v>-0.25187929999999997</v>
      </c>
      <c r="P3227">
        <v>0.91253689999999998</v>
      </c>
      <c r="Q3227">
        <v>0.16527069999999999</v>
      </c>
      <c r="R3227">
        <v>-0.37411489999999997</v>
      </c>
      <c r="S3227">
        <v>2.9140320000000002</v>
      </c>
      <c r="T3227">
        <v>-0.30474440000000003</v>
      </c>
      <c r="U3227">
        <v>-1.042969</v>
      </c>
      <c r="V3227">
        <v>0.13496429999999901</v>
      </c>
      <c r="W3227">
        <v>0.1737921</v>
      </c>
      <c r="X3227">
        <v>0.97549010000000003</v>
      </c>
      <c r="Y3227">
        <v>8.9698879999999995E-2</v>
      </c>
      <c r="Z3227">
        <v>2.046686E-2</v>
      </c>
      <c r="AA3227">
        <v>0.99575859999999905</v>
      </c>
      <c r="AB3227">
        <v>24</v>
      </c>
      <c r="AC3227">
        <v>0.606899999999996</v>
      </c>
      <c r="AD3227">
        <v>-8.8813999999999907E-2</v>
      </c>
      <c r="AE3227">
        <v>-0.231099999999997</v>
      </c>
      <c r="AF3227">
        <v>6.9474075123255194E-2</v>
      </c>
      <c r="AG3227">
        <v>-8.8813999999999907E-2</v>
      </c>
      <c r="AH3227">
        <v>0.63369087939977697</v>
      </c>
      <c r="AI3227">
        <v>97.9313233054839</v>
      </c>
      <c r="AJ3227">
        <v>83.743421055973499</v>
      </c>
      <c r="AK3227">
        <v>0.64364485886604705</v>
      </c>
    </row>
    <row r="3228" spans="1:37" x14ac:dyDescent="0.2">
      <c r="A3228" t="str">
        <f>"20200111150707100"</f>
        <v>20200111150707100</v>
      </c>
      <c r="B3228" t="str">
        <f>"1578726427091090"</f>
        <v>1578726427091090</v>
      </c>
      <c r="C3228" t="s">
        <v>37</v>
      </c>
      <c r="D3228">
        <v>5.4719709999999999</v>
      </c>
      <c r="E3228">
        <v>0.47874849999999902</v>
      </c>
      <c r="F3228" t="s">
        <v>38</v>
      </c>
      <c r="G3228">
        <v>-183.14429999999999</v>
      </c>
      <c r="H3228">
        <v>1.011938</v>
      </c>
      <c r="I3228">
        <v>155.1874</v>
      </c>
      <c r="J3228">
        <v>-183.72909999999999</v>
      </c>
      <c r="K3228">
        <v>1.0971759999999999</v>
      </c>
      <c r="L3228">
        <v>155.41139999999999</v>
      </c>
      <c r="M3228">
        <v>0.96515550000000006</v>
      </c>
      <c r="N3228">
        <v>0</v>
      </c>
      <c r="O3228">
        <v>-0.2614515</v>
      </c>
      <c r="P3228">
        <v>0.9108849</v>
      </c>
      <c r="Q3228">
        <v>0.16469429999999999</v>
      </c>
      <c r="R3228">
        <v>-0.378370599999999</v>
      </c>
      <c r="S3228">
        <v>2.9101409999999999</v>
      </c>
      <c r="T3228">
        <v>-0.3030137</v>
      </c>
      <c r="U3228">
        <v>-1.0543979999999999</v>
      </c>
      <c r="V3228">
        <v>0.12973750000000001</v>
      </c>
      <c r="W3228">
        <v>0.173316</v>
      </c>
      <c r="X3228">
        <v>0.97628369999999998</v>
      </c>
      <c r="Y3228">
        <v>8.3777359999999995E-2</v>
      </c>
      <c r="Z3228">
        <v>2.1576089999999999E-2</v>
      </c>
      <c r="AA3228">
        <v>0.99625090000000005</v>
      </c>
      <c r="AB3228">
        <v>24</v>
      </c>
      <c r="AC3228">
        <v>0.58480000000000099</v>
      </c>
      <c r="AD3228">
        <v>-8.5237999999999897E-2</v>
      </c>
      <c r="AE3228">
        <v>-0.22399999999998901</v>
      </c>
      <c r="AF3228">
        <v>6.2150296043806202E-2</v>
      </c>
      <c r="AG3228">
        <v>-8.5237999999999897E-2</v>
      </c>
      <c r="AH3228">
        <v>0.61169225429280805</v>
      </c>
      <c r="AI3228">
        <v>97.8928403031573</v>
      </c>
      <c r="AJ3228">
        <v>84.198436647635603</v>
      </c>
      <c r="AK3228">
        <v>0.62072182973063705</v>
      </c>
    </row>
    <row r="3229" spans="1:37" x14ac:dyDescent="0.2">
      <c r="A3229" t="str">
        <f>"20200111150707123"</f>
        <v>20200111150707123</v>
      </c>
      <c r="B3229" t="str">
        <f>"1578726427120370"</f>
        <v>1578726427120370</v>
      </c>
      <c r="C3229" t="s">
        <v>37</v>
      </c>
      <c r="D3229">
        <v>5.4962679999999997</v>
      </c>
      <c r="E3229">
        <v>0.47789389999999998</v>
      </c>
      <c r="F3229" t="s">
        <v>38</v>
      </c>
      <c r="G3229">
        <v>-182.93549999999999</v>
      </c>
      <c r="H3229">
        <v>1.013873</v>
      </c>
      <c r="I3229">
        <v>155.12119999999999</v>
      </c>
      <c r="J3229">
        <v>-183.4949</v>
      </c>
      <c r="K3229">
        <v>1.097372</v>
      </c>
      <c r="L3229">
        <v>155.3366</v>
      </c>
      <c r="M3229">
        <v>0.96257760000000003</v>
      </c>
      <c r="N3229">
        <v>0</v>
      </c>
      <c r="O3229">
        <v>-0.27079049999999999</v>
      </c>
      <c r="P3229">
        <v>0.90848899999999999</v>
      </c>
      <c r="Q3229">
        <v>0.16500780000000001</v>
      </c>
      <c r="R3229">
        <v>-0.38395390000000001</v>
      </c>
      <c r="S3229">
        <v>2.9073180000000001</v>
      </c>
      <c r="T3229">
        <v>-0.30464540000000001</v>
      </c>
      <c r="U3229">
        <v>-1.062317</v>
      </c>
      <c r="V3229">
        <v>0.12620319999999999</v>
      </c>
      <c r="W3229">
        <v>0.1737001</v>
      </c>
      <c r="X3229">
        <v>0.97667859999999995</v>
      </c>
      <c r="Y3229">
        <v>7.6908370000000004E-2</v>
      </c>
      <c r="Z3229">
        <v>2.2944590000000001E-2</v>
      </c>
      <c r="AA3229">
        <v>0.9967741</v>
      </c>
      <c r="AB3229">
        <v>24</v>
      </c>
      <c r="AC3229">
        <v>0.55940000000001</v>
      </c>
      <c r="AD3229">
        <v>-8.3498999999999907E-2</v>
      </c>
      <c r="AE3229">
        <v>-0.215400000000016</v>
      </c>
      <c r="AF3229">
        <v>5.4798995104107802E-2</v>
      </c>
      <c r="AG3229">
        <v>-8.3498999999999907E-2</v>
      </c>
      <c r="AH3229">
        <v>0.58546905694267704</v>
      </c>
      <c r="AI3229">
        <v>98.081874711233496</v>
      </c>
      <c r="AJ3229">
        <v>84.652782713072895</v>
      </c>
      <c r="AK3229">
        <v>0.59392678799896503</v>
      </c>
    </row>
    <row r="3230" spans="1:37" x14ac:dyDescent="0.2">
      <c r="A3230" t="str">
        <f>"20200111150707160"</f>
        <v>20200111150707160</v>
      </c>
      <c r="B3230" t="str">
        <f>"1578726427150625"</f>
        <v>1578726427150625</v>
      </c>
      <c r="C3230" t="s">
        <v>37</v>
      </c>
      <c r="D3230">
        <v>5.4416609999999999</v>
      </c>
      <c r="E3230">
        <v>0.47703129999999999</v>
      </c>
      <c r="F3230" t="s">
        <v>38</v>
      </c>
      <c r="G3230">
        <v>-182.72620000000001</v>
      </c>
      <c r="H3230">
        <v>1.017409</v>
      </c>
      <c r="I3230">
        <v>155.05260000000001</v>
      </c>
      <c r="J3230">
        <v>-183.1071</v>
      </c>
      <c r="K3230">
        <v>1.0977319999999999</v>
      </c>
      <c r="L3230">
        <v>155.2081</v>
      </c>
      <c r="M3230">
        <v>0.9583216</v>
      </c>
      <c r="N3230">
        <v>0</v>
      </c>
      <c r="O3230">
        <v>-0.28549069999999999</v>
      </c>
      <c r="P3230">
        <v>0.90281809999999996</v>
      </c>
      <c r="Q3230">
        <v>0.17060829999999999</v>
      </c>
      <c r="R3230">
        <v>-0.39473130000000001</v>
      </c>
      <c r="S3230">
        <v>2.9035950000000001</v>
      </c>
      <c r="T3230">
        <v>-0.30208620000000003</v>
      </c>
      <c r="U3230">
        <v>-1.072983</v>
      </c>
      <c r="V3230">
        <v>0.12309049999999901</v>
      </c>
      <c r="W3230">
        <v>0.179367</v>
      </c>
      <c r="X3230">
        <v>0.97605129999999996</v>
      </c>
      <c r="Y3230">
        <v>6.5382220000000005E-2</v>
      </c>
      <c r="Z3230">
        <v>2.473759E-2</v>
      </c>
      <c r="AA3230">
        <v>0.99755360000000004</v>
      </c>
      <c r="AB3230">
        <v>24</v>
      </c>
      <c r="AC3230">
        <v>0.38089999999999602</v>
      </c>
      <c r="AD3230">
        <v>-8.0322999999999894E-2</v>
      </c>
      <c r="AE3230">
        <v>-0.15549999999998901</v>
      </c>
      <c r="AF3230">
        <v>3.8799031022560597E-2</v>
      </c>
      <c r="AG3230">
        <v>-8.0322999999999894E-2</v>
      </c>
      <c r="AH3230">
        <v>0.39440854192877201</v>
      </c>
      <c r="AI3230">
        <v>101.457283080035</v>
      </c>
      <c r="AJ3230">
        <v>84.381736247097194</v>
      </c>
      <c r="AK3230">
        <v>0.404370185700763</v>
      </c>
    </row>
    <row r="3231" spans="1:37" x14ac:dyDescent="0.2">
      <c r="A3231" t="str">
        <f>"20200111150707188"</f>
        <v>20200111150707188</v>
      </c>
      <c r="B3231" t="str">
        <f>"1578726427180883"</f>
        <v>1578726427180883</v>
      </c>
      <c r="C3231" t="s">
        <v>37</v>
      </c>
      <c r="D3231">
        <v>5.3814380000000002</v>
      </c>
      <c r="E3231">
        <v>0.47632049999999998</v>
      </c>
      <c r="F3231" t="s">
        <v>38</v>
      </c>
      <c r="G3231">
        <v>-182.31280000000001</v>
      </c>
      <c r="H3231">
        <v>1.0195259999999999</v>
      </c>
      <c r="I3231">
        <v>154.90520000000001</v>
      </c>
      <c r="J3231">
        <v>-182.81270000000001</v>
      </c>
      <c r="K3231">
        <v>1.0980080000000001</v>
      </c>
      <c r="L3231">
        <v>155.107</v>
      </c>
      <c r="M3231">
        <v>0.95511019999999902</v>
      </c>
      <c r="N3231">
        <v>0</v>
      </c>
      <c r="O3231">
        <v>-0.29605900000000002</v>
      </c>
      <c r="P3231">
        <v>0.89903960000000005</v>
      </c>
      <c r="Q3231">
        <v>0.1723391</v>
      </c>
      <c r="R3231">
        <v>-0.40252690000000002</v>
      </c>
      <c r="S3231">
        <v>2.8943629999999998</v>
      </c>
      <c r="T3231">
        <v>-0.28483959999999903</v>
      </c>
      <c r="U3231">
        <v>-1.1032869999999999</v>
      </c>
      <c r="V3231">
        <v>0.1207529</v>
      </c>
      <c r="W3231">
        <v>0.181149799999999</v>
      </c>
      <c r="X3231">
        <v>0.9760141</v>
      </c>
      <c r="Y3231">
        <v>6.4479529999999993E-2</v>
      </c>
      <c r="Z3231">
        <v>2.4335530000000001E-2</v>
      </c>
      <c r="AA3231">
        <v>0.99762229999999996</v>
      </c>
      <c r="AB3231">
        <v>24</v>
      </c>
      <c r="AC3231">
        <v>0.49989999999999601</v>
      </c>
      <c r="AD3231">
        <v>-7.8482000000000093E-2</v>
      </c>
      <c r="AE3231">
        <v>-0.20179999999999099</v>
      </c>
      <c r="AF3231">
        <v>4.3815271115215E-2</v>
      </c>
      <c r="AG3231">
        <v>-7.8482000000000093E-2</v>
      </c>
      <c r="AH3231">
        <v>0.52608503894722203</v>
      </c>
      <c r="AI3231">
        <v>98.456027526434795</v>
      </c>
      <c r="AJ3231">
        <v>85.239078379426701</v>
      </c>
      <c r="AK3231">
        <v>0.53370841337850405</v>
      </c>
    </row>
    <row r="3232" spans="1:37" x14ac:dyDescent="0.2">
      <c r="A3232" t="str">
        <f>"20200111150707214"</f>
        <v>20200111150707214</v>
      </c>
      <c r="B3232" t="str">
        <f>"1578726427210163"</f>
        <v>1578726427210163</v>
      </c>
      <c r="C3232" t="s">
        <v>37</v>
      </c>
      <c r="D3232">
        <v>5.4613269999999998</v>
      </c>
      <c r="E3232">
        <v>0.475375299999999</v>
      </c>
      <c r="F3232" t="s">
        <v>38</v>
      </c>
      <c r="G3232">
        <v>-182.10230000000001</v>
      </c>
      <c r="H3232">
        <v>1.0283789999999999</v>
      </c>
      <c r="I3232">
        <v>154.83000000000001</v>
      </c>
      <c r="J3232">
        <v>-182.55950000000001</v>
      </c>
      <c r="K3232">
        <v>1.0982149999999999</v>
      </c>
      <c r="L3232">
        <v>155.01769999999999</v>
      </c>
      <c r="M3232">
        <v>0.95236620000000005</v>
      </c>
      <c r="N3232">
        <v>0</v>
      </c>
      <c r="O3232">
        <v>-0.30477189999999998</v>
      </c>
      <c r="P3232">
        <v>0.89620569999999899</v>
      </c>
      <c r="Q3232">
        <v>0.1723471</v>
      </c>
      <c r="R3232">
        <v>-0.40879399999999999</v>
      </c>
      <c r="S3232">
        <v>2.8871769999999999</v>
      </c>
      <c r="T3232">
        <v>-0.28282180000000001</v>
      </c>
      <c r="U3232">
        <v>-1.1255040000000001</v>
      </c>
      <c r="V3232">
        <v>0.1185573</v>
      </c>
      <c r="W3232">
        <v>0.18120320000000001</v>
      </c>
      <c r="X3232">
        <v>0.97627330000000001</v>
      </c>
      <c r="Y3232">
        <v>6.2896779999999999E-2</v>
      </c>
      <c r="Z3232">
        <v>2.5024020000000001E-2</v>
      </c>
      <c r="AA3232">
        <v>0.99770630000000005</v>
      </c>
      <c r="AB3232">
        <v>24</v>
      </c>
      <c r="AC3232">
        <v>0.4572</v>
      </c>
      <c r="AD3232">
        <v>-6.9835999999999704E-2</v>
      </c>
      <c r="AE3232">
        <v>-0.187699999999978</v>
      </c>
      <c r="AF3232">
        <v>3.86479817301318E-2</v>
      </c>
      <c r="AG3232">
        <v>-6.9835999999999704E-2</v>
      </c>
      <c r="AH3232">
        <v>0.48301125786433002</v>
      </c>
      <c r="AI3232">
        <v>98.201223110100997</v>
      </c>
      <c r="AJ3232">
        <v>85.425244108096607</v>
      </c>
      <c r="AK3232">
        <v>0.48956164944927499</v>
      </c>
    </row>
    <row r="3233" spans="1:37" x14ac:dyDescent="0.2">
      <c r="A3233" t="str">
        <f>"20200111150707250"</f>
        <v>20200111150707250</v>
      </c>
      <c r="B3233" t="str">
        <f>"1578726427240417"</f>
        <v>1578726427240417</v>
      </c>
      <c r="C3233" t="s">
        <v>37</v>
      </c>
      <c r="D3233">
        <v>5.5541609999999997</v>
      </c>
      <c r="E3233">
        <v>0.47481459999999998</v>
      </c>
      <c r="F3233" t="s">
        <v>38</v>
      </c>
      <c r="G3233">
        <v>-181.69820000000001</v>
      </c>
      <c r="H3233">
        <v>1.013207</v>
      </c>
      <c r="I3233">
        <v>154.67740000000001</v>
      </c>
      <c r="J3233">
        <v>-182.17910000000001</v>
      </c>
      <c r="K3233">
        <v>1.0985129999999901</v>
      </c>
      <c r="L3233">
        <v>154.8792</v>
      </c>
      <c r="M3233">
        <v>0.94831909999999897</v>
      </c>
      <c r="N3233">
        <v>0</v>
      </c>
      <c r="O3233">
        <v>-0.3171428</v>
      </c>
      <c r="P3233">
        <v>0.89181690000000002</v>
      </c>
      <c r="Q3233">
        <v>0.1730361</v>
      </c>
      <c r="R3233">
        <v>-0.4179969</v>
      </c>
      <c r="S3233">
        <v>2.8828130000000001</v>
      </c>
      <c r="T3233">
        <v>-0.2843909</v>
      </c>
      <c r="U3233">
        <v>-1.13855</v>
      </c>
      <c r="V3233">
        <v>0.1158193</v>
      </c>
      <c r="W3233">
        <v>0.1819432</v>
      </c>
      <c r="X3233">
        <v>0.97646429999999995</v>
      </c>
      <c r="Y3233">
        <v>5.4416859999999997E-2</v>
      </c>
      <c r="Z3233">
        <v>2.666934E-2</v>
      </c>
      <c r="AA3233">
        <v>0.99816209999999905</v>
      </c>
      <c r="AB3233">
        <v>24</v>
      </c>
      <c r="AC3233">
        <v>0.480899999999991</v>
      </c>
      <c r="AD3233">
        <v>-8.5305999999999799E-2</v>
      </c>
      <c r="AE3233">
        <v>-0.20179999999999099</v>
      </c>
      <c r="AF3233">
        <v>3.7846394493571502E-2</v>
      </c>
      <c r="AG3233">
        <v>-8.5305999999999799E-2</v>
      </c>
      <c r="AH3233">
        <v>0.50652286683055103</v>
      </c>
      <c r="AI3233">
        <v>99.533668546797998</v>
      </c>
      <c r="AJ3233">
        <v>85.7269119120824</v>
      </c>
      <c r="AK3233">
        <v>0.51504842280547103</v>
      </c>
    </row>
    <row r="3234" spans="1:37" x14ac:dyDescent="0.2">
      <c r="A3234" t="str">
        <f>"20200111150707280"</f>
        <v>20200111150707280</v>
      </c>
      <c r="B3234" t="str">
        <f>"1578726427270674"</f>
        <v>1578726427270674</v>
      </c>
      <c r="C3234" t="s">
        <v>37</v>
      </c>
      <c r="D3234">
        <v>5.5040430000000002</v>
      </c>
      <c r="E3234">
        <v>0.47378769999999998</v>
      </c>
      <c r="F3234" t="s">
        <v>38</v>
      </c>
      <c r="G3234">
        <v>-181.48400000000001</v>
      </c>
      <c r="H3234">
        <v>1.0309219999999999</v>
      </c>
      <c r="I3234">
        <v>154.59790000000001</v>
      </c>
      <c r="J3234">
        <v>-181.87190000000001</v>
      </c>
      <c r="K3234">
        <v>1.0987119999999999</v>
      </c>
      <c r="L3234">
        <v>154.7638</v>
      </c>
      <c r="M3234">
        <v>0.94508519999999896</v>
      </c>
      <c r="N3234">
        <v>0</v>
      </c>
      <c r="O3234">
        <v>-0.32665490000000003</v>
      </c>
      <c r="P3234">
        <v>0.88838439999999996</v>
      </c>
      <c r="Q3234">
        <v>0.1718575</v>
      </c>
      <c r="R3234">
        <v>-0.4257206</v>
      </c>
      <c r="S3234">
        <v>2.8731840000000002</v>
      </c>
      <c r="T3234">
        <v>-0.2793349</v>
      </c>
      <c r="U3234">
        <v>-1.1626590000000001</v>
      </c>
      <c r="V3234">
        <v>0.11430609999999999</v>
      </c>
      <c r="W3234">
        <v>0.18079200000000001</v>
      </c>
      <c r="X3234">
        <v>0.97685639999999996</v>
      </c>
      <c r="Y3234">
        <v>5.2749999999999998E-2</v>
      </c>
      <c r="Z3234">
        <v>2.7131189999999999E-2</v>
      </c>
      <c r="AA3234">
        <v>0.99823909999999905</v>
      </c>
      <c r="AB3234">
        <v>24</v>
      </c>
      <c r="AC3234">
        <v>0.38790000000000102</v>
      </c>
      <c r="AD3234">
        <v>-6.7790000000000197E-2</v>
      </c>
      <c r="AE3234">
        <v>-0.165899999999993</v>
      </c>
      <c r="AF3234">
        <v>2.9324729684911802E-2</v>
      </c>
      <c r="AG3234">
        <v>-6.7790000000000197E-2</v>
      </c>
      <c r="AH3234">
        <v>0.41022236997148398</v>
      </c>
      <c r="AI3234">
        <v>99.359970823039106</v>
      </c>
      <c r="AJ3234">
        <v>85.911168809171997</v>
      </c>
      <c r="AK3234">
        <v>0.41681868563694902</v>
      </c>
    </row>
    <row r="3235" spans="1:37" x14ac:dyDescent="0.2">
      <c r="A3235" t="str">
        <f>"20200111150707301"</f>
        <v>20200111150707301</v>
      </c>
      <c r="B3235" t="str">
        <f>"1578726427290194"</f>
        <v>1578726427290194</v>
      </c>
      <c r="C3235" t="s">
        <v>37</v>
      </c>
      <c r="D3235">
        <v>5.5431349999999897</v>
      </c>
      <c r="E3235">
        <v>0.47346240000000001</v>
      </c>
      <c r="F3235" t="s">
        <v>38</v>
      </c>
      <c r="G3235">
        <v>-181.07849999999999</v>
      </c>
      <c r="H3235">
        <v>1.0208079999999999</v>
      </c>
      <c r="I3235">
        <v>154.43780000000001</v>
      </c>
      <c r="J3235">
        <v>-181.64510000000001</v>
      </c>
      <c r="K3235">
        <v>1.098854</v>
      </c>
      <c r="L3235">
        <v>154.67679999999999</v>
      </c>
      <c r="M3235">
        <v>0.94272080000000003</v>
      </c>
      <c r="N3235">
        <v>0</v>
      </c>
      <c r="O3235">
        <v>-0.3334184</v>
      </c>
      <c r="P3235">
        <v>0.88675219999999899</v>
      </c>
      <c r="Q3235">
        <v>0.17048450000000001</v>
      </c>
      <c r="R3235">
        <v>-0.42965769999999998</v>
      </c>
      <c r="S3235">
        <v>2.866806</v>
      </c>
      <c r="T3235">
        <v>-0.28151859999999901</v>
      </c>
      <c r="U3235">
        <v>-1.178131</v>
      </c>
      <c r="V3235">
        <v>0.1114694</v>
      </c>
      <c r="W3235">
        <v>0.1794627</v>
      </c>
      <c r="X3235">
        <v>0.9774292</v>
      </c>
      <c r="Y3235">
        <v>5.1032760000000003E-2</v>
      </c>
      <c r="Z3235">
        <v>2.8034730000000001E-2</v>
      </c>
      <c r="AA3235">
        <v>0.99830339999999995</v>
      </c>
      <c r="AB3235">
        <v>24</v>
      </c>
      <c r="AC3235">
        <v>0.56660000000002197</v>
      </c>
      <c r="AD3235">
        <v>-7.8046000000000004E-2</v>
      </c>
      <c r="AE3235">
        <v>-0.23899999999997501</v>
      </c>
      <c r="AF3235">
        <v>3.5820422084381499E-2</v>
      </c>
      <c r="AG3235">
        <v>-7.8046000000000004E-2</v>
      </c>
      <c r="AH3235">
        <v>0.60413512269453096</v>
      </c>
      <c r="AI3235">
        <v>97.348298453623499</v>
      </c>
      <c r="AJ3235">
        <v>86.606787235932202</v>
      </c>
      <c r="AK3235">
        <v>0.61020777381760605</v>
      </c>
    </row>
    <row r="3236" spans="1:37" x14ac:dyDescent="0.2">
      <c r="A3236" t="str">
        <f>"20200111150707339"</f>
        <v>20200111150707339</v>
      </c>
      <c r="B3236" t="str">
        <f>"1578726427330213"</f>
        <v>1578726427330213</v>
      </c>
      <c r="C3236" t="s">
        <v>37</v>
      </c>
      <c r="D3236">
        <v>5.5745379999999898</v>
      </c>
      <c r="E3236">
        <v>0.47212340000000003</v>
      </c>
      <c r="F3236" t="s">
        <v>38</v>
      </c>
      <c r="G3236">
        <v>-180.87289999999999</v>
      </c>
      <c r="H3236">
        <v>1.021593</v>
      </c>
      <c r="I3236">
        <v>154.35650000000001</v>
      </c>
      <c r="J3236">
        <v>-181.25700000000001</v>
      </c>
      <c r="K3236">
        <v>1.099178</v>
      </c>
      <c r="L3236">
        <v>154.5241</v>
      </c>
      <c r="M3236">
        <v>0.93890969999999996</v>
      </c>
      <c r="N3236">
        <v>0</v>
      </c>
      <c r="O3236">
        <v>-0.34399980000000002</v>
      </c>
      <c r="P3236">
        <v>0.88738510000000004</v>
      </c>
      <c r="Q3236">
        <v>0.16832369999999999</v>
      </c>
      <c r="R3236">
        <v>-0.4292029</v>
      </c>
      <c r="S3236">
        <v>2.862946</v>
      </c>
      <c r="T3236">
        <v>-0.2863117</v>
      </c>
      <c r="U3236">
        <v>-1.1872100000000001</v>
      </c>
      <c r="V3236">
        <v>9.9672140000000006E-2</v>
      </c>
      <c r="W3236">
        <v>0.17765220000000001</v>
      </c>
      <c r="X3236">
        <v>0.97903280000000004</v>
      </c>
      <c r="Y3236">
        <v>4.3084499999999998E-2</v>
      </c>
      <c r="Z3236">
        <v>2.9839049999999999E-2</v>
      </c>
      <c r="AA3236">
        <v>0.99862580000000001</v>
      </c>
      <c r="AB3236">
        <v>24</v>
      </c>
      <c r="AC3236">
        <v>0.38410000000001698</v>
      </c>
      <c r="AD3236">
        <v>-7.7585000000000001E-2</v>
      </c>
      <c r="AE3236">
        <v>-0.167599999999993</v>
      </c>
      <c r="AF3236">
        <v>2.4396189545732E-2</v>
      </c>
      <c r="AG3236">
        <v>-7.7585000000000001E-2</v>
      </c>
      <c r="AH3236">
        <v>0.40445068262525302</v>
      </c>
      <c r="AI3236">
        <v>100.839791301389</v>
      </c>
      <c r="AJ3236">
        <v>86.548140011301001</v>
      </c>
      <c r="AK3236">
        <v>0.41254691971384899</v>
      </c>
    </row>
    <row r="3237" spans="1:37" x14ac:dyDescent="0.2">
      <c r="A3237" t="str">
        <f>"20200111150707369"</f>
        <v>20200111150707369</v>
      </c>
      <c r="B3237" t="str">
        <f>"1578726427360466"</f>
        <v>1578726427360466</v>
      </c>
      <c r="C3237" t="s">
        <v>37</v>
      </c>
      <c r="D3237">
        <v>5.5430250000000001</v>
      </c>
      <c r="E3237">
        <v>0.471192099999999</v>
      </c>
      <c r="F3237" t="s">
        <v>38</v>
      </c>
      <c r="G3237">
        <v>-180.4639</v>
      </c>
      <c r="H3237">
        <v>1.018302</v>
      </c>
      <c r="I3237">
        <v>154.19990000000001</v>
      </c>
      <c r="J3237">
        <v>-180.9588</v>
      </c>
      <c r="K3237">
        <v>1.100168</v>
      </c>
      <c r="L3237">
        <v>154.4033</v>
      </c>
      <c r="M3237">
        <v>0.93712280000000003</v>
      </c>
      <c r="N3237">
        <v>0</v>
      </c>
      <c r="O3237">
        <v>-0.34881250000000003</v>
      </c>
      <c r="P3237">
        <v>0.88741309999999995</v>
      </c>
      <c r="Q3237">
        <v>0.16844310000000001</v>
      </c>
      <c r="R3237">
        <v>-0.42909779999999997</v>
      </c>
      <c r="S3237">
        <v>2.86901899999999</v>
      </c>
      <c r="T3237">
        <v>-0.29238999999999998</v>
      </c>
      <c r="U3237">
        <v>-1.1726529999999999</v>
      </c>
      <c r="V3237">
        <v>9.4296089999999999E-2</v>
      </c>
      <c r="W3237">
        <v>0.1787647</v>
      </c>
      <c r="X3237">
        <v>0.97936279999999998</v>
      </c>
      <c r="Y3237">
        <v>3.2981410000000003E-2</v>
      </c>
      <c r="Z3237">
        <v>3.1371330000000003E-2</v>
      </c>
      <c r="AA3237">
        <v>0.9989635</v>
      </c>
      <c r="AB3237">
        <v>24</v>
      </c>
      <c r="AC3237">
        <v>0.49490000000000101</v>
      </c>
      <c r="AD3237">
        <v>-8.1865999999999994E-2</v>
      </c>
      <c r="AE3237">
        <v>-0.20339999999998701</v>
      </c>
      <c r="AF3237">
        <v>1.7573267690317099E-2</v>
      </c>
      <c r="AG3237">
        <v>-8.1865999999999994E-2</v>
      </c>
      <c r="AH3237">
        <v>0.52253331484800702</v>
      </c>
      <c r="AI3237">
        <v>98.899273191490394</v>
      </c>
      <c r="AJ3237">
        <v>88.073817122215402</v>
      </c>
      <c r="AK3237">
        <v>0.52919932617054799</v>
      </c>
    </row>
    <row r="3238" spans="1:37" x14ac:dyDescent="0.2">
      <c r="A3238" t="str">
        <f>"20200111150707391"</f>
        <v>20200111150707391</v>
      </c>
      <c r="B3238" t="str">
        <f>"1578726427379987"</f>
        <v>1578726427379987</v>
      </c>
      <c r="C3238" t="s">
        <v>37</v>
      </c>
      <c r="D3238">
        <v>5.561674</v>
      </c>
      <c r="E3238">
        <v>0.47093699999999999</v>
      </c>
      <c r="F3238" t="s">
        <v>38</v>
      </c>
      <c r="G3238">
        <v>-180.25739999999999</v>
      </c>
      <c r="H3238">
        <v>1.0298389999999999</v>
      </c>
      <c r="I3238">
        <v>154.11940000000001</v>
      </c>
      <c r="J3238">
        <v>-180.73050000000001</v>
      </c>
      <c r="K3238">
        <v>1.1020570000000001</v>
      </c>
      <c r="L3238">
        <v>154.30840000000001</v>
      </c>
      <c r="M3238">
        <v>0.93621779999999999</v>
      </c>
      <c r="N3238">
        <v>0</v>
      </c>
      <c r="O3238">
        <v>-0.35122589999999998</v>
      </c>
      <c r="P3238">
        <v>0.88763510000000001</v>
      </c>
      <c r="Q3238">
        <v>0.17011699999999999</v>
      </c>
      <c r="R3238">
        <v>-0.42797679999999999</v>
      </c>
      <c r="S3238">
        <v>2.873154</v>
      </c>
      <c r="T3238">
        <v>-0.2880741</v>
      </c>
      <c r="U3238">
        <v>-1.1625209999999999</v>
      </c>
      <c r="V3238">
        <v>9.0114150000000004E-2</v>
      </c>
      <c r="W3238">
        <v>0.18099589999999999</v>
      </c>
      <c r="X3238">
        <v>0.97934669999999902</v>
      </c>
      <c r="Y3238">
        <v>2.687198E-2</v>
      </c>
      <c r="Z3238">
        <v>3.1400940000000002E-2</v>
      </c>
      <c r="AA3238">
        <v>0.99914559999999997</v>
      </c>
      <c r="AB3238">
        <v>24</v>
      </c>
      <c r="AC3238">
        <v>0.47310000000001601</v>
      </c>
      <c r="AD3238">
        <v>-7.2218000000000102E-2</v>
      </c>
      <c r="AE3238">
        <v>-0.18899999999999201</v>
      </c>
      <c r="AF3238">
        <v>1.0568556573351401E-2</v>
      </c>
      <c r="AG3238">
        <v>-7.2218000000000102E-2</v>
      </c>
      <c r="AH3238">
        <v>0.49930774631781399</v>
      </c>
      <c r="AI3238">
        <v>98.228156270083105</v>
      </c>
      <c r="AJ3238">
        <v>88.787434631014307</v>
      </c>
      <c r="AK3238">
        <v>0.50461406980485402</v>
      </c>
    </row>
    <row r="3239" spans="1:37" x14ac:dyDescent="0.2">
      <c r="A3239" t="str">
        <f>"20200111150707419"</f>
        <v>20200111150707419</v>
      </c>
      <c r="B3239" t="str">
        <f>"1578726427410242"</f>
        <v>1578726427410242</v>
      </c>
      <c r="C3239" t="s">
        <v>37</v>
      </c>
      <c r="D3239">
        <v>5.5416639999999999</v>
      </c>
      <c r="E3239">
        <v>0.47011720000000001</v>
      </c>
      <c r="F3239" t="s">
        <v>38</v>
      </c>
      <c r="G3239">
        <v>-180.05599999999899</v>
      </c>
      <c r="H3239">
        <v>1.036225</v>
      </c>
      <c r="I3239">
        <v>154.03749999999999</v>
      </c>
      <c r="J3239">
        <v>-180.46539999999999</v>
      </c>
      <c r="K3239">
        <v>1.1058079999999999</v>
      </c>
      <c r="L3239">
        <v>154.1985</v>
      </c>
      <c r="M3239">
        <v>0.93306299999999898</v>
      </c>
      <c r="N3239">
        <v>0</v>
      </c>
      <c r="O3239">
        <v>-0.35954399999999997</v>
      </c>
      <c r="P3239">
        <v>0.88391719999999896</v>
      </c>
      <c r="Q3239">
        <v>0.17289470000000001</v>
      </c>
      <c r="R3239">
        <v>-0.43450879999999997</v>
      </c>
      <c r="S3239">
        <v>2.8766780000000001</v>
      </c>
      <c r="T3239">
        <v>-0.28055540000000001</v>
      </c>
      <c r="U3239">
        <v>-1.154938</v>
      </c>
      <c r="V3239">
        <v>8.7633550000000004E-2</v>
      </c>
      <c r="W3239">
        <v>0.18371009999999999</v>
      </c>
      <c r="X3239">
        <v>0.9790664</v>
      </c>
      <c r="Y3239">
        <v>1.5290140000000001E-2</v>
      </c>
      <c r="Z3239">
        <v>3.1823490000000003E-2</v>
      </c>
      <c r="AA3239">
        <v>0.999376499999999</v>
      </c>
      <c r="AB3239">
        <v>24</v>
      </c>
      <c r="AC3239">
        <v>0.40940000000000498</v>
      </c>
      <c r="AD3239">
        <v>-6.9582999999999895E-2</v>
      </c>
      <c r="AE3239">
        <v>-0.161000000000001</v>
      </c>
      <c r="AF3239">
        <v>2.9521551298266001E-3</v>
      </c>
      <c r="AG3239">
        <v>-6.9582999999999895E-2</v>
      </c>
      <c r="AH3239">
        <v>0.42917211520597698</v>
      </c>
      <c r="AI3239">
        <v>99.2091892088946</v>
      </c>
      <c r="AJ3239">
        <v>89.605884549173695</v>
      </c>
      <c r="AK3239">
        <v>0.43478639994747198</v>
      </c>
    </row>
    <row r="3240" spans="1:37" x14ac:dyDescent="0.2">
      <c r="A3240" t="str">
        <f>"20200111150707452"</f>
        <v>20200111150707452</v>
      </c>
      <c r="B3240" t="str">
        <f>"1578726427440029"</f>
        <v>1578726427440029</v>
      </c>
      <c r="C3240" t="s">
        <v>37</v>
      </c>
      <c r="D3240">
        <v>5.5372490000000001</v>
      </c>
      <c r="E3240">
        <v>0.46937190000000001</v>
      </c>
      <c r="F3240" t="s">
        <v>38</v>
      </c>
      <c r="G3240">
        <v>-179.66</v>
      </c>
      <c r="H3240">
        <v>1.0301389999999999</v>
      </c>
      <c r="I3240">
        <v>153.8716</v>
      </c>
      <c r="J3240">
        <v>-180.12690000000001</v>
      </c>
      <c r="K3240">
        <v>1.109343</v>
      </c>
      <c r="L3240">
        <v>154.05860000000001</v>
      </c>
      <c r="M3240">
        <v>0.92746459999999997</v>
      </c>
      <c r="N3240">
        <v>0</v>
      </c>
      <c r="O3240">
        <v>-0.37380019999999903</v>
      </c>
      <c r="P3240">
        <v>0.87881139999999902</v>
      </c>
      <c r="Q3240">
        <v>0.17631279999999999</v>
      </c>
      <c r="R3240">
        <v>-0.4434012</v>
      </c>
      <c r="S3240">
        <v>2.8735200000000001</v>
      </c>
      <c r="T3240">
        <v>-0.269924</v>
      </c>
      <c r="U3240">
        <v>-1.166183</v>
      </c>
      <c r="V3240">
        <v>8.2159670000000004E-2</v>
      </c>
      <c r="W3240">
        <v>0.18550410000000001</v>
      </c>
      <c r="X3240">
        <v>0.97920269999999998</v>
      </c>
      <c r="Y3240">
        <v>3.7063090000000001E-3</v>
      </c>
      <c r="Z3240">
        <v>3.2317699999999998E-2</v>
      </c>
      <c r="AA3240">
        <v>0.99947079999999999</v>
      </c>
      <c r="AB3240">
        <v>24</v>
      </c>
      <c r="AC3240">
        <v>0.46690000000000897</v>
      </c>
      <c r="AD3240">
        <v>-7.9203999999999997E-2</v>
      </c>
      <c r="AE3240">
        <v>-0.18700000000001099</v>
      </c>
      <c r="AF3240">
        <v>-1.0650657978215901E-3</v>
      </c>
      <c r="AG3240">
        <v>-7.9203999999999997E-2</v>
      </c>
      <c r="AH3240">
        <v>0.49078373441061901</v>
      </c>
      <c r="AI3240">
        <v>99.167483911837394</v>
      </c>
      <c r="AJ3240">
        <v>90.1243392456675</v>
      </c>
      <c r="AK3240">
        <v>0.49713487299040598</v>
      </c>
    </row>
    <row r="3241" spans="1:37" x14ac:dyDescent="0.2">
      <c r="A3241" t="str">
        <f>"20200111150707496"</f>
        <v>20200111150707496</v>
      </c>
      <c r="B3241" t="str">
        <f>"1578726427490780"</f>
        <v>1578726427490780</v>
      </c>
      <c r="C3241" t="s">
        <v>37</v>
      </c>
      <c r="D3241">
        <v>5.5068890000000001</v>
      </c>
      <c r="E3241">
        <v>0.46836250000000001</v>
      </c>
      <c r="F3241" t="s">
        <v>38</v>
      </c>
      <c r="G3241">
        <v>-179.4522</v>
      </c>
      <c r="H3241">
        <v>1.0486340000000001</v>
      </c>
      <c r="I3241">
        <v>153.7784</v>
      </c>
      <c r="J3241">
        <v>-179.68870000000001</v>
      </c>
      <c r="K3241">
        <v>1.1111089999999999</v>
      </c>
      <c r="L3241">
        <v>153.87110000000001</v>
      </c>
      <c r="M3241">
        <v>0.92300260000000001</v>
      </c>
      <c r="N3241">
        <v>0</v>
      </c>
      <c r="O3241">
        <v>-0.38477479999999997</v>
      </c>
      <c r="P3241">
        <v>0.87501260000000003</v>
      </c>
      <c r="Q3241">
        <v>0.18412149999999999</v>
      </c>
      <c r="R3241">
        <v>-0.44771929999999999</v>
      </c>
      <c r="S3241">
        <v>2.865173</v>
      </c>
      <c r="T3241">
        <v>-0.25769989999999998</v>
      </c>
      <c r="U3241">
        <v>-1.1896359999999999</v>
      </c>
      <c r="V3241">
        <v>7.6971929999999994E-2</v>
      </c>
      <c r="W3241">
        <v>0.1877086</v>
      </c>
      <c r="X3241">
        <v>0.97920419999999997</v>
      </c>
      <c r="Y3241">
        <v>-1.974008E-4</v>
      </c>
      <c r="Z3241">
        <v>3.1906650000000002E-2</v>
      </c>
      <c r="AA3241">
        <v>0.99949089999999996</v>
      </c>
      <c r="AB3241">
        <v>24</v>
      </c>
      <c r="AC3241">
        <v>0.23650000000000601</v>
      </c>
      <c r="AD3241">
        <v>-6.2475000000000003E-2</v>
      </c>
      <c r="AE3241">
        <v>-9.2700000000007707E-2</v>
      </c>
      <c r="AF3241">
        <v>-5.12681937008017E-3</v>
      </c>
      <c r="AG3241">
        <v>-6.2475000000000003E-2</v>
      </c>
      <c r="AH3241">
        <v>0.23947484374535299</v>
      </c>
      <c r="AI3241">
        <v>104.618407492256</v>
      </c>
      <c r="AJ3241">
        <v>91.226434655046702</v>
      </c>
      <c r="AK3241">
        <v>0.24754314914518299</v>
      </c>
    </row>
    <row r="3242" spans="1:37" x14ac:dyDescent="0.2">
      <c r="A3242" t="str">
        <f>"20200111150707540"</f>
        <v>20200111150707540</v>
      </c>
      <c r="B3242" t="str">
        <f>"1578726427530799"</f>
        <v>1578726427530799</v>
      </c>
      <c r="C3242" t="s">
        <v>37</v>
      </c>
      <c r="D3242">
        <v>5.5187599999999897</v>
      </c>
      <c r="E3242">
        <v>0.46775169999999999</v>
      </c>
      <c r="F3242" t="s">
        <v>38</v>
      </c>
      <c r="G3242">
        <v>-178.8545</v>
      </c>
      <c r="H3242">
        <v>1.0412410000000001</v>
      </c>
      <c r="I3242">
        <v>153.52090000000001</v>
      </c>
      <c r="J3242">
        <v>-179.2372</v>
      </c>
      <c r="K3242">
        <v>1.114849</v>
      </c>
      <c r="L3242">
        <v>153.6696</v>
      </c>
      <c r="M3242">
        <v>0.92092419999999997</v>
      </c>
      <c r="N3242">
        <v>0</v>
      </c>
      <c r="O3242">
        <v>-0.38973779999999902</v>
      </c>
      <c r="P3242">
        <v>0.87461069999999996</v>
      </c>
      <c r="Q3242">
        <v>0.19372020000000001</v>
      </c>
      <c r="R3242">
        <v>-0.44444220000000001</v>
      </c>
      <c r="S3242">
        <v>2.8638309999999998</v>
      </c>
      <c r="T3242">
        <v>-0.2397899</v>
      </c>
      <c r="U3242">
        <v>-1.2022549999999901</v>
      </c>
      <c r="V3242">
        <v>6.9563949999999999E-2</v>
      </c>
      <c r="W3242">
        <v>0.19158800000000001</v>
      </c>
      <c r="X3242">
        <v>0.97900710000000002</v>
      </c>
      <c r="Y3242">
        <v>-1.8104079999999999E-3</v>
      </c>
      <c r="Z3242">
        <v>3.0101900000000001E-2</v>
      </c>
      <c r="AA3242">
        <v>0.99954519999999902</v>
      </c>
      <c r="AB3242">
        <v>25</v>
      </c>
      <c r="AC3242">
        <v>0.38269999999999899</v>
      </c>
      <c r="AD3242">
        <v>-7.3607999999999896E-2</v>
      </c>
      <c r="AE3242">
        <v>-0.14869999999999001</v>
      </c>
      <c r="AF3242">
        <v>-1.1830979847427E-2</v>
      </c>
      <c r="AG3242">
        <v>-7.3607999999999896E-2</v>
      </c>
      <c r="AH3242">
        <v>0.39761243907083998</v>
      </c>
      <c r="AI3242">
        <v>100.48360562907401</v>
      </c>
      <c r="AJ3242">
        <v>91.704336182811204</v>
      </c>
      <c r="AK3242">
        <v>0.40454142118207498</v>
      </c>
    </row>
    <row r="3243" spans="1:37" x14ac:dyDescent="0.2">
      <c r="A3243" t="str">
        <f>"20200111150707569"</f>
        <v>20200111150707569</v>
      </c>
      <c r="B3243" t="str">
        <f>"1578726427560076"</f>
        <v>1578726427560076</v>
      </c>
      <c r="C3243" t="s">
        <v>37</v>
      </c>
      <c r="D3243">
        <v>5.4715379999999998</v>
      </c>
      <c r="E3243">
        <v>0.46725270000000002</v>
      </c>
      <c r="F3243" t="s">
        <v>38</v>
      </c>
      <c r="G3243">
        <v>-178.44730000000001</v>
      </c>
      <c r="H3243">
        <v>1.056033</v>
      </c>
      <c r="I3243">
        <v>153.34049999999999</v>
      </c>
      <c r="J3243">
        <v>-178.93539999999999</v>
      </c>
      <c r="K3243">
        <v>1.1187129999999901</v>
      </c>
      <c r="L3243">
        <v>153.53319999999999</v>
      </c>
      <c r="M3243">
        <v>0.9188712</v>
      </c>
      <c r="N3243">
        <v>0</v>
      </c>
      <c r="O3243">
        <v>-0.39452520000000002</v>
      </c>
      <c r="P3243">
        <v>0.87343539999999997</v>
      </c>
      <c r="Q3243">
        <v>0.19899459999999999</v>
      </c>
      <c r="R3243">
        <v>-0.44442340000000002</v>
      </c>
      <c r="S3243">
        <v>2.8698579999999998</v>
      </c>
      <c r="T3243">
        <v>-0.21361830000000001</v>
      </c>
      <c r="U3243">
        <v>-1.1956329999999999</v>
      </c>
      <c r="V3243">
        <v>6.4779710000000004E-2</v>
      </c>
      <c r="W3243">
        <v>0.19371179999999999</v>
      </c>
      <c r="X3243">
        <v>0.97891740000000005</v>
      </c>
      <c r="Y3243">
        <v>-9.9288999999999992E-3</v>
      </c>
      <c r="Z3243">
        <v>2.7384599999999999E-2</v>
      </c>
      <c r="AA3243">
        <v>0.99957569999999996</v>
      </c>
      <c r="AB3243">
        <v>25</v>
      </c>
      <c r="AC3243">
        <v>0.488099999999974</v>
      </c>
      <c r="AD3243">
        <v>-6.2679999999999805E-2</v>
      </c>
      <c r="AE3243">
        <v>-0.19270000000000201</v>
      </c>
      <c r="AF3243">
        <v>-1.52834191549167E-2</v>
      </c>
      <c r="AG3243">
        <v>-6.2679999999999805E-2</v>
      </c>
      <c r="AH3243">
        <v>0.51715448928388297</v>
      </c>
      <c r="AI3243">
        <v>96.907651648869304</v>
      </c>
      <c r="AJ3243">
        <v>91.692764222157194</v>
      </c>
      <c r="AK3243">
        <v>0.52116324802074998</v>
      </c>
    </row>
    <row r="3244" spans="1:37" x14ac:dyDescent="0.2">
      <c r="A3244" t="str">
        <f>"20200111150707592"</f>
        <v>20200111150707592</v>
      </c>
      <c r="B3244" t="str">
        <f>"1578726427580573"</f>
        <v>1578726427580573</v>
      </c>
      <c r="C3244" t="s">
        <v>37</v>
      </c>
      <c r="D3244">
        <v>5.474736</v>
      </c>
      <c r="E3244">
        <v>0.466939099999999</v>
      </c>
      <c r="F3244" t="s">
        <v>39</v>
      </c>
      <c r="G3244">
        <v>-162.6891</v>
      </c>
      <c r="H3244" s="1">
        <v>-4.949363E-6</v>
      </c>
      <c r="I3244">
        <v>146.78</v>
      </c>
      <c r="J3244">
        <v>-178.7148</v>
      </c>
      <c r="K3244">
        <v>1.1216170000000001</v>
      </c>
      <c r="L3244">
        <v>153.43299999999999</v>
      </c>
      <c r="M3244">
        <v>0.91736890000000004</v>
      </c>
      <c r="N3244">
        <v>0</v>
      </c>
      <c r="O3244">
        <v>-0.39797949999999999</v>
      </c>
      <c r="P3244">
        <v>0.87300319999999998</v>
      </c>
      <c r="Q3244">
        <v>0.20094100000000001</v>
      </c>
      <c r="R3244">
        <v>-0.44439639999999903</v>
      </c>
      <c r="S3244">
        <v>2.8722840000000001</v>
      </c>
      <c r="T3244">
        <v>-0.19778409999999999</v>
      </c>
      <c r="U3244">
        <v>-1.1939389999999901</v>
      </c>
      <c r="V3244">
        <v>6.1059849999999999E-2</v>
      </c>
      <c r="W3244">
        <v>0.19401499999999999</v>
      </c>
      <c r="X3244">
        <v>0.97909650000000004</v>
      </c>
      <c r="Y3244">
        <v>-1.460935E-2</v>
      </c>
      <c r="Z3244">
        <v>2.570223E-2</v>
      </c>
      <c r="AA3244">
        <v>0.99956290000000003</v>
      </c>
      <c r="AB3244">
        <v>25</v>
      </c>
      <c r="AC3244">
        <v>16.025700000000001</v>
      </c>
      <c r="AD3244">
        <v>-1.121621949363</v>
      </c>
      <c r="AE3244">
        <v>-6.6529999999999898</v>
      </c>
      <c r="AF3244">
        <v>-0.273508374023061</v>
      </c>
      <c r="AG3244">
        <v>-1.121621949363</v>
      </c>
      <c r="AH3244">
        <v>17.277449845124099</v>
      </c>
      <c r="AI3244">
        <v>93.713866173596699</v>
      </c>
      <c r="AJ3244">
        <v>90.906937469769105</v>
      </c>
      <c r="AK3244">
        <v>17.315978626076301</v>
      </c>
    </row>
    <row r="3245" spans="1:37" x14ac:dyDescent="0.2">
      <c r="A3245" t="str">
        <f>"20200111150707615"</f>
        <v>20200111150707615</v>
      </c>
      <c r="B3245" t="str">
        <f>"1578726427610829"</f>
        <v>1578726427610829</v>
      </c>
      <c r="C3245" t="s">
        <v>37</v>
      </c>
      <c r="D3245">
        <v>5.4562660000000003</v>
      </c>
      <c r="E3245">
        <v>0.46652199999999999</v>
      </c>
      <c r="F3245" t="s">
        <v>39</v>
      </c>
      <c r="G3245">
        <v>-161.9478</v>
      </c>
      <c r="H3245" s="1">
        <v>-5.1802729999999997E-6</v>
      </c>
      <c r="I3245">
        <v>146.477</v>
      </c>
      <c r="J3245">
        <v>-178.49099999999899</v>
      </c>
      <c r="K3245">
        <v>1.1250469999999999</v>
      </c>
      <c r="L3245">
        <v>153.33009999999999</v>
      </c>
      <c r="M3245">
        <v>0.91621450000000004</v>
      </c>
      <c r="N3245">
        <v>0</v>
      </c>
      <c r="O3245">
        <v>-0.4006132</v>
      </c>
      <c r="P3245">
        <v>0.87234089999999997</v>
      </c>
      <c r="Q3245">
        <v>0.200311299999999</v>
      </c>
      <c r="R3245">
        <v>-0.44597910000000002</v>
      </c>
      <c r="S3245">
        <v>2.8737789999999999</v>
      </c>
      <c r="T3245">
        <v>-0.192241</v>
      </c>
      <c r="U3245">
        <v>-1.192215</v>
      </c>
      <c r="V3245">
        <v>5.9667399999999898E-2</v>
      </c>
      <c r="W3245">
        <v>0.19255339999999899</v>
      </c>
      <c r="X3245">
        <v>0.97947079999999997</v>
      </c>
      <c r="Y3245">
        <v>-1.821277E-2</v>
      </c>
      <c r="Z3245">
        <v>2.524183E-2</v>
      </c>
      <c r="AA3245">
        <v>0.9995155</v>
      </c>
      <c r="AB3245">
        <v>25</v>
      </c>
      <c r="AC3245">
        <v>16.543199999999899</v>
      </c>
      <c r="AD3245">
        <v>-1.12505218027299</v>
      </c>
      <c r="AE3245">
        <v>-6.85309999999998</v>
      </c>
      <c r="AF3245">
        <v>-0.34715476529334299</v>
      </c>
      <c r="AG3245">
        <v>-1.12505218027299</v>
      </c>
      <c r="AH3245">
        <v>17.8327046665284</v>
      </c>
      <c r="AI3245">
        <v>93.609281960555606</v>
      </c>
      <c r="AJ3245">
        <v>91.115253751865296</v>
      </c>
      <c r="AK3245">
        <v>17.8715308399428</v>
      </c>
    </row>
    <row r="3246" spans="1:37" x14ac:dyDescent="0.2">
      <c r="A3246" t="str">
        <f>"20200111150707651"</f>
        <v>20200111150707651</v>
      </c>
      <c r="B3246" t="str">
        <f>"1578726427640108"</f>
        <v>1578726427640108</v>
      </c>
      <c r="C3246" t="s">
        <v>37</v>
      </c>
      <c r="D3246">
        <v>5.4180229999999998</v>
      </c>
      <c r="E3246">
        <v>0.46608240000000001</v>
      </c>
      <c r="F3246" t="s">
        <v>38</v>
      </c>
      <c r="G3246">
        <v>-177.6437</v>
      </c>
      <c r="H3246">
        <v>1.0676219999999901</v>
      </c>
      <c r="I3246">
        <v>152.97890000000001</v>
      </c>
      <c r="J3246">
        <v>-178.1241</v>
      </c>
      <c r="K3246">
        <v>1.132091</v>
      </c>
      <c r="L3246">
        <v>153.15870000000001</v>
      </c>
      <c r="M3246">
        <v>0.91410749999999996</v>
      </c>
      <c r="N3246">
        <v>0</v>
      </c>
      <c r="O3246">
        <v>-0.40538940000000001</v>
      </c>
      <c r="P3246">
        <v>0.87350989999999995</v>
      </c>
      <c r="Q3246">
        <v>0.19116229999999901</v>
      </c>
      <c r="R3246">
        <v>-0.44770280000000001</v>
      </c>
      <c r="S3246">
        <v>2.8746339999999999</v>
      </c>
      <c r="T3246">
        <v>-0.19483159999999999</v>
      </c>
      <c r="U3246">
        <v>-1.1914670000000001</v>
      </c>
      <c r="V3246">
        <v>5.4751889999999998E-2</v>
      </c>
      <c r="W3246">
        <v>0.18324370000000001</v>
      </c>
      <c r="X3246">
        <v>0.98154159999999901</v>
      </c>
      <c r="Y3246">
        <v>-2.3721699999999998E-2</v>
      </c>
      <c r="Z3246">
        <v>2.603217E-2</v>
      </c>
      <c r="AA3246">
        <v>0.99937960000000003</v>
      </c>
      <c r="AB3246">
        <v>25</v>
      </c>
      <c r="AC3246">
        <v>0.48040000000000299</v>
      </c>
      <c r="AD3246">
        <v>-6.4469000000000096E-2</v>
      </c>
      <c r="AE3246">
        <v>-0.17979999999999999</v>
      </c>
      <c r="AF3246">
        <v>-2.9920910463366399E-2</v>
      </c>
      <c r="AG3246">
        <v>-6.4469000000000096E-2</v>
      </c>
      <c r="AH3246">
        <v>0.50408067792949796</v>
      </c>
      <c r="AI3246">
        <v>97.275564454881504</v>
      </c>
      <c r="AJ3246">
        <v>93.396941857826505</v>
      </c>
      <c r="AK3246">
        <v>0.50906663876728298</v>
      </c>
    </row>
    <row r="3247" spans="1:37" x14ac:dyDescent="0.2">
      <c r="A3247" t="str">
        <f>"20200111150707683"</f>
        <v>20200111150707683</v>
      </c>
      <c r="B3247" t="str">
        <f>"1578726427670364"</f>
        <v>1578726427670364</v>
      </c>
      <c r="C3247" t="s">
        <v>37</v>
      </c>
      <c r="D3247">
        <v>5.432213</v>
      </c>
      <c r="E3247">
        <v>0.46563719999999997</v>
      </c>
      <c r="F3247" t="s">
        <v>38</v>
      </c>
      <c r="G3247">
        <v>-177.44329999999999</v>
      </c>
      <c r="H3247">
        <v>1.078714</v>
      </c>
      <c r="I3247">
        <v>152.8768</v>
      </c>
      <c r="J3247">
        <v>-177.81569999999999</v>
      </c>
      <c r="K3247">
        <v>1.1383529999999999</v>
      </c>
      <c r="L3247">
        <v>153.0146</v>
      </c>
      <c r="M3247">
        <v>0.91040489999999996</v>
      </c>
      <c r="N3247">
        <v>0</v>
      </c>
      <c r="O3247">
        <v>-0.41365079999999999</v>
      </c>
      <c r="P3247">
        <v>0.87218929999999995</v>
      </c>
      <c r="Q3247">
        <v>0.18533179999999999</v>
      </c>
      <c r="R3247">
        <v>-0.45270079999999902</v>
      </c>
      <c r="S3247">
        <v>2.8738709999999998</v>
      </c>
      <c r="T3247">
        <v>-0.225282499999999</v>
      </c>
      <c r="U3247">
        <v>-1.1898799999999901</v>
      </c>
      <c r="V3247">
        <v>5.0434439999999997E-2</v>
      </c>
      <c r="W3247">
        <v>0.1782378</v>
      </c>
      <c r="X3247">
        <v>0.98269409999999902</v>
      </c>
      <c r="Y3247">
        <v>-3.284786E-2</v>
      </c>
      <c r="Z3247">
        <v>3.099654E-2</v>
      </c>
      <c r="AA3247">
        <v>0.99897959999999997</v>
      </c>
      <c r="AB3247">
        <v>24</v>
      </c>
      <c r="AC3247">
        <v>0.37239999999999801</v>
      </c>
      <c r="AD3247">
        <v>-5.9639000000000199E-2</v>
      </c>
      <c r="AE3247">
        <v>-0.13779999999999801</v>
      </c>
      <c r="AF3247">
        <v>-2.7959830794923399E-2</v>
      </c>
      <c r="AG3247">
        <v>-5.9639000000000199E-2</v>
      </c>
      <c r="AH3247">
        <v>0.38730981751453197</v>
      </c>
      <c r="AI3247">
        <v>98.731432770796701</v>
      </c>
      <c r="AJ3247">
        <v>94.129010055887306</v>
      </c>
      <c r="AK3247">
        <v>0.39287078944892401</v>
      </c>
    </row>
    <row r="3248" spans="1:37" x14ac:dyDescent="0.2">
      <c r="A3248" t="str">
        <f>"20200111150707704"</f>
        <v>20200111150707704</v>
      </c>
      <c r="B3248" t="str">
        <f>"1578726427700620"</f>
        <v>1578726427700620</v>
      </c>
      <c r="C3248" t="s">
        <v>37</v>
      </c>
      <c r="D3248">
        <v>5.4696809999999996</v>
      </c>
      <c r="E3248">
        <v>0.4652251</v>
      </c>
      <c r="F3248" t="s">
        <v>38</v>
      </c>
      <c r="G3248">
        <v>-177.04820000000001</v>
      </c>
      <c r="H3248">
        <v>1.0726990000000001</v>
      </c>
      <c r="I3248">
        <v>152.69280000000001</v>
      </c>
      <c r="J3248">
        <v>-177.59229999999999</v>
      </c>
      <c r="K3248">
        <v>1.142304</v>
      </c>
      <c r="L3248">
        <v>152.9102</v>
      </c>
      <c r="M3248">
        <v>0.90760099999999999</v>
      </c>
      <c r="N3248">
        <v>0</v>
      </c>
      <c r="O3248">
        <v>-0.41978329999999903</v>
      </c>
      <c r="P3248">
        <v>0.87159959999999903</v>
      </c>
      <c r="Q3248">
        <v>0.179533</v>
      </c>
      <c r="R3248">
        <v>-0.45616030000000002</v>
      </c>
      <c r="S3248">
        <v>2.8678129999999999</v>
      </c>
      <c r="T3248">
        <v>-0.24526249999999999</v>
      </c>
      <c r="U3248">
        <v>-1.2021029999999999</v>
      </c>
      <c r="V3248">
        <v>4.7234390000000001E-2</v>
      </c>
      <c r="W3248">
        <v>0.17334739999999901</v>
      </c>
      <c r="X3248">
        <v>0.98372739999999903</v>
      </c>
      <c r="Y3248">
        <v>-3.499331E-2</v>
      </c>
      <c r="Z3248">
        <v>3.4301169999999999E-2</v>
      </c>
      <c r="AA3248">
        <v>0.99879869999999904</v>
      </c>
      <c r="AB3248">
        <v>25</v>
      </c>
      <c r="AC3248">
        <v>0.54409999999998604</v>
      </c>
      <c r="AD3248">
        <v>-6.9604999999999903E-2</v>
      </c>
      <c r="AE3248">
        <v>-0.21739999999999701</v>
      </c>
      <c r="AF3248">
        <v>-3.0659617961091901E-2</v>
      </c>
      <c r="AG3248">
        <v>-6.9604999999999903E-2</v>
      </c>
      <c r="AH3248">
        <v>0.57695681746940997</v>
      </c>
      <c r="AI3248">
        <v>96.869410850835195</v>
      </c>
      <c r="AJ3248">
        <v>93.041849775392393</v>
      </c>
      <c r="AK3248">
        <v>0.58194848347852002</v>
      </c>
    </row>
    <row r="3249" spans="1:37" x14ac:dyDescent="0.2">
      <c r="A3249" t="str">
        <f>"20200111150707741"</f>
        <v>20200111150707741</v>
      </c>
      <c r="B3249" t="str">
        <f>"1578726427730787"</f>
        <v>1578726427730787</v>
      </c>
      <c r="C3249" t="s">
        <v>37</v>
      </c>
      <c r="D3249">
        <v>5.4591159999999999</v>
      </c>
      <c r="E3249">
        <v>0.464767599999999</v>
      </c>
      <c r="F3249" t="s">
        <v>38</v>
      </c>
      <c r="G3249">
        <v>-176.8485</v>
      </c>
      <c r="H3249">
        <v>1.0733699999999999</v>
      </c>
      <c r="I3249">
        <v>152.59569999999999</v>
      </c>
      <c r="J3249">
        <v>-177.22239999999999</v>
      </c>
      <c r="K3249">
        <v>1.1478629999999901</v>
      </c>
      <c r="L3249">
        <v>152.73490000000001</v>
      </c>
      <c r="M3249">
        <v>0.90469659999999996</v>
      </c>
      <c r="N3249">
        <v>0</v>
      </c>
      <c r="O3249">
        <v>-0.4260274</v>
      </c>
      <c r="P3249">
        <v>0.87119429999999998</v>
      </c>
      <c r="Q3249">
        <v>0.17425589999999999</v>
      </c>
      <c r="R3249">
        <v>-0.4589723</v>
      </c>
      <c r="S3249">
        <v>2.8633419999999998</v>
      </c>
      <c r="T3249">
        <v>-0.26521529999999999</v>
      </c>
      <c r="U3249">
        <v>-1.2099759999999999</v>
      </c>
      <c r="V3249">
        <v>4.3683920000000001E-2</v>
      </c>
      <c r="W3249">
        <v>0.16946329999999901</v>
      </c>
      <c r="X3249">
        <v>0.98456790000000005</v>
      </c>
      <c r="Y3249">
        <v>-3.8735840000000001E-2</v>
      </c>
      <c r="Z3249">
        <v>3.7763949999999998E-2</v>
      </c>
      <c r="AA3249">
        <v>0.99853559999999997</v>
      </c>
      <c r="AB3249">
        <v>25</v>
      </c>
      <c r="AC3249">
        <v>0.37389999999999102</v>
      </c>
      <c r="AD3249">
        <v>-7.4492999999999698E-2</v>
      </c>
      <c r="AE3249">
        <v>-0.13920000000001601</v>
      </c>
      <c r="AF3249">
        <v>-3.2234540209881403E-2</v>
      </c>
      <c r="AG3249">
        <v>-7.4492999999999698E-2</v>
      </c>
      <c r="AH3249">
        <v>0.38418079861804599</v>
      </c>
      <c r="AI3249">
        <v>100.936033228572</v>
      </c>
      <c r="AJ3249">
        <v>94.796146175873304</v>
      </c>
      <c r="AK3249">
        <v>0.392661633799817</v>
      </c>
    </row>
    <row r="3250" spans="1:37" x14ac:dyDescent="0.2">
      <c r="A3250" t="str">
        <f>"20200111150707772"</f>
        <v>20200111150707772</v>
      </c>
      <c r="B3250" t="str">
        <f>"1578726427760067"</f>
        <v>1578726427760067</v>
      </c>
      <c r="C3250" t="s">
        <v>37</v>
      </c>
      <c r="D3250">
        <v>5.4228149999999999</v>
      </c>
      <c r="E3250">
        <v>0.46434819999999999</v>
      </c>
      <c r="F3250" t="s">
        <v>38</v>
      </c>
      <c r="G3250">
        <v>-176.44669999999999</v>
      </c>
      <c r="H3250">
        <v>1.07121</v>
      </c>
      <c r="I3250">
        <v>152.40549999999999</v>
      </c>
      <c r="J3250">
        <v>-176.905</v>
      </c>
      <c r="K3250">
        <v>1.1524570000000001</v>
      </c>
      <c r="L3250">
        <v>152.58150000000001</v>
      </c>
      <c r="M3250">
        <v>0.9034761</v>
      </c>
      <c r="N3250">
        <v>0</v>
      </c>
      <c r="O3250">
        <v>-0.42862440000000002</v>
      </c>
      <c r="P3250">
        <v>0.86987139999999996</v>
      </c>
      <c r="Q3250">
        <v>0.17393499999999901</v>
      </c>
      <c r="R3250">
        <v>-0.46159559999999999</v>
      </c>
      <c r="S3250">
        <v>2.8603209999999999</v>
      </c>
      <c r="T3250">
        <v>-0.28262169999999998</v>
      </c>
      <c r="U3250">
        <v>-1.2143250000000001</v>
      </c>
      <c r="V3250">
        <v>4.4242400000000001E-2</v>
      </c>
      <c r="W3250">
        <v>0.17048440000000001</v>
      </c>
      <c r="X3250">
        <v>0.98436669999999904</v>
      </c>
      <c r="Y3250">
        <v>-3.971541E-2</v>
      </c>
      <c r="Z3250">
        <v>4.0518129999999999E-2</v>
      </c>
      <c r="AA3250">
        <v>0.99838919999999998</v>
      </c>
      <c r="AB3250">
        <v>25</v>
      </c>
      <c r="AC3250">
        <v>0.45830000000000798</v>
      </c>
      <c r="AD3250">
        <v>-8.1247E-2</v>
      </c>
      <c r="AE3250">
        <v>-0.176000000000016</v>
      </c>
      <c r="AF3250">
        <v>-3.6429246351622098E-2</v>
      </c>
      <c r="AG3250">
        <v>-8.1247E-2</v>
      </c>
      <c r="AH3250">
        <v>0.47645449249752603</v>
      </c>
      <c r="AI3250">
        <v>99.649598390246098</v>
      </c>
      <c r="AJ3250">
        <v>94.372272651106698</v>
      </c>
      <c r="AK3250">
        <v>0.48470305179544898</v>
      </c>
    </row>
    <row r="3251" spans="1:37" x14ac:dyDescent="0.2">
      <c r="A3251" t="str">
        <f>"20200111150707793"</f>
        <v>20200111150707793</v>
      </c>
      <c r="B3251" t="str">
        <f>"1578726427790324"</f>
        <v>1578726427790324</v>
      </c>
      <c r="C3251" t="s">
        <v>37</v>
      </c>
      <c r="D3251">
        <v>5.4259959999999996</v>
      </c>
      <c r="E3251">
        <v>0.46396349999999997</v>
      </c>
      <c r="F3251" t="s">
        <v>38</v>
      </c>
      <c r="G3251">
        <v>-176.2398</v>
      </c>
      <c r="H3251">
        <v>1.0861879999999999</v>
      </c>
      <c r="I3251">
        <v>152.297</v>
      </c>
      <c r="J3251">
        <v>-176.69649999999999</v>
      </c>
      <c r="K3251">
        <v>1.1556200000000001</v>
      </c>
      <c r="L3251">
        <v>152.4796</v>
      </c>
      <c r="M3251">
        <v>0.90275469999999902</v>
      </c>
      <c r="N3251">
        <v>0</v>
      </c>
      <c r="O3251">
        <v>-0.43014910000000001</v>
      </c>
      <c r="P3251">
        <v>0.86828369999999999</v>
      </c>
      <c r="Q3251">
        <v>0.17413919999999999</v>
      </c>
      <c r="R3251">
        <v>-0.4644991</v>
      </c>
      <c r="S3251">
        <v>2.8573759999999999</v>
      </c>
      <c r="T3251">
        <v>-0.28459879999999999</v>
      </c>
      <c r="U3251">
        <v>-1.2218020000000001</v>
      </c>
      <c r="V3251">
        <v>4.6041360000000003E-2</v>
      </c>
      <c r="W3251">
        <v>0.17170260000000001</v>
      </c>
      <c r="X3251">
        <v>0.98407239999999996</v>
      </c>
      <c r="Y3251">
        <v>-3.879295E-2</v>
      </c>
      <c r="Z3251">
        <v>4.089694E-2</v>
      </c>
      <c r="AA3251">
        <v>0.99841000000000002</v>
      </c>
      <c r="AB3251">
        <v>25</v>
      </c>
      <c r="AC3251">
        <v>0.45669999999998301</v>
      </c>
      <c r="AD3251">
        <v>-6.9432000000000105E-2</v>
      </c>
      <c r="AE3251">
        <v>-0.18260000000000701</v>
      </c>
      <c r="AF3251">
        <v>-3.0988650992177302E-2</v>
      </c>
      <c r="AG3251">
        <v>-6.9432000000000105E-2</v>
      </c>
      <c r="AH3251">
        <v>0.48124471537028202</v>
      </c>
      <c r="AI3251">
        <v>98.193010622842493</v>
      </c>
      <c r="AJ3251">
        <v>93.684343804581502</v>
      </c>
      <c r="AK3251">
        <v>0.48721409584097503</v>
      </c>
    </row>
    <row r="3252" spans="1:37" x14ac:dyDescent="0.2">
      <c r="A3252" t="str">
        <f>"20200111150707815"</f>
        <v>20200111150707815</v>
      </c>
      <c r="B3252" t="str">
        <f>"1578726427810819"</f>
        <v>1578726427810819</v>
      </c>
      <c r="C3252" t="s">
        <v>37</v>
      </c>
      <c r="D3252">
        <v>5.170248</v>
      </c>
      <c r="E3252">
        <v>0.46382250000000003</v>
      </c>
      <c r="F3252" t="s">
        <v>38</v>
      </c>
      <c r="G3252">
        <v>-175.84190000000001</v>
      </c>
      <c r="H3252">
        <v>1.070341</v>
      </c>
      <c r="I3252">
        <v>152.11179999999999</v>
      </c>
      <c r="J3252">
        <v>-176.46969999999999</v>
      </c>
      <c r="K3252">
        <v>1.159119</v>
      </c>
      <c r="L3252">
        <v>152.36850000000001</v>
      </c>
      <c r="M3252">
        <v>0.90189370000000002</v>
      </c>
      <c r="N3252">
        <v>0</v>
      </c>
      <c r="O3252">
        <v>-0.43195630000000002</v>
      </c>
      <c r="P3252">
        <v>0.86665369999999997</v>
      </c>
      <c r="Q3252">
        <v>0.173319899999999</v>
      </c>
      <c r="R3252">
        <v>-0.46783729999999901</v>
      </c>
      <c r="S3252">
        <v>2.8548580000000001</v>
      </c>
      <c r="T3252">
        <v>-0.2848697</v>
      </c>
      <c r="U3252">
        <v>-1.2288209999999999</v>
      </c>
      <c r="V3252">
        <v>4.7806790000000002E-2</v>
      </c>
      <c r="W3252">
        <v>0.17204129999999901</v>
      </c>
      <c r="X3252">
        <v>0.98392900000000005</v>
      </c>
      <c r="Y3252">
        <v>-3.8393629999999998E-2</v>
      </c>
      <c r="Z3252">
        <v>4.1076719999999997E-2</v>
      </c>
      <c r="AA3252">
        <v>0.99841809999999998</v>
      </c>
      <c r="AB3252">
        <v>25</v>
      </c>
      <c r="AC3252">
        <v>0.62779999999997904</v>
      </c>
      <c r="AD3252">
        <v>-8.8777999999999996E-2</v>
      </c>
      <c r="AE3252">
        <v>-0.25670000000002302</v>
      </c>
      <c r="AF3252">
        <v>-3.8997940879350199E-2</v>
      </c>
      <c r="AG3252">
        <v>-8.8777999999999996E-2</v>
      </c>
      <c r="AH3252">
        <v>0.66568751002855397</v>
      </c>
      <c r="AI3252">
        <v>97.583456170528194</v>
      </c>
      <c r="AJ3252">
        <v>93.352724053763794</v>
      </c>
      <c r="AK3252">
        <v>0.67271259367195202</v>
      </c>
    </row>
    <row r="3253" spans="1:37" x14ac:dyDescent="0.2">
      <c r="A3253" t="str">
        <f>"20200111150707840"</f>
        <v>20200111150707840</v>
      </c>
      <c r="B3253" t="str">
        <f>"1578726427830339"</f>
        <v>1578726427830339</v>
      </c>
      <c r="C3253" t="s">
        <v>37</v>
      </c>
      <c r="D3253">
        <v>5.3446709999999999</v>
      </c>
      <c r="E3253">
        <v>0.46390699999999901</v>
      </c>
      <c r="F3253" t="s">
        <v>38</v>
      </c>
      <c r="G3253">
        <v>-175.6396</v>
      </c>
      <c r="H3253">
        <v>1.0754790000000001</v>
      </c>
      <c r="I3253">
        <v>152.00810000000001</v>
      </c>
      <c r="J3253">
        <v>-176.22409999999999</v>
      </c>
      <c r="K3253">
        <v>1.162739</v>
      </c>
      <c r="L3253">
        <v>152.2482</v>
      </c>
      <c r="M3253">
        <v>0.90096270000000001</v>
      </c>
      <c r="N3253">
        <v>0</v>
      </c>
      <c r="O3253">
        <v>-0.43389640000000002</v>
      </c>
      <c r="P3253">
        <v>0.86488039999999999</v>
      </c>
      <c r="Q3253">
        <v>0.172573799999999</v>
      </c>
      <c r="R3253">
        <v>-0.471381099999999</v>
      </c>
      <c r="S3253">
        <v>2.8509669999999998</v>
      </c>
      <c r="T3253">
        <v>-0.2872828</v>
      </c>
      <c r="U3253">
        <v>-1.2376100000000001</v>
      </c>
      <c r="V3253">
        <v>4.9591299999999998E-2</v>
      </c>
      <c r="W3253">
        <v>0.172521799999999</v>
      </c>
      <c r="X3253">
        <v>0.98375650000000003</v>
      </c>
      <c r="Y3253">
        <v>-3.7421790000000003E-2</v>
      </c>
      <c r="Z3253">
        <v>4.1560699999999999E-2</v>
      </c>
      <c r="AA3253">
        <v>0.99843499999999996</v>
      </c>
      <c r="AB3253">
        <v>25</v>
      </c>
      <c r="AC3253">
        <v>0.58449999999999103</v>
      </c>
      <c r="AD3253">
        <v>-8.7259999999999893E-2</v>
      </c>
      <c r="AE3253">
        <v>-0.24009999999998399</v>
      </c>
      <c r="AF3253">
        <v>-3.6593477245534002E-2</v>
      </c>
      <c r="AG3253">
        <v>-8.7259999999999893E-2</v>
      </c>
      <c r="AH3253">
        <v>0.61898736025250201</v>
      </c>
      <c r="AI3253">
        <v>98.010430447108504</v>
      </c>
      <c r="AJ3253">
        <v>93.383290947965705</v>
      </c>
      <c r="AK3253">
        <v>0.62617788393497298</v>
      </c>
    </row>
    <row r="3254" spans="1:37" x14ac:dyDescent="0.2">
      <c r="A3254" t="str">
        <f>"20200111150707876"</f>
        <v>20200111150707876</v>
      </c>
      <c r="B3254" t="str">
        <f>"1578726427870355"</f>
        <v>1578726427870355</v>
      </c>
      <c r="C3254" t="s">
        <v>37</v>
      </c>
      <c r="D3254">
        <v>5.3805889999999996</v>
      </c>
      <c r="E3254">
        <v>0.4640822</v>
      </c>
      <c r="F3254" t="s">
        <v>38</v>
      </c>
      <c r="G3254">
        <v>-175.4375</v>
      </c>
      <c r="H3254">
        <v>1.0809959999999901</v>
      </c>
      <c r="I3254">
        <v>151.90309999999999</v>
      </c>
      <c r="J3254">
        <v>-175.8613</v>
      </c>
      <c r="K3254">
        <v>1.167475</v>
      </c>
      <c r="L3254">
        <v>152.07069999999999</v>
      </c>
      <c r="M3254">
        <v>0.89988369999999995</v>
      </c>
      <c r="N3254">
        <v>0</v>
      </c>
      <c r="O3254">
        <v>-0.43612689999999998</v>
      </c>
      <c r="P3254">
        <v>0.86325459999999998</v>
      </c>
      <c r="Q3254">
        <v>0.17499239999999999</v>
      </c>
      <c r="R3254">
        <v>-0.47346559999999999</v>
      </c>
      <c r="S3254">
        <v>2.8472140000000001</v>
      </c>
      <c r="T3254">
        <v>-0.29586669999999998</v>
      </c>
      <c r="U3254">
        <v>-1.248642</v>
      </c>
      <c r="V3254">
        <v>4.9629800000000002E-2</v>
      </c>
      <c r="W3254">
        <v>0.17659059999999999</v>
      </c>
      <c r="X3254">
        <v>0.98303229999999997</v>
      </c>
      <c r="Y3254">
        <v>-3.6054639999999999E-2</v>
      </c>
      <c r="Z3254">
        <v>4.2933899999999997E-2</v>
      </c>
      <c r="AA3254">
        <v>0.99842719999999896</v>
      </c>
      <c r="AB3254">
        <v>25</v>
      </c>
      <c r="AC3254">
        <v>0.42380000000000001</v>
      </c>
      <c r="AD3254">
        <v>-8.6479000000000195E-2</v>
      </c>
      <c r="AE3254">
        <v>-0.167599999999993</v>
      </c>
      <c r="AF3254">
        <v>-3.2828061355040898E-2</v>
      </c>
      <c r="AG3254">
        <v>-8.6479000000000195E-2</v>
      </c>
      <c r="AH3254">
        <v>0.43867075366786501</v>
      </c>
      <c r="AI3254">
        <v>101.12189222246801</v>
      </c>
      <c r="AJ3254">
        <v>94.279769889749801</v>
      </c>
      <c r="AK3254">
        <v>0.44831721936243202</v>
      </c>
    </row>
    <row r="3255" spans="1:37" x14ac:dyDescent="0.2">
      <c r="A3255" t="str">
        <f>"20200111150707904"</f>
        <v>20200111150707904</v>
      </c>
      <c r="B3255" t="str">
        <f>"1578726427900611"</f>
        <v>1578726427900611</v>
      </c>
      <c r="C3255" t="s">
        <v>37</v>
      </c>
      <c r="D3255">
        <v>5.4395550000000004</v>
      </c>
      <c r="E3255">
        <v>0.46441719999999997</v>
      </c>
      <c r="F3255" t="s">
        <v>38</v>
      </c>
      <c r="G3255">
        <v>-175.03149999999999</v>
      </c>
      <c r="H3255">
        <v>1.0837840000000001</v>
      </c>
      <c r="I3255">
        <v>151.70310000000001</v>
      </c>
      <c r="J3255">
        <v>-175.55959999999999</v>
      </c>
      <c r="K3255">
        <v>1.1706780000000001</v>
      </c>
      <c r="L3255">
        <v>151.92320000000001</v>
      </c>
      <c r="M3255">
        <v>0.89939959999999997</v>
      </c>
      <c r="N3255">
        <v>0</v>
      </c>
      <c r="O3255">
        <v>-0.43711850000000002</v>
      </c>
      <c r="P3255">
        <v>0.86380210000000002</v>
      </c>
      <c r="Q3255">
        <v>0.17793580000000001</v>
      </c>
      <c r="R3255">
        <v>-0.47136519999999998</v>
      </c>
      <c r="S3255">
        <v>2.8427279999999899</v>
      </c>
      <c r="T3255">
        <v>-0.2867208</v>
      </c>
      <c r="U3255">
        <v>-1.259155</v>
      </c>
      <c r="V3255">
        <v>4.6355250000000001E-2</v>
      </c>
      <c r="W3255">
        <v>0.1807019</v>
      </c>
      <c r="X3255">
        <v>0.98244489999999995</v>
      </c>
      <c r="Y3255">
        <v>-3.3608890000000002E-2</v>
      </c>
      <c r="Z3255">
        <v>4.1600770000000002E-2</v>
      </c>
      <c r="AA3255">
        <v>0.99856889999999998</v>
      </c>
      <c r="AB3255">
        <v>25</v>
      </c>
      <c r="AC3255">
        <v>0.52809999999999402</v>
      </c>
      <c r="AD3255">
        <v>-8.6893999999999999E-2</v>
      </c>
      <c r="AE3255">
        <v>-0.22010000000000199</v>
      </c>
      <c r="AF3255">
        <v>-3.2143114208068903E-2</v>
      </c>
      <c r="AG3255">
        <v>-8.6893999999999999E-2</v>
      </c>
      <c r="AH3255">
        <v>0.55830653834780197</v>
      </c>
      <c r="AI3255">
        <v>98.832061275131394</v>
      </c>
      <c r="AJ3255">
        <v>93.295025052260499</v>
      </c>
      <c r="AK3255">
        <v>0.56594163814734399</v>
      </c>
    </row>
    <row r="3256" spans="1:37" x14ac:dyDescent="0.2">
      <c r="A3256" t="str">
        <f>"20200111150707942"</f>
        <v>20200111150707942</v>
      </c>
      <c r="B3256" t="str">
        <f>"1578726427940627"</f>
        <v>1578726427940627</v>
      </c>
      <c r="C3256" t="s">
        <v>37</v>
      </c>
      <c r="D3256">
        <v>5.3575860000000004</v>
      </c>
      <c r="E3256">
        <v>0.46466089999999999</v>
      </c>
      <c r="F3256" t="s">
        <v>38</v>
      </c>
      <c r="G3256">
        <v>-174.82220000000001</v>
      </c>
      <c r="H3256">
        <v>1.0974809999999999</v>
      </c>
      <c r="I3256">
        <v>151.59649999999999</v>
      </c>
      <c r="J3256">
        <v>-175.17660000000001</v>
      </c>
      <c r="K3256">
        <v>1.173945</v>
      </c>
      <c r="L3256">
        <v>151.7363</v>
      </c>
      <c r="M3256">
        <v>0.89915069999999997</v>
      </c>
      <c r="N3256">
        <v>0</v>
      </c>
      <c r="O3256">
        <v>-0.43762029999999902</v>
      </c>
      <c r="P3256">
        <v>0.86702919999999895</v>
      </c>
      <c r="Q3256">
        <v>0.17843999999999999</v>
      </c>
      <c r="R3256">
        <v>-0.46520899999999998</v>
      </c>
      <c r="S3256">
        <v>2.8440249999999998</v>
      </c>
      <c r="T3256">
        <v>-0.28232560000000001</v>
      </c>
      <c r="U3256">
        <v>-1.2591859999999999</v>
      </c>
      <c r="V3256">
        <v>3.8804129999999999E-2</v>
      </c>
      <c r="W3256">
        <v>0.1824556</v>
      </c>
      <c r="X3256">
        <v>0.98244799999999999</v>
      </c>
      <c r="Y3256">
        <v>-3.4380210000000001E-2</v>
      </c>
      <c r="Z3256">
        <v>4.102712E-2</v>
      </c>
      <c r="AA3256">
        <v>0.99856639999999997</v>
      </c>
      <c r="AB3256">
        <v>25</v>
      </c>
      <c r="AC3256">
        <v>0.35439999999999799</v>
      </c>
      <c r="AD3256">
        <v>-7.6464000000000004E-2</v>
      </c>
      <c r="AE3256">
        <v>-0.139800000000008</v>
      </c>
      <c r="AF3256">
        <v>-2.82534868997922E-2</v>
      </c>
      <c r="AG3256">
        <v>-7.6464000000000004E-2</v>
      </c>
      <c r="AH3256">
        <v>0.36513297817756701</v>
      </c>
      <c r="AI3256">
        <v>101.793362732864</v>
      </c>
      <c r="AJ3256">
        <v>94.424651756921804</v>
      </c>
      <c r="AK3256">
        <v>0.37412176436397898</v>
      </c>
    </row>
    <row r="3257" spans="1:37" x14ac:dyDescent="0.2">
      <c r="A3257" t="str">
        <f>"20200111150707970"</f>
        <v>20200111150707970</v>
      </c>
      <c r="B3257" t="str">
        <f>"1578726427960147"</f>
        <v>1578726427960147</v>
      </c>
      <c r="C3257" t="s">
        <v>37</v>
      </c>
      <c r="D3257">
        <v>5.994351</v>
      </c>
      <c r="E3257">
        <v>0.4650804</v>
      </c>
      <c r="F3257" t="s">
        <v>38</v>
      </c>
      <c r="G3257">
        <v>-174.41309999999999</v>
      </c>
      <c r="H3257">
        <v>1.0970340000000001</v>
      </c>
      <c r="I3257">
        <v>151.40190000000001</v>
      </c>
      <c r="J3257">
        <v>-174.8869</v>
      </c>
      <c r="K3257">
        <v>1.1759389999999901</v>
      </c>
      <c r="L3257">
        <v>151.59520000000001</v>
      </c>
      <c r="M3257">
        <v>0.89914050000000001</v>
      </c>
      <c r="N3257">
        <v>0</v>
      </c>
      <c r="O3257">
        <v>-0.437633299999999</v>
      </c>
      <c r="P3257">
        <v>0.86993679999999995</v>
      </c>
      <c r="Q3257">
        <v>0.1748905</v>
      </c>
      <c r="R3257">
        <v>-0.46111170000000001</v>
      </c>
      <c r="S3257">
        <v>2.849777</v>
      </c>
      <c r="T3257">
        <v>-0.2871515</v>
      </c>
      <c r="U3257">
        <v>-1.2476959999999999</v>
      </c>
      <c r="V3257">
        <v>3.3796809999999997E-2</v>
      </c>
      <c r="W3257">
        <v>0.17970329999999901</v>
      </c>
      <c r="X3257">
        <v>0.98314009999999996</v>
      </c>
      <c r="Y3257">
        <v>-3.8441879999999998E-2</v>
      </c>
      <c r="Z3257">
        <v>4.1886149999999997E-2</v>
      </c>
      <c r="AA3257">
        <v>0.99838259999999901</v>
      </c>
      <c r="AB3257">
        <v>25</v>
      </c>
      <c r="AC3257">
        <v>0.47380000000001099</v>
      </c>
      <c r="AD3257">
        <v>-7.8904999999999698E-2</v>
      </c>
      <c r="AE3257">
        <v>-0.19329999999999301</v>
      </c>
      <c r="AF3257">
        <v>-3.2768070922958401E-2</v>
      </c>
      <c r="AG3257">
        <v>-7.8904999999999698E-2</v>
      </c>
      <c r="AH3257">
        <v>0.49875446564674902</v>
      </c>
      <c r="AI3257">
        <v>98.970894796858801</v>
      </c>
      <c r="AJ3257">
        <v>93.758919314528299</v>
      </c>
      <c r="AK3257">
        <v>0.50601952778483394</v>
      </c>
    </row>
    <row r="3258" spans="1:37" x14ac:dyDescent="0.2">
      <c r="A3258" t="str">
        <f>"20200111150707995"</f>
        <v>20200111150707995</v>
      </c>
      <c r="B3258" t="str">
        <f>"1578726427990404"</f>
        <v>1578726427990404</v>
      </c>
      <c r="C3258" t="s">
        <v>37</v>
      </c>
      <c r="D3258">
        <v>5.3655019999999896</v>
      </c>
      <c r="E3258">
        <v>0.46527979999999902</v>
      </c>
      <c r="F3258" t="s">
        <v>38</v>
      </c>
      <c r="G3258">
        <v>-174.20140000000001</v>
      </c>
      <c r="H3258">
        <v>1.102919</v>
      </c>
      <c r="I3258">
        <v>151.2971</v>
      </c>
      <c r="J3258">
        <v>-174.64420000000001</v>
      </c>
      <c r="K3258">
        <v>1.1772929999999999</v>
      </c>
      <c r="L3258">
        <v>151.47720000000001</v>
      </c>
      <c r="M3258">
        <v>0.8992116</v>
      </c>
      <c r="N3258">
        <v>0</v>
      </c>
      <c r="O3258">
        <v>-0.43748029999999999</v>
      </c>
      <c r="P3258">
        <v>0.87374969999999996</v>
      </c>
      <c r="Q3258">
        <v>0.17031650000000001</v>
      </c>
      <c r="R3258">
        <v>-0.45558109999999902</v>
      </c>
      <c r="S3258">
        <v>2.8524479999999999</v>
      </c>
      <c r="T3258">
        <v>-0.3039057</v>
      </c>
      <c r="U3258">
        <v>-1.2398530000000001</v>
      </c>
      <c r="V3258">
        <v>2.7298800000000002E-2</v>
      </c>
      <c r="W3258">
        <v>0.1757068</v>
      </c>
      <c r="X3258">
        <v>0.98406399999999905</v>
      </c>
      <c r="Y3258">
        <v>-4.0694019999999997E-2</v>
      </c>
      <c r="Z3258">
        <v>4.4410720000000001E-2</v>
      </c>
      <c r="AA3258">
        <v>0.99818419999999897</v>
      </c>
      <c r="AB3258">
        <v>25</v>
      </c>
      <c r="AC3258">
        <v>0.44280000000000502</v>
      </c>
      <c r="AD3258">
        <v>-7.4373999999999899E-2</v>
      </c>
      <c r="AE3258">
        <v>-0.18010000000001</v>
      </c>
      <c r="AF3258">
        <v>-3.10178857627788E-2</v>
      </c>
      <c r="AG3258">
        <v>-7.4373999999999899E-2</v>
      </c>
      <c r="AH3258">
        <v>0.46569504563165098</v>
      </c>
      <c r="AI3258">
        <v>99.054088804873103</v>
      </c>
      <c r="AJ3258">
        <v>93.810589949080494</v>
      </c>
      <c r="AK3258">
        <v>0.47261556961134799</v>
      </c>
    </row>
    <row r="3259" spans="1:37" x14ac:dyDescent="0.2">
      <c r="A3259" t="str">
        <f>"20200111150708016"</f>
        <v>20200111150708016</v>
      </c>
      <c r="B3259" t="str">
        <f>"1578726428009924"</f>
        <v>1578726428009924</v>
      </c>
      <c r="C3259" t="s">
        <v>37</v>
      </c>
      <c r="D3259">
        <v>5.8182199999999904</v>
      </c>
      <c r="E3259">
        <v>0.46555469999999999</v>
      </c>
      <c r="F3259" t="s">
        <v>38</v>
      </c>
      <c r="G3259">
        <v>-173.80330000000001</v>
      </c>
      <c r="H3259">
        <v>1.0824530000000001</v>
      </c>
      <c r="I3259">
        <v>151.11670000000001</v>
      </c>
      <c r="J3259">
        <v>-174.41319999999999</v>
      </c>
      <c r="K3259">
        <v>1.178342</v>
      </c>
      <c r="L3259">
        <v>151.3647</v>
      </c>
      <c r="M3259">
        <v>0.89932099999999904</v>
      </c>
      <c r="N3259">
        <v>0</v>
      </c>
      <c r="O3259">
        <v>-0.43724659999999899</v>
      </c>
      <c r="P3259">
        <v>0.87712900000000005</v>
      </c>
      <c r="Q3259">
        <v>0.16548959999999999</v>
      </c>
      <c r="R3259">
        <v>-0.45084179999999902</v>
      </c>
      <c r="S3259">
        <v>2.8577729999999999</v>
      </c>
      <c r="T3259">
        <v>-0.3223356</v>
      </c>
      <c r="U3259">
        <v>-1.22464</v>
      </c>
      <c r="V3259">
        <v>2.172379E-2</v>
      </c>
      <c r="W3259">
        <v>0.1715264</v>
      </c>
      <c r="X3259">
        <v>0.98493999999999904</v>
      </c>
      <c r="Y3259">
        <v>-4.5317660000000003E-2</v>
      </c>
      <c r="Z3259">
        <v>4.729622E-2</v>
      </c>
      <c r="AA3259">
        <v>0.99785239999999997</v>
      </c>
      <c r="AB3259">
        <v>25</v>
      </c>
      <c r="AC3259">
        <v>0.60989999999998101</v>
      </c>
      <c r="AD3259">
        <v>-9.5888999999999794E-2</v>
      </c>
      <c r="AE3259">
        <v>-0.24799999999999001</v>
      </c>
      <c r="AF3259">
        <v>-4.2739348560958103E-2</v>
      </c>
      <c r="AG3259">
        <v>-9.5888999999999794E-2</v>
      </c>
      <c r="AH3259">
        <v>0.64330003220586596</v>
      </c>
      <c r="AI3259">
        <v>98.459593085929498</v>
      </c>
      <c r="AJ3259">
        <v>93.8010115557489</v>
      </c>
      <c r="AK3259">
        <v>0.65181000580881199</v>
      </c>
    </row>
    <row r="3260" spans="1:37" x14ac:dyDescent="0.2">
      <c r="A3260" t="str">
        <f>"20200111150708055"</f>
        <v>20200111150708055</v>
      </c>
      <c r="B3260" t="str">
        <f>"1578726428050281"</f>
        <v>1578726428050281</v>
      </c>
      <c r="C3260" t="s">
        <v>37</v>
      </c>
      <c r="D3260">
        <v>5.8320869999999996</v>
      </c>
      <c r="E3260">
        <v>0.4470693</v>
      </c>
      <c r="F3260" t="s">
        <v>38</v>
      </c>
      <c r="G3260">
        <v>-173.59549999999999</v>
      </c>
      <c r="H3260">
        <v>1.080902</v>
      </c>
      <c r="I3260">
        <v>151.01910000000001</v>
      </c>
      <c r="J3260">
        <v>-174.024</v>
      </c>
      <c r="K3260">
        <v>1.1789559999999999</v>
      </c>
      <c r="L3260">
        <v>151.17250000000001</v>
      </c>
      <c r="M3260">
        <v>0.89987109999999904</v>
      </c>
      <c r="N3260">
        <v>0</v>
      </c>
      <c r="O3260">
        <v>-0.43609120000000001</v>
      </c>
      <c r="P3260">
        <v>0.88328309999999999</v>
      </c>
      <c r="Q3260">
        <v>0.157184299999999</v>
      </c>
      <c r="R3260">
        <v>-0.44170569999999998</v>
      </c>
      <c r="S3260">
        <v>2.862946</v>
      </c>
      <c r="T3260">
        <v>-0.34120139999999999</v>
      </c>
      <c r="U3260">
        <v>-1.209503</v>
      </c>
      <c r="V3260">
        <v>1.1791289999999999E-2</v>
      </c>
      <c r="W3260">
        <v>0.16464670000000001</v>
      </c>
      <c r="X3260">
        <v>0.98628209999999905</v>
      </c>
      <c r="Y3260">
        <v>-4.8864159999999997E-2</v>
      </c>
      <c r="Z3260">
        <v>5.0114680000000002E-2</v>
      </c>
      <c r="AA3260">
        <v>0.99754739999999997</v>
      </c>
      <c r="AB3260">
        <v>25</v>
      </c>
      <c r="AC3260">
        <v>0.42850000000001298</v>
      </c>
      <c r="AD3260">
        <v>-9.8053999999999794E-2</v>
      </c>
      <c r="AE3260">
        <v>-0.15340000000000401</v>
      </c>
      <c r="AF3260">
        <v>-4.6660483158625997E-2</v>
      </c>
      <c r="AG3260">
        <v>-9.8053999999999794E-2</v>
      </c>
      <c r="AH3260">
        <v>0.43243256088334198</v>
      </c>
      <c r="AI3260">
        <v>102.704442543052</v>
      </c>
      <c r="AJ3260">
        <v>96.158521123979597</v>
      </c>
      <c r="AK3260">
        <v>0.44585839379417502</v>
      </c>
    </row>
    <row r="3261" spans="1:37" x14ac:dyDescent="0.2">
      <c r="A3261" t="str">
        <f>"20200111150708087"</f>
        <v>20200111150708087</v>
      </c>
      <c r="B3261" t="str">
        <f>"1578726428080537"</f>
        <v>1578726428080537</v>
      </c>
      <c r="C3261" t="s">
        <v>37</v>
      </c>
      <c r="D3261">
        <v>5.5281580000000003</v>
      </c>
      <c r="E3261">
        <v>0.46700969999999897</v>
      </c>
      <c r="F3261" t="s">
        <v>116</v>
      </c>
      <c r="G3261">
        <v>-69.405240000000006</v>
      </c>
      <c r="H3261">
        <v>17.923860000000001</v>
      </c>
      <c r="I3261">
        <v>116.2213</v>
      </c>
      <c r="J3261">
        <v>-173.6866</v>
      </c>
      <c r="K3261">
        <v>1.179373</v>
      </c>
      <c r="L3261">
        <v>151.00630000000001</v>
      </c>
      <c r="M3261">
        <v>0.90015970000000001</v>
      </c>
      <c r="N3261">
        <v>0</v>
      </c>
      <c r="O3261">
        <v>-0.43546949999999901</v>
      </c>
      <c r="P3261">
        <v>0.88563340000000002</v>
      </c>
      <c r="Q3261">
        <v>0.15576660000000001</v>
      </c>
      <c r="R3261">
        <v>-0.43748179999999998</v>
      </c>
      <c r="S3261">
        <v>2.8408660000000001</v>
      </c>
      <c r="T3261">
        <v>0.45469929999999997</v>
      </c>
      <c r="U3261">
        <v>-0.94908139999999996</v>
      </c>
      <c r="V3261">
        <v>7.5468339999999997E-3</v>
      </c>
      <c r="W3261">
        <v>0.16456019999999999</v>
      </c>
      <c r="X3261">
        <v>0.9863381</v>
      </c>
      <c r="Y3261">
        <v>-0.1218978</v>
      </c>
      <c r="Z3261">
        <v>-7.3981640000000001E-2</v>
      </c>
      <c r="AA3261">
        <v>0.98978159999999904</v>
      </c>
      <c r="AB3261">
        <v>26</v>
      </c>
      <c r="AC3261">
        <v>104.281359999999</v>
      </c>
      <c r="AD3261">
        <v>16.744486999999999</v>
      </c>
      <c r="AE3261">
        <v>-34.784999999999997</v>
      </c>
      <c r="AF3261">
        <v>-13.7801358397709</v>
      </c>
      <c r="AG3261">
        <v>16.744486999999999</v>
      </c>
      <c r="AH3261">
        <v>106.549890261416</v>
      </c>
      <c r="AI3261">
        <v>81.141513688022798</v>
      </c>
      <c r="AJ3261">
        <v>97.369179085627493</v>
      </c>
      <c r="AK3261">
        <v>108.734305089863</v>
      </c>
    </row>
    <row r="3262" spans="1:37" x14ac:dyDescent="0.2">
      <c r="A3262" t="str">
        <f>"20200111150708122"</f>
        <v>20200111150708122</v>
      </c>
      <c r="B3262" t="str">
        <f>"1578726428110794"</f>
        <v>1578726428110794</v>
      </c>
      <c r="C3262" t="s">
        <v>37</v>
      </c>
      <c r="D3262">
        <v>7.7051030000000003</v>
      </c>
      <c r="E3262">
        <v>0.46792050000000002</v>
      </c>
      <c r="F3262" t="s">
        <v>38</v>
      </c>
      <c r="G3262">
        <v>-172.95920000000001</v>
      </c>
      <c r="H3262">
        <v>1.0898540000000001</v>
      </c>
      <c r="I3262">
        <v>150.71100000000001</v>
      </c>
      <c r="J3262">
        <v>-173.3279</v>
      </c>
      <c r="K3262">
        <v>1.1803360000000001</v>
      </c>
      <c r="L3262">
        <v>150.83019999999999</v>
      </c>
      <c r="M3262">
        <v>0.89983019999999903</v>
      </c>
      <c r="N3262">
        <v>0</v>
      </c>
      <c r="O3262">
        <v>-0.43611840000000002</v>
      </c>
      <c r="P3262">
        <v>0.89004159999999899</v>
      </c>
      <c r="Q3262">
        <v>0.14704320000000001</v>
      </c>
      <c r="R3262">
        <v>-0.43151430000000002</v>
      </c>
      <c r="S3262">
        <v>2.8735499999999998</v>
      </c>
      <c r="T3262">
        <v>-0.35369709999999899</v>
      </c>
      <c r="U3262">
        <v>-1.166229</v>
      </c>
      <c r="V3262">
        <v>-7.951853E-4</v>
      </c>
      <c r="W3262">
        <v>0.15725239999999999</v>
      </c>
      <c r="X3262">
        <v>0.98755809999999999</v>
      </c>
      <c r="Y3262">
        <v>-6.2766139999999998E-2</v>
      </c>
      <c r="Z3262">
        <v>5.2766010000000002E-2</v>
      </c>
      <c r="AA3262">
        <v>0.99663239999999997</v>
      </c>
      <c r="AB3262">
        <v>26</v>
      </c>
      <c r="AC3262">
        <v>0.36869999999998898</v>
      </c>
      <c r="AD3262">
        <v>-9.0481999999999896E-2</v>
      </c>
      <c r="AE3262">
        <v>-0.119199999999978</v>
      </c>
      <c r="AF3262">
        <v>-5.0771569263625901E-2</v>
      </c>
      <c r="AG3262">
        <v>-9.0481999999999896E-2</v>
      </c>
      <c r="AH3262">
        <v>0.36392948612399101</v>
      </c>
      <c r="AI3262">
        <v>103.833324734768</v>
      </c>
      <c r="AJ3262">
        <v>97.942037266738396</v>
      </c>
      <c r="AK3262">
        <v>0.37843019890062102</v>
      </c>
    </row>
    <row r="3263" spans="1:37" x14ac:dyDescent="0.2">
      <c r="A3263" t="str">
        <f>"20200111150708166"</f>
        <v>20200111150708166</v>
      </c>
      <c r="B3263" t="str">
        <f>"1578726428160569"</f>
        <v>1578726428160569</v>
      </c>
      <c r="C3263" t="s">
        <v>37</v>
      </c>
      <c r="D3263">
        <v>5.4537000000000004</v>
      </c>
      <c r="E3263">
        <v>0.47491459999999902</v>
      </c>
      <c r="F3263" t="s">
        <v>39</v>
      </c>
      <c r="G3263">
        <v>-162.67500000000001</v>
      </c>
      <c r="H3263" s="1">
        <v>-4.9219320000000003E-6</v>
      </c>
      <c r="I3263">
        <v>146.59479999999999</v>
      </c>
      <c r="J3263">
        <v>-172.87049999999999</v>
      </c>
      <c r="K3263">
        <v>1.1813709999999999</v>
      </c>
      <c r="L3263">
        <v>150.6069</v>
      </c>
      <c r="M3263">
        <v>0.89951689999999995</v>
      </c>
      <c r="N3263">
        <v>0</v>
      </c>
      <c r="O3263">
        <v>-0.43672329999999998</v>
      </c>
      <c r="P3263">
        <v>0.89103250000000001</v>
      </c>
      <c r="Q3263">
        <v>0.14675389999999999</v>
      </c>
      <c r="R3263">
        <v>-0.42956349999999999</v>
      </c>
      <c r="S3263">
        <v>2.8699650000000001</v>
      </c>
      <c r="T3263">
        <v>-0.31799090000000002</v>
      </c>
      <c r="U3263">
        <v>-1.141052</v>
      </c>
      <c r="V3263">
        <v>-4.2333279999999997E-3</v>
      </c>
      <c r="W3263">
        <v>0.15850719999999999</v>
      </c>
      <c r="X3263">
        <v>0.98734869999999997</v>
      </c>
      <c r="Y3263">
        <v>-7.1043850000000006E-2</v>
      </c>
      <c r="Z3263">
        <v>4.8113459999999997E-2</v>
      </c>
      <c r="AA3263">
        <v>0.99631209999999903</v>
      </c>
      <c r="AB3263">
        <v>26</v>
      </c>
      <c r="AC3263">
        <v>10.1954999999999</v>
      </c>
      <c r="AD3263">
        <v>-1.1813759219319999</v>
      </c>
      <c r="AE3263">
        <v>-4.0121000000000002</v>
      </c>
      <c r="AF3263">
        <v>-0.83402420863587401</v>
      </c>
      <c r="AG3263">
        <v>-1.1813759219319999</v>
      </c>
      <c r="AH3263">
        <v>10.798435348382499</v>
      </c>
      <c r="AI3263">
        <v>96.225078303944898</v>
      </c>
      <c r="AJ3263">
        <v>94.416508886571194</v>
      </c>
      <c r="AK3263">
        <v>10.8948359979721</v>
      </c>
    </row>
    <row r="3264" spans="1:37" x14ac:dyDescent="0.2">
      <c r="A3264" t="str">
        <f>"20200111150708193"</f>
        <v>20200111150708193</v>
      </c>
      <c r="B3264" t="str">
        <f>"1578726428190825"</f>
        <v>1578726428190825</v>
      </c>
      <c r="C3264" t="s">
        <v>37</v>
      </c>
      <c r="D3264">
        <v>6.0210109999999997</v>
      </c>
      <c r="E3264">
        <v>0.46293999999999902</v>
      </c>
      <c r="F3264" t="s">
        <v>38</v>
      </c>
      <c r="G3264">
        <v>-172.19759999999999</v>
      </c>
      <c r="H3264">
        <v>0.96080989999999999</v>
      </c>
      <c r="I3264">
        <v>150.3229</v>
      </c>
      <c r="J3264">
        <v>-172.57980000000001</v>
      </c>
      <c r="K3264">
        <v>1.1816850000000001</v>
      </c>
      <c r="L3264">
        <v>150.46520000000001</v>
      </c>
      <c r="M3264">
        <v>0.89962779999999998</v>
      </c>
      <c r="N3264">
        <v>0</v>
      </c>
      <c r="O3264">
        <v>-0.43646099999999999</v>
      </c>
      <c r="P3264">
        <v>0.89185490000000001</v>
      </c>
      <c r="Q3264">
        <v>0.14574970000000001</v>
      </c>
      <c r="R3264">
        <v>-0.42819649999999998</v>
      </c>
      <c r="S3264">
        <v>2.92923</v>
      </c>
      <c r="T3264">
        <v>-0.96003490000000002</v>
      </c>
      <c r="U3264">
        <v>-1.2357940000000001</v>
      </c>
      <c r="V3264">
        <v>-5.8734659999999999E-3</v>
      </c>
      <c r="W3264">
        <v>0.15865170000000001</v>
      </c>
      <c r="X3264">
        <v>0.98731709999999995</v>
      </c>
      <c r="Y3264">
        <v>-3.3433329999999997E-2</v>
      </c>
      <c r="Z3264">
        <v>0.13285839999999999</v>
      </c>
      <c r="AA3264">
        <v>0.99057099999999898</v>
      </c>
      <c r="AB3264">
        <v>26</v>
      </c>
      <c r="AC3264">
        <v>0.38220000000001098</v>
      </c>
      <c r="AD3264">
        <v>-0.22087509999999999</v>
      </c>
      <c r="AE3264">
        <v>-0.14230000000000501</v>
      </c>
      <c r="AF3264">
        <v>-3.0001749761598199E-2</v>
      </c>
      <c r="AG3264">
        <v>-0.22087509999999999</v>
      </c>
      <c r="AH3264">
        <v>0.313907474928726</v>
      </c>
      <c r="AI3264">
        <v>125.008912229807</v>
      </c>
      <c r="AJ3264">
        <v>95.459468880410896</v>
      </c>
      <c r="AK3264">
        <v>0.38499846441888103</v>
      </c>
    </row>
    <row r="3265" spans="1:37" x14ac:dyDescent="0.2">
      <c r="A3265" t="str">
        <f>"20200111150708232"</f>
        <v>20200111150708232</v>
      </c>
      <c r="B3265" t="str">
        <f>"1578726428220108"</f>
        <v>1578726428220108</v>
      </c>
      <c r="C3265" t="s">
        <v>37</v>
      </c>
      <c r="D3265">
        <v>5.4401769999999896</v>
      </c>
      <c r="E3265">
        <v>0.46541129999999997</v>
      </c>
      <c r="F3265" t="s">
        <v>39</v>
      </c>
      <c r="G3265">
        <v>-151.37860000000001</v>
      </c>
      <c r="H3265" s="1">
        <v>-4.3289059999999999E-6</v>
      </c>
      <c r="I3265">
        <v>142.5591</v>
      </c>
      <c r="J3265">
        <v>-172.17750000000001</v>
      </c>
      <c r="K3265">
        <v>1.1817629999999999</v>
      </c>
      <c r="L3265">
        <v>150.2688</v>
      </c>
      <c r="M3265">
        <v>0.89996669999999901</v>
      </c>
      <c r="N3265">
        <v>0</v>
      </c>
      <c r="O3265">
        <v>-0.43570169999999903</v>
      </c>
      <c r="P3265">
        <v>0.89376710000000004</v>
      </c>
      <c r="Q3265">
        <v>0.14009369999999999</v>
      </c>
      <c r="R3265">
        <v>-0.42609209999999897</v>
      </c>
      <c r="S3265">
        <v>2.8751980000000001</v>
      </c>
      <c r="T3265">
        <v>-0.16025400000000001</v>
      </c>
      <c r="U3265">
        <v>-1.072174</v>
      </c>
      <c r="V3265">
        <v>-8.1830300000000009E-3</v>
      </c>
      <c r="W3265">
        <v>0.1547975</v>
      </c>
      <c r="X3265">
        <v>0.98791229999999997</v>
      </c>
      <c r="Y3265">
        <v>-9.3139139999999995E-2</v>
      </c>
      <c r="Z3265">
        <v>2.4930500000000001E-2</v>
      </c>
      <c r="AA3265">
        <v>0.99534089999999997</v>
      </c>
      <c r="AB3265">
        <v>26</v>
      </c>
      <c r="AC3265">
        <v>20.7989</v>
      </c>
      <c r="AD3265">
        <v>-1.181767328906</v>
      </c>
      <c r="AE3265">
        <v>-7.70969999999999</v>
      </c>
      <c r="AF3265">
        <v>-2.1178693764688701</v>
      </c>
      <c r="AG3265">
        <v>-1.181767328906</v>
      </c>
      <c r="AH3265">
        <v>22.017425910007699</v>
      </c>
      <c r="AI3265">
        <v>93.058267018375204</v>
      </c>
      <c r="AJ3265">
        <v>95.4944110155608</v>
      </c>
      <c r="AK3265">
        <v>22.1505979246189</v>
      </c>
    </row>
    <row r="3266" spans="1:37" x14ac:dyDescent="0.2">
      <c r="A3266" t="str">
        <f>"20200111150708263"</f>
        <v>20200111150708263</v>
      </c>
      <c r="B3266" t="str">
        <f>"1578726428260121"</f>
        <v>1578726428260121</v>
      </c>
      <c r="C3266" t="s">
        <v>37</v>
      </c>
      <c r="D3266">
        <v>5.4656849999999997</v>
      </c>
      <c r="E3266">
        <v>0.4672212</v>
      </c>
      <c r="F3266" t="s">
        <v>39</v>
      </c>
      <c r="G3266">
        <v>-158.1317</v>
      </c>
      <c r="H3266" s="1">
        <v>-2.2004979999999999E-6</v>
      </c>
      <c r="I3266">
        <v>144.94059999999999</v>
      </c>
      <c r="J3266">
        <v>-171.86089999999999</v>
      </c>
      <c r="K3266">
        <v>1.1816599999999999</v>
      </c>
      <c r="L3266">
        <v>150.11420000000001</v>
      </c>
      <c r="M3266">
        <v>0.90017959999999997</v>
      </c>
      <c r="N3266">
        <v>0</v>
      </c>
      <c r="O3266">
        <v>-0.43520119999999901</v>
      </c>
      <c r="P3266">
        <v>0.89481109999999897</v>
      </c>
      <c r="Q3266">
        <v>0.13777329999999999</v>
      </c>
      <c r="R3266">
        <v>-0.4246549</v>
      </c>
      <c r="S3266">
        <v>2.874619</v>
      </c>
      <c r="T3266">
        <v>-0.241860399999999</v>
      </c>
      <c r="U3266">
        <v>-1.0904689999999999</v>
      </c>
      <c r="V3266">
        <v>-9.7466600000000007E-3</v>
      </c>
      <c r="W3266">
        <v>0.15409039999999999</v>
      </c>
      <c r="X3266">
        <v>0.98800869999999996</v>
      </c>
      <c r="Y3266">
        <v>-8.6163210000000004E-2</v>
      </c>
      <c r="Z3266">
        <v>3.7230279999999998E-2</v>
      </c>
      <c r="AA3266">
        <v>0.9955851</v>
      </c>
      <c r="AB3266">
        <v>26</v>
      </c>
      <c r="AC3266">
        <v>13.729199999999899</v>
      </c>
      <c r="AD3266">
        <v>-1.181662200498</v>
      </c>
      <c r="AE3266">
        <v>-5.17360000000002</v>
      </c>
      <c r="AF3266">
        <v>-1.30948309691308</v>
      </c>
      <c r="AG3266">
        <v>-1.181662200498</v>
      </c>
      <c r="AH3266">
        <v>14.518147690163699</v>
      </c>
      <c r="AI3266">
        <v>94.6344345917976</v>
      </c>
      <c r="AJ3266">
        <v>95.153920732541096</v>
      </c>
      <c r="AK3266">
        <v>14.6248994489053</v>
      </c>
    </row>
    <row r="3267" spans="1:37" x14ac:dyDescent="0.2">
      <c r="A3267" t="str">
        <f>"20200111150708286"</f>
        <v>20200111150708286</v>
      </c>
      <c r="B3267" t="str">
        <f>"1578726428280618"</f>
        <v>1578726428280618</v>
      </c>
      <c r="C3267" t="s">
        <v>37</v>
      </c>
      <c r="D3267">
        <v>5.431432</v>
      </c>
      <c r="E3267">
        <v>0.46929009999999999</v>
      </c>
      <c r="F3267" t="s">
        <v>39</v>
      </c>
      <c r="G3267">
        <v>-158.47139999999999</v>
      </c>
      <c r="H3267" s="1">
        <v>-2.06812999999999E-6</v>
      </c>
      <c r="I3267">
        <v>144.99080000000001</v>
      </c>
      <c r="J3267">
        <v>-171.6208</v>
      </c>
      <c r="K3267">
        <v>1.1814450000000001</v>
      </c>
      <c r="L3267">
        <v>149.99690000000001</v>
      </c>
      <c r="M3267">
        <v>0.90062310000000001</v>
      </c>
      <c r="N3267">
        <v>0</v>
      </c>
      <c r="O3267">
        <v>-0.43423220000000001</v>
      </c>
      <c r="P3267">
        <v>0.89652500000000002</v>
      </c>
      <c r="Q3267">
        <v>0.13724449999999999</v>
      </c>
      <c r="R3267">
        <v>-0.42119679999999998</v>
      </c>
      <c r="S3267">
        <v>2.8704529999999999</v>
      </c>
      <c r="T3267">
        <v>-0.25332589999999999</v>
      </c>
      <c r="U3267">
        <v>-1.0983579999999999</v>
      </c>
      <c r="V3267">
        <v>-1.282029E-2</v>
      </c>
      <c r="W3267">
        <v>0.15473819999999999</v>
      </c>
      <c r="X3267">
        <v>0.98787230000000004</v>
      </c>
      <c r="Y3267">
        <v>-8.2103190000000006E-2</v>
      </c>
      <c r="Z3267">
        <v>3.8773519999999999E-2</v>
      </c>
      <c r="AA3267">
        <v>0.99586929999999996</v>
      </c>
      <c r="AB3267">
        <v>26</v>
      </c>
      <c r="AC3267">
        <v>13.1494</v>
      </c>
      <c r="AD3267">
        <v>-1.18144706813</v>
      </c>
      <c r="AE3267">
        <v>-5.0061</v>
      </c>
      <c r="AF3267">
        <v>-1.19306412579455</v>
      </c>
      <c r="AG3267">
        <v>-1.18144706813</v>
      </c>
      <c r="AH3267">
        <v>13.9205592799788</v>
      </c>
      <c r="AI3267">
        <v>94.833470470494404</v>
      </c>
      <c r="AJ3267">
        <v>94.898574894956894</v>
      </c>
      <c r="AK3267">
        <v>14.0214546267659</v>
      </c>
    </row>
    <row r="3268" spans="1:37" x14ac:dyDescent="0.2">
      <c r="A3268" t="str">
        <f>"20200111150708307"</f>
        <v>20200111150708307</v>
      </c>
      <c r="B3268" t="str">
        <f>"1578726428300137"</f>
        <v>1578726428300137</v>
      </c>
      <c r="C3268" t="s">
        <v>37</v>
      </c>
      <c r="D3268">
        <v>5.4694180000000001</v>
      </c>
      <c r="E3268">
        <v>0.47035189999999999</v>
      </c>
      <c r="F3268" t="s">
        <v>39</v>
      </c>
      <c r="G3268">
        <v>-158.26130000000001</v>
      </c>
      <c r="H3268" s="1">
        <v>-2.1240209999999999E-6</v>
      </c>
      <c r="I3268">
        <v>144.86199999999999</v>
      </c>
      <c r="J3268">
        <v>-171.38980000000001</v>
      </c>
      <c r="K3268">
        <v>1.181308</v>
      </c>
      <c r="L3268">
        <v>149.88419999999999</v>
      </c>
      <c r="M3268">
        <v>0.90103239999999996</v>
      </c>
      <c r="N3268">
        <v>0</v>
      </c>
      <c r="O3268">
        <v>-0.4333205</v>
      </c>
      <c r="P3268">
        <v>0.8976963</v>
      </c>
      <c r="Q3268">
        <v>0.13823540000000001</v>
      </c>
      <c r="R3268">
        <v>-0.41836879999999999</v>
      </c>
      <c r="S3268">
        <v>2.8673099999999998</v>
      </c>
      <c r="T3268">
        <v>-0.2535695</v>
      </c>
      <c r="U3268">
        <v>-1.1020809999999901</v>
      </c>
      <c r="V3268">
        <v>-1.523528E-2</v>
      </c>
      <c r="W3268">
        <v>0.15708759999999999</v>
      </c>
      <c r="X3268">
        <v>0.98746719999999899</v>
      </c>
      <c r="Y3268">
        <v>-7.9620780000000002E-2</v>
      </c>
      <c r="Z3268">
        <v>3.8665520000000002E-2</v>
      </c>
      <c r="AA3268">
        <v>0.99607500000000004</v>
      </c>
      <c r="AB3268">
        <v>26</v>
      </c>
      <c r="AC3268">
        <v>13.128500000000001</v>
      </c>
      <c r="AD3268">
        <v>-1.181310124021</v>
      </c>
      <c r="AE3268">
        <v>-5.02219999999999</v>
      </c>
      <c r="AF3268">
        <v>-1.1557380146988501</v>
      </c>
      <c r="AG3268">
        <v>-1.181310124021</v>
      </c>
      <c r="AH3268">
        <v>13.909801591410201</v>
      </c>
      <c r="AI3268">
        <v>94.837688699688101</v>
      </c>
      <c r="AJ3268">
        <v>94.749683503270504</v>
      </c>
      <c r="AK3268">
        <v>14.0076337859087</v>
      </c>
    </row>
    <row r="3269" spans="1:37" x14ac:dyDescent="0.2">
      <c r="A3269" t="str">
        <f>"20200111150708345"</f>
        <v>20200111150708345</v>
      </c>
      <c r="B3269" t="str">
        <f>"1578726428340153"</f>
        <v>1578726428340153</v>
      </c>
      <c r="C3269" t="s">
        <v>37</v>
      </c>
      <c r="D3269">
        <v>6.2386879999999998</v>
      </c>
      <c r="E3269">
        <v>0.47096329999999997</v>
      </c>
      <c r="F3269" t="s">
        <v>39</v>
      </c>
      <c r="G3269">
        <v>-158.977</v>
      </c>
      <c r="H3269" s="1">
        <v>-1.8861689999999901E-6</v>
      </c>
      <c r="I3269">
        <v>145.12200000000001</v>
      </c>
      <c r="J3269">
        <v>-171.02080000000001</v>
      </c>
      <c r="K3269">
        <v>1.1811639999999901</v>
      </c>
      <c r="L3269">
        <v>149.7046</v>
      </c>
      <c r="M3269">
        <v>0.90081279999999997</v>
      </c>
      <c r="N3269">
        <v>0</v>
      </c>
      <c r="O3269">
        <v>-0.4336699</v>
      </c>
      <c r="P3269">
        <v>0.8991268</v>
      </c>
      <c r="Q3269">
        <v>0.13989179999999901</v>
      </c>
      <c r="R3269">
        <v>-0.4147304</v>
      </c>
      <c r="S3269">
        <v>2.8706969999999998</v>
      </c>
      <c r="T3269">
        <v>-0.2731981</v>
      </c>
      <c r="U3269">
        <v>-1.101318</v>
      </c>
      <c r="V3269">
        <v>-2.0270389999999999E-2</v>
      </c>
      <c r="W3269">
        <v>0.16080429999999901</v>
      </c>
      <c r="X3269">
        <v>0.98677809999999899</v>
      </c>
      <c r="Y3269">
        <v>-8.0396659999999995E-2</v>
      </c>
      <c r="Z3269">
        <v>4.1669659999999997E-2</v>
      </c>
      <c r="AA3269">
        <v>0.99589159999999899</v>
      </c>
      <c r="AB3269">
        <v>26</v>
      </c>
      <c r="AC3269">
        <v>12.043799999999999</v>
      </c>
      <c r="AD3269">
        <v>-1.181165886169</v>
      </c>
      <c r="AE3269">
        <v>-4.5825999999999798</v>
      </c>
      <c r="AF3269">
        <v>-1.08609918752961</v>
      </c>
      <c r="AG3269">
        <v>-1.181165886169</v>
      </c>
      <c r="AH3269">
        <v>12.732564539147599</v>
      </c>
      <c r="AI3269">
        <v>95.280938220642398</v>
      </c>
      <c r="AJ3269">
        <v>94.875578995802698</v>
      </c>
      <c r="AK3269">
        <v>12.833275655083501</v>
      </c>
    </row>
    <row r="3270" spans="1:37" x14ac:dyDescent="0.2">
      <c r="A3270" t="str">
        <f>"20200111150708378"</f>
        <v>20200111150708378</v>
      </c>
      <c r="B3270" t="str">
        <f>"1578726428370409"</f>
        <v>1578726428370409</v>
      </c>
      <c r="C3270" t="s">
        <v>37</v>
      </c>
      <c r="D3270">
        <v>5.448277</v>
      </c>
      <c r="E3270">
        <v>0.47250150000000002</v>
      </c>
      <c r="F3270" t="s">
        <v>39</v>
      </c>
      <c r="G3270">
        <v>-159.66030000000001</v>
      </c>
      <c r="H3270" s="1">
        <v>-1.660981E-6</v>
      </c>
      <c r="I3270">
        <v>145.37739999999999</v>
      </c>
      <c r="J3270">
        <v>-170.68190000000001</v>
      </c>
      <c r="K3270">
        <v>1.180207</v>
      </c>
      <c r="L3270">
        <v>149.54040000000001</v>
      </c>
      <c r="M3270">
        <v>0.8996828</v>
      </c>
      <c r="N3270">
        <v>0</v>
      </c>
      <c r="O3270">
        <v>-0.43591970000000002</v>
      </c>
      <c r="P3270">
        <v>0.89998469999999997</v>
      </c>
      <c r="Q3270">
        <v>0.13641149999999999</v>
      </c>
      <c r="R3270">
        <v>-0.41402840000000002</v>
      </c>
      <c r="S3270">
        <v>2.8775629999999999</v>
      </c>
      <c r="T3270">
        <v>-0.29918210000000001</v>
      </c>
      <c r="U3270">
        <v>-1.0960540000000001</v>
      </c>
      <c r="V3270">
        <v>-2.4184150000000001E-2</v>
      </c>
      <c r="W3270">
        <v>0.1588994</v>
      </c>
      <c r="X3270">
        <v>0.98699859999999995</v>
      </c>
      <c r="Y3270">
        <v>-8.4899929999999998E-2</v>
      </c>
      <c r="Z3270">
        <v>4.5957999999999999E-2</v>
      </c>
      <c r="AA3270">
        <v>0.99532900000000002</v>
      </c>
      <c r="AB3270">
        <v>25</v>
      </c>
      <c r="AC3270">
        <v>11.021599999999999</v>
      </c>
      <c r="AD3270">
        <v>-1.1802086609810001</v>
      </c>
      <c r="AE3270">
        <v>-4.16300000000001</v>
      </c>
      <c r="AF3270">
        <v>-1.0489160792758401</v>
      </c>
      <c r="AG3270">
        <v>-1.1802086609810001</v>
      </c>
      <c r="AH3270">
        <v>11.617297609455701</v>
      </c>
      <c r="AI3270">
        <v>95.777471668369401</v>
      </c>
      <c r="AJ3270">
        <v>95.159198840394495</v>
      </c>
      <c r="AK3270">
        <v>11.7241085448525</v>
      </c>
    </row>
    <row r="3271" spans="1:37" x14ac:dyDescent="0.2">
      <c r="A3271" t="str">
        <f>"20200111150708411"</f>
        <v>20200111150708411</v>
      </c>
      <c r="B3271" t="str">
        <f>"1578726428400665"</f>
        <v>1578726428400665</v>
      </c>
      <c r="C3271" t="s">
        <v>37</v>
      </c>
      <c r="D3271">
        <v>5.5352980000000001</v>
      </c>
      <c r="E3271">
        <v>0.47328530000000002</v>
      </c>
      <c r="F3271" t="s">
        <v>39</v>
      </c>
      <c r="G3271">
        <v>-159.99469999999999</v>
      </c>
      <c r="H3271" s="1">
        <v>-5.7447479999999999E-6</v>
      </c>
      <c r="I3271">
        <v>145.43100000000001</v>
      </c>
      <c r="J3271">
        <v>-170.3415</v>
      </c>
      <c r="K3271">
        <v>1.178064</v>
      </c>
      <c r="L3271">
        <v>149.3751</v>
      </c>
      <c r="M3271">
        <v>0.89916799999999997</v>
      </c>
      <c r="N3271">
        <v>0</v>
      </c>
      <c r="O3271">
        <v>-0.4368319</v>
      </c>
      <c r="P3271">
        <v>0.90355269999999999</v>
      </c>
      <c r="Q3271">
        <v>0.12895000000000001</v>
      </c>
      <c r="R3271">
        <v>-0.40861360000000002</v>
      </c>
      <c r="S3271">
        <v>2.87323</v>
      </c>
      <c r="T3271">
        <v>-0.31730009999999997</v>
      </c>
      <c r="U3271">
        <v>-1.104797</v>
      </c>
      <c r="V3271">
        <v>-3.1640910000000001E-2</v>
      </c>
      <c r="W3271">
        <v>0.15383459999999999</v>
      </c>
      <c r="X3271">
        <v>0.98758989999999902</v>
      </c>
      <c r="Y3271">
        <v>-8.2525749999999995E-2</v>
      </c>
      <c r="Z3271">
        <v>4.8723210000000003E-2</v>
      </c>
      <c r="AA3271">
        <v>0.99539719999999998</v>
      </c>
      <c r="AB3271">
        <v>25</v>
      </c>
      <c r="AC3271">
        <v>10.3468</v>
      </c>
      <c r="AD3271">
        <v>-1.178069744748</v>
      </c>
      <c r="AE3271">
        <v>-3.9440999999999899</v>
      </c>
      <c r="AF3271">
        <v>-0.96283406063997401</v>
      </c>
      <c r="AG3271">
        <v>-1.178069744748</v>
      </c>
      <c r="AH3271">
        <v>10.906689454393501</v>
      </c>
      <c r="AI3271">
        <v>96.141117690591599</v>
      </c>
      <c r="AJ3271">
        <v>95.044948503367607</v>
      </c>
      <c r="AK3271">
        <v>11.012300967844901</v>
      </c>
    </row>
    <row r="3272" spans="1:37" x14ac:dyDescent="0.2">
      <c r="A3272" t="str">
        <f>"20200111150708458"</f>
        <v>20200111150708458</v>
      </c>
      <c r="B3272" t="str">
        <f>"1578726428450441"</f>
        <v>1578726428450441</v>
      </c>
      <c r="C3272" t="s">
        <v>37</v>
      </c>
      <c r="D3272">
        <v>5.4817200000000001</v>
      </c>
      <c r="E3272">
        <v>0.47484219999999999</v>
      </c>
      <c r="F3272" t="s">
        <v>39</v>
      </c>
      <c r="G3272">
        <v>-160.65119999999999</v>
      </c>
      <c r="H3272" s="1">
        <v>-5.53979E-6</v>
      </c>
      <c r="I3272">
        <v>145.69669999999999</v>
      </c>
      <c r="J3272">
        <v>-169.9008</v>
      </c>
      <c r="K3272">
        <v>1.1739679999999999</v>
      </c>
      <c r="L3272">
        <v>149.15989999999999</v>
      </c>
      <c r="M3272">
        <v>0.89935669999999901</v>
      </c>
      <c r="N3272">
        <v>0</v>
      </c>
      <c r="O3272">
        <v>-0.4362045</v>
      </c>
      <c r="P3272">
        <v>0.90722329999999995</v>
      </c>
      <c r="Q3272">
        <v>0.12539639999999999</v>
      </c>
      <c r="R3272">
        <v>-0.40152409999999999</v>
      </c>
      <c r="S3272">
        <v>2.8763890000000001</v>
      </c>
      <c r="T3272">
        <v>-0.34968699999999903</v>
      </c>
      <c r="U3272">
        <v>-1.0918429999999999</v>
      </c>
      <c r="V3272">
        <v>-3.9002259999999997E-2</v>
      </c>
      <c r="W3272">
        <v>0.15376529999999899</v>
      </c>
      <c r="X3272">
        <v>0.98733740000000003</v>
      </c>
      <c r="Y3272">
        <v>-8.5602849999999994E-2</v>
      </c>
      <c r="Z3272">
        <v>5.3783160000000003E-2</v>
      </c>
      <c r="AA3272">
        <v>0.9948766</v>
      </c>
      <c r="AB3272">
        <v>25</v>
      </c>
      <c r="AC3272">
        <v>9.2496000000000098</v>
      </c>
      <c r="AD3272">
        <v>-1.17397353979</v>
      </c>
      <c r="AE3272">
        <v>-3.4632000000000001</v>
      </c>
      <c r="AF3272">
        <v>-0.90764791557630997</v>
      </c>
      <c r="AG3272">
        <v>-1.17397353979</v>
      </c>
      <c r="AH3272">
        <v>9.6966972035166492</v>
      </c>
      <c r="AI3272">
        <v>96.873413049943295</v>
      </c>
      <c r="AJ3272">
        <v>95.347522497880107</v>
      </c>
      <c r="AK3272">
        <v>9.8095858866449994</v>
      </c>
    </row>
    <row r="3273" spans="1:37" x14ac:dyDescent="0.2">
      <c r="A3273" t="str">
        <f>"20200111150708487"</f>
        <v>20200111150708487</v>
      </c>
      <c r="B3273" t="str">
        <f>"1578726428480697"</f>
        <v>1578726428480697</v>
      </c>
      <c r="C3273" t="s">
        <v>37</v>
      </c>
      <c r="D3273">
        <v>5.5822929999999999</v>
      </c>
      <c r="E3273">
        <v>0.47528320000000002</v>
      </c>
      <c r="F3273" t="s">
        <v>39</v>
      </c>
      <c r="G3273">
        <v>-160.6558</v>
      </c>
      <c r="H3273" s="1">
        <v>-5.5358669999999902E-6</v>
      </c>
      <c r="I3273">
        <v>145.68450000000001</v>
      </c>
      <c r="J3273">
        <v>-169.6129</v>
      </c>
      <c r="K3273">
        <v>1.1709309999999999</v>
      </c>
      <c r="L3273">
        <v>149.01990000000001</v>
      </c>
      <c r="M3273">
        <v>0.89923619999999904</v>
      </c>
      <c r="N3273">
        <v>0</v>
      </c>
      <c r="O3273">
        <v>-0.43625720000000001</v>
      </c>
      <c r="P3273">
        <v>0.90868879999999996</v>
      </c>
      <c r="Q3273">
        <v>0.1227193</v>
      </c>
      <c r="R3273">
        <v>-0.3990302</v>
      </c>
      <c r="S3273">
        <v>2.8784179999999999</v>
      </c>
      <c r="T3273">
        <v>-0.36551230000000001</v>
      </c>
      <c r="U3273">
        <v>-1.082047</v>
      </c>
      <c r="V3273">
        <v>-4.2049919999999998E-2</v>
      </c>
      <c r="W3273">
        <v>0.1537116</v>
      </c>
      <c r="X3273">
        <v>0.9872206</v>
      </c>
      <c r="Y3273">
        <v>-8.8592050000000006E-2</v>
      </c>
      <c r="Z3273">
        <v>5.6396769999999999E-2</v>
      </c>
      <c r="AA3273">
        <v>0.99447009999999902</v>
      </c>
      <c r="AB3273">
        <v>24</v>
      </c>
      <c r="AC3273">
        <v>8.9570999999999898</v>
      </c>
      <c r="AD3273">
        <v>-1.1709365358670001</v>
      </c>
      <c r="AE3273">
        <v>-3.3353999999999902</v>
      </c>
      <c r="AF3273">
        <v>-0.895328434796276</v>
      </c>
      <c r="AG3273">
        <v>-1.1709365358670001</v>
      </c>
      <c r="AH3273">
        <v>9.3739669955009202</v>
      </c>
      <c r="AI3273">
        <v>97.088217857899593</v>
      </c>
      <c r="AJ3273">
        <v>95.455896863786705</v>
      </c>
      <c r="AK3273">
        <v>9.4891497306093502</v>
      </c>
    </row>
    <row r="3274" spans="1:37" x14ac:dyDescent="0.2">
      <c r="A3274" t="str">
        <f>"20200111150708509"</f>
        <v>20200111150708509</v>
      </c>
      <c r="B3274" t="str">
        <f>"1578726428500218"</f>
        <v>1578726428500218</v>
      </c>
      <c r="C3274" t="s">
        <v>37</v>
      </c>
      <c r="D3274">
        <v>5.5737430000000003</v>
      </c>
      <c r="E3274">
        <v>0.47562690000000002</v>
      </c>
      <c r="F3274" t="s">
        <v>39</v>
      </c>
      <c r="G3274">
        <v>-160.78919999999999</v>
      </c>
      <c r="H3274" s="1">
        <v>-5.4909899999999998E-6</v>
      </c>
      <c r="I3274">
        <v>145.72049999999999</v>
      </c>
      <c r="J3274">
        <v>-169.40389999999999</v>
      </c>
      <c r="K3274">
        <v>1.1683490000000001</v>
      </c>
      <c r="L3274">
        <v>148.91890000000001</v>
      </c>
      <c r="M3274">
        <v>0.89912829999999999</v>
      </c>
      <c r="N3274">
        <v>0</v>
      </c>
      <c r="O3274">
        <v>-0.43630749999999902</v>
      </c>
      <c r="P3274">
        <v>0.90979779999999999</v>
      </c>
      <c r="Q3274">
        <v>0.1211636</v>
      </c>
      <c r="R3274">
        <v>-0.39697359999999998</v>
      </c>
      <c r="S3274">
        <v>2.8801570000000001</v>
      </c>
      <c r="T3274">
        <v>-0.38221159999999998</v>
      </c>
      <c r="U3274">
        <v>-1.076981</v>
      </c>
      <c r="V3274">
        <v>-4.4471379999999998E-2</v>
      </c>
      <c r="W3274">
        <v>0.15430289999999999</v>
      </c>
      <c r="X3274">
        <v>0.98702219999999996</v>
      </c>
      <c r="Y3274">
        <v>-9.0089160000000001E-2</v>
      </c>
      <c r="Z3274">
        <v>5.9047780000000001E-2</v>
      </c>
      <c r="AA3274">
        <v>0.9941818</v>
      </c>
      <c r="AB3274">
        <v>24</v>
      </c>
      <c r="AC3274">
        <v>8.6146999999999991</v>
      </c>
      <c r="AD3274">
        <v>-1.1683544909900001</v>
      </c>
      <c r="AE3274">
        <v>-3.1984000000000199</v>
      </c>
      <c r="AF3274">
        <v>-0.86936464245682099</v>
      </c>
      <c r="AG3274">
        <v>-1.1683544909900001</v>
      </c>
      <c r="AH3274">
        <v>9.0012066198937095</v>
      </c>
      <c r="AI3274">
        <v>97.361751569032606</v>
      </c>
      <c r="AJ3274">
        <v>95.516693969071198</v>
      </c>
      <c r="AK3274">
        <v>9.1182546417715802</v>
      </c>
    </row>
    <row r="3275" spans="1:37" x14ac:dyDescent="0.2">
      <c r="A3275" t="str">
        <f>"20200111150708546"</f>
        <v>20200111150708546</v>
      </c>
      <c r="B3275" t="str">
        <f>"1578726428540233"</f>
        <v>1578726428540233</v>
      </c>
      <c r="C3275" t="s">
        <v>37</v>
      </c>
      <c r="D3275">
        <v>5.5407349999999997</v>
      </c>
      <c r="E3275">
        <v>0.47662479999999902</v>
      </c>
      <c r="F3275" t="s">
        <v>39</v>
      </c>
      <c r="G3275">
        <v>-160.75360000000001</v>
      </c>
      <c r="H3275" s="1">
        <v>-5.5010469999999997E-6</v>
      </c>
      <c r="I3275">
        <v>145.69999999999999</v>
      </c>
      <c r="J3275">
        <v>-169.08510000000001</v>
      </c>
      <c r="K3275">
        <v>1.1638029999999999</v>
      </c>
      <c r="L3275">
        <v>148.76499999999999</v>
      </c>
      <c r="M3275">
        <v>0.89933349999999901</v>
      </c>
      <c r="N3275">
        <v>0</v>
      </c>
      <c r="O3275">
        <v>-0.43557770000000001</v>
      </c>
      <c r="P3275">
        <v>0.91268519999999898</v>
      </c>
      <c r="Q3275">
        <v>0.119079399999999</v>
      </c>
      <c r="R3275">
        <v>-0.39093020000000001</v>
      </c>
      <c r="S3275">
        <v>2.881424</v>
      </c>
      <c r="T3275">
        <v>-0.38917779999999902</v>
      </c>
      <c r="U3275">
        <v>-1.0722049999999901</v>
      </c>
      <c r="V3275">
        <v>-5.0308539999999999E-2</v>
      </c>
      <c r="W3275">
        <v>0.15570999999999999</v>
      </c>
      <c r="X3275">
        <v>0.98652090000000003</v>
      </c>
      <c r="Y3275">
        <v>-9.0798299999999998E-2</v>
      </c>
      <c r="Z3275">
        <v>6.0081339999999997E-2</v>
      </c>
      <c r="AA3275">
        <v>0.99405529999999998</v>
      </c>
      <c r="AB3275">
        <v>23</v>
      </c>
      <c r="AC3275">
        <v>8.3315000000000001</v>
      </c>
      <c r="AD3275">
        <v>-1.1638085010470001</v>
      </c>
      <c r="AE3275">
        <v>-3.0649999999999902</v>
      </c>
      <c r="AF3275">
        <v>-0.85844718619094196</v>
      </c>
      <c r="AG3275">
        <v>-1.1638085010470001</v>
      </c>
      <c r="AH3275">
        <v>8.6850765174006899</v>
      </c>
      <c r="AI3275">
        <v>97.595645491493102</v>
      </c>
      <c r="AJ3275">
        <v>95.6448734773182</v>
      </c>
      <c r="AK3275">
        <v>8.8046542187466592</v>
      </c>
    </row>
    <row r="3276" spans="1:37" x14ac:dyDescent="0.2">
      <c r="A3276" t="str">
        <f>"20200111150708575"</f>
        <v>20200111150708575</v>
      </c>
      <c r="B3276" t="str">
        <f>"1578726428570490"</f>
        <v>1578726428570490</v>
      </c>
      <c r="C3276" t="s">
        <v>37</v>
      </c>
      <c r="D3276">
        <v>5.5263530000000003</v>
      </c>
      <c r="E3276">
        <v>0.47795090000000001</v>
      </c>
      <c r="F3276" t="s">
        <v>39</v>
      </c>
      <c r="G3276">
        <v>-160.9136</v>
      </c>
      <c r="H3276" s="1">
        <v>-5.4482129999999902E-6</v>
      </c>
      <c r="I3276">
        <v>145.74870000000001</v>
      </c>
      <c r="J3276">
        <v>-168.83019999999999</v>
      </c>
      <c r="K3276">
        <v>1.160115</v>
      </c>
      <c r="L3276">
        <v>148.6421</v>
      </c>
      <c r="M3276">
        <v>0.89968340000000002</v>
      </c>
      <c r="N3276">
        <v>0</v>
      </c>
      <c r="O3276">
        <v>-0.43459429999999999</v>
      </c>
      <c r="P3276">
        <v>0.914825</v>
      </c>
      <c r="Q3276">
        <v>0.11651639999999901</v>
      </c>
      <c r="R3276">
        <v>-0.3866774</v>
      </c>
      <c r="S3276">
        <v>2.8845369999999999</v>
      </c>
      <c r="T3276">
        <v>-0.41082609999999897</v>
      </c>
      <c r="U3276">
        <v>-1.0647580000000001</v>
      </c>
      <c r="V3276">
        <v>-5.3937230000000003E-2</v>
      </c>
      <c r="W3276">
        <v>0.15589510000000001</v>
      </c>
      <c r="X3276">
        <v>0.98629990000000001</v>
      </c>
      <c r="Y3276">
        <v>-9.1931979999999996E-2</v>
      </c>
      <c r="Z3276">
        <v>6.3330330000000004E-2</v>
      </c>
      <c r="AA3276">
        <v>0.9937494</v>
      </c>
      <c r="AB3276">
        <v>22</v>
      </c>
      <c r="AC3276">
        <v>7.9165999999999803</v>
      </c>
      <c r="AD3276">
        <v>-1.1601204482130001</v>
      </c>
      <c r="AE3276">
        <v>-2.8933999999999802</v>
      </c>
      <c r="AF3276">
        <v>-0.82249540022302403</v>
      </c>
      <c r="AG3276">
        <v>-1.1601204482130001</v>
      </c>
      <c r="AH3276">
        <v>8.2310791594380994</v>
      </c>
      <c r="AI3276">
        <v>97.983403468514993</v>
      </c>
      <c r="AJ3276">
        <v>95.706371655721199</v>
      </c>
      <c r="AK3276">
        <v>8.3530259347548004</v>
      </c>
    </row>
    <row r="3277" spans="1:37" x14ac:dyDescent="0.2">
      <c r="A3277" t="str">
        <f>"20200111150708598"</f>
        <v>20200111150708598</v>
      </c>
      <c r="B3277" t="str">
        <f>"1578726428590009"</f>
        <v>1578726428590009</v>
      </c>
      <c r="C3277" t="s">
        <v>37</v>
      </c>
      <c r="D3277">
        <v>5.5078459999999998</v>
      </c>
      <c r="E3277">
        <v>0.47831030000000002</v>
      </c>
      <c r="F3277" t="s">
        <v>39</v>
      </c>
      <c r="G3277">
        <v>-161.03270000000001</v>
      </c>
      <c r="H3277" s="1">
        <v>-5.4062890000000001E-6</v>
      </c>
      <c r="I3277">
        <v>145.77010000000001</v>
      </c>
      <c r="J3277">
        <v>-168.62209999999999</v>
      </c>
      <c r="K3277">
        <v>1.1572439999999999</v>
      </c>
      <c r="L3277">
        <v>148.54220000000001</v>
      </c>
      <c r="M3277">
        <v>0.89967509999999995</v>
      </c>
      <c r="N3277">
        <v>0</v>
      </c>
      <c r="O3277">
        <v>-0.4344267</v>
      </c>
      <c r="P3277">
        <v>0.91640440000000001</v>
      </c>
      <c r="Q3277">
        <v>0.11443979999999999</v>
      </c>
      <c r="R3277">
        <v>-0.38354539999999998</v>
      </c>
      <c r="S3277">
        <v>2.8848419999999999</v>
      </c>
      <c r="T3277">
        <v>-0.42920799999999998</v>
      </c>
      <c r="U3277">
        <v>-1.0625610000000001</v>
      </c>
      <c r="V3277">
        <v>-5.7266780000000003E-2</v>
      </c>
      <c r="W3277">
        <v>0.15562519999999999</v>
      </c>
      <c r="X3277">
        <v>0.9861548</v>
      </c>
      <c r="Y3277">
        <v>-9.2092629999999995E-2</v>
      </c>
      <c r="Z3277">
        <v>6.613521E-2</v>
      </c>
      <c r="AA3277">
        <v>0.99355170000000004</v>
      </c>
      <c r="AB3277">
        <v>21</v>
      </c>
      <c r="AC3277">
        <v>7.5893999999999799</v>
      </c>
      <c r="AD3277">
        <v>-1.157249406289</v>
      </c>
      <c r="AE3277">
        <v>-2.7720999999999898</v>
      </c>
      <c r="AF3277">
        <v>-0.78763818110339601</v>
      </c>
      <c r="AG3277">
        <v>-1.157249406289</v>
      </c>
      <c r="AH3277">
        <v>7.8781295520582404</v>
      </c>
      <c r="AI3277">
        <v>98.315765134742705</v>
      </c>
      <c r="AJ3277">
        <v>95.709334628937299</v>
      </c>
      <c r="AK3277">
        <v>8.0015326864108598</v>
      </c>
    </row>
    <row r="3278" spans="1:37" x14ac:dyDescent="0.2">
      <c r="A3278" t="str">
        <f>"20200111150708635"</f>
        <v>20200111150708635</v>
      </c>
      <c r="B3278" t="str">
        <f>"1578726428631002"</f>
        <v>1578726428631002</v>
      </c>
      <c r="C3278" t="s">
        <v>37</v>
      </c>
      <c r="D3278">
        <v>5.82904</v>
      </c>
      <c r="E3278">
        <v>0.47896929999999999</v>
      </c>
      <c r="F3278" t="s">
        <v>39</v>
      </c>
      <c r="G3278">
        <v>-160.9709</v>
      </c>
      <c r="H3278" s="1">
        <v>-5.4253719999999998E-6</v>
      </c>
      <c r="I3278">
        <v>145.7439</v>
      </c>
      <c r="J3278">
        <v>-168.32560000000001</v>
      </c>
      <c r="K3278">
        <v>1.1528479999999901</v>
      </c>
      <c r="L3278">
        <v>148.40049999999999</v>
      </c>
      <c r="M3278">
        <v>0.89942759999999999</v>
      </c>
      <c r="N3278">
        <v>0</v>
      </c>
      <c r="O3278">
        <v>-0.43471870000000001</v>
      </c>
      <c r="P3278">
        <v>0.91849650000000005</v>
      </c>
      <c r="Q3278">
        <v>0.11338569999999901</v>
      </c>
      <c r="R3278">
        <v>-0.37882450000000001</v>
      </c>
      <c r="S3278">
        <v>2.886368</v>
      </c>
      <c r="T3278">
        <v>-0.43656499999999998</v>
      </c>
      <c r="U3278">
        <v>-1.0556490000000001</v>
      </c>
      <c r="V3278">
        <v>-6.2653260000000002E-2</v>
      </c>
      <c r="W3278">
        <v>0.15662179999999901</v>
      </c>
      <c r="X3278">
        <v>0.98566939999999903</v>
      </c>
      <c r="Y3278">
        <v>-9.4540719999999995E-2</v>
      </c>
      <c r="Z3278">
        <v>6.7479330000000004E-2</v>
      </c>
      <c r="AA3278">
        <v>0.99323139999999999</v>
      </c>
      <c r="AB3278">
        <v>21</v>
      </c>
      <c r="AC3278">
        <v>7.3547000000000002</v>
      </c>
      <c r="AD3278">
        <v>-1.152853425372</v>
      </c>
      <c r="AE3278">
        <v>-2.6565999999999899</v>
      </c>
      <c r="AF3278">
        <v>-0.79143365323148096</v>
      </c>
      <c r="AG3278">
        <v>-1.152853425372</v>
      </c>
      <c r="AH3278">
        <v>7.6124137534237697</v>
      </c>
      <c r="AI3278">
        <v>98.5661749471424</v>
      </c>
      <c r="AJ3278">
        <v>95.935499640206999</v>
      </c>
      <c r="AK3278">
        <v>7.7397856172619299</v>
      </c>
    </row>
    <row r="3279" spans="1:37" x14ac:dyDescent="0.2">
      <c r="A3279" t="str">
        <f>"20200111150708668"</f>
        <v>20200111150708668</v>
      </c>
      <c r="B3279" t="str">
        <f>"1578726428660281"</f>
        <v>1578726428660281</v>
      </c>
      <c r="C3279" t="s">
        <v>37</v>
      </c>
      <c r="D3279">
        <v>5.5107939999999997</v>
      </c>
      <c r="E3279">
        <v>0.47946490000000003</v>
      </c>
      <c r="F3279" t="s">
        <v>39</v>
      </c>
      <c r="G3279">
        <v>-160.83269999999999</v>
      </c>
      <c r="H3279" s="1">
        <v>-5.4671999999999999E-6</v>
      </c>
      <c r="I3279">
        <v>145.68039999999999</v>
      </c>
      <c r="J3279">
        <v>-168.07130000000001</v>
      </c>
      <c r="K3279">
        <v>1.1485939999999999</v>
      </c>
      <c r="L3279">
        <v>148.279</v>
      </c>
      <c r="M3279">
        <v>0.89952099999999902</v>
      </c>
      <c r="N3279">
        <v>0</v>
      </c>
      <c r="O3279">
        <v>-0.43438660000000001</v>
      </c>
      <c r="P3279">
        <v>0.91953019999999996</v>
      </c>
      <c r="Q3279">
        <v>0.11498709999999999</v>
      </c>
      <c r="R3279">
        <v>-0.3758223</v>
      </c>
      <c r="S3279">
        <v>2.8885800000000001</v>
      </c>
      <c r="T3279">
        <v>-0.44443169999999999</v>
      </c>
      <c r="U3279">
        <v>-1.0486149999999901</v>
      </c>
      <c r="V3279">
        <v>-6.5185229999999997E-2</v>
      </c>
      <c r="W3279">
        <v>0.15957399999999999</v>
      </c>
      <c r="X3279">
        <v>0.98503149999999995</v>
      </c>
      <c r="Y3279">
        <v>-9.6391909999999997E-2</v>
      </c>
      <c r="Z3279">
        <v>6.8766060000000004E-2</v>
      </c>
      <c r="AA3279">
        <v>0.99296519999999999</v>
      </c>
      <c r="AB3279">
        <v>20</v>
      </c>
      <c r="AC3279">
        <v>7.2386000000000097</v>
      </c>
      <c r="AD3279">
        <v>-1.1485994671999999</v>
      </c>
      <c r="AE3279">
        <v>-2.5985999999999998</v>
      </c>
      <c r="AF3279">
        <v>-0.79010995451329902</v>
      </c>
      <c r="AG3279">
        <v>-1.1485994671999999</v>
      </c>
      <c r="AH3279">
        <v>7.4815064239848903</v>
      </c>
      <c r="AI3279">
        <v>98.680662318891905</v>
      </c>
      <c r="AJ3279">
        <v>96.028569630424798</v>
      </c>
      <c r="AK3279">
        <v>7.6102886179434899</v>
      </c>
    </row>
    <row r="3280" spans="1:37" x14ac:dyDescent="0.2">
      <c r="A3280" t="str">
        <f>"20200111150708702"</f>
        <v>20200111150708702</v>
      </c>
      <c r="B3280" t="str">
        <f>"1578726428690537"</f>
        <v>1578726428690537</v>
      </c>
      <c r="C3280" t="s">
        <v>37</v>
      </c>
      <c r="D3280">
        <v>5.6241409999999998</v>
      </c>
      <c r="E3280">
        <v>0.47943930000000001</v>
      </c>
      <c r="F3280" t="s">
        <v>39</v>
      </c>
      <c r="G3280">
        <v>-160.58629999999999</v>
      </c>
      <c r="H3280" s="1">
        <v>-5.5421919999999998E-6</v>
      </c>
      <c r="I3280">
        <v>145.56989999999999</v>
      </c>
      <c r="J3280">
        <v>-167.80350000000001</v>
      </c>
      <c r="K3280">
        <v>1.144109</v>
      </c>
      <c r="L3280">
        <v>148.15100000000001</v>
      </c>
      <c r="M3280">
        <v>0.89975799999999995</v>
      </c>
      <c r="N3280">
        <v>0</v>
      </c>
      <c r="O3280">
        <v>-0.43382199999999999</v>
      </c>
      <c r="P3280">
        <v>0.92131240000000003</v>
      </c>
      <c r="Q3280">
        <v>0.120122399999999</v>
      </c>
      <c r="R3280">
        <v>-0.3698033</v>
      </c>
      <c r="S3280">
        <v>2.8904109999999998</v>
      </c>
      <c r="T3280">
        <v>-0.44354700000000002</v>
      </c>
      <c r="U3280">
        <v>-1.046143</v>
      </c>
      <c r="V3280">
        <v>-7.0510600000000007E-2</v>
      </c>
      <c r="W3280">
        <v>0.1653625</v>
      </c>
      <c r="X3280">
        <v>0.98370899999999994</v>
      </c>
      <c r="Y3280">
        <v>-9.6760230000000003E-2</v>
      </c>
      <c r="Z3280">
        <v>6.8558359999999999E-2</v>
      </c>
      <c r="AA3280">
        <v>0.99294369999999998</v>
      </c>
      <c r="AB3280">
        <v>20</v>
      </c>
      <c r="AC3280">
        <v>7.2172000000000098</v>
      </c>
      <c r="AD3280">
        <v>-1.144114542192</v>
      </c>
      <c r="AE3280">
        <v>-2.5811000000000202</v>
      </c>
      <c r="AF3280">
        <v>-0.79187588218600402</v>
      </c>
      <c r="AG3280">
        <v>-1.144114542192</v>
      </c>
      <c r="AH3280">
        <v>7.4558673013851502</v>
      </c>
      <c r="AI3280">
        <v>98.676027792944794</v>
      </c>
      <c r="AJ3280">
        <v>96.062566643477595</v>
      </c>
      <c r="AK3280">
        <v>7.5845911369240904</v>
      </c>
    </row>
    <row r="3281" spans="1:37" x14ac:dyDescent="0.2">
      <c r="A3281" t="str">
        <f>"20200111150708748"</f>
        <v>20200111150708748</v>
      </c>
      <c r="B3281" t="str">
        <f>"1578726428740312"</f>
        <v>1578726428740312</v>
      </c>
      <c r="C3281" t="s">
        <v>37</v>
      </c>
      <c r="D3281">
        <v>5.6557199999999996</v>
      </c>
      <c r="E3281">
        <v>0.47655639999999999</v>
      </c>
      <c r="F3281" t="s">
        <v>39</v>
      </c>
      <c r="G3281">
        <v>-160.10579999999999</v>
      </c>
      <c r="H3281" s="1">
        <v>-5.6988810000000003E-6</v>
      </c>
      <c r="I3281">
        <v>145.41299999999899</v>
      </c>
      <c r="J3281">
        <v>-167.47</v>
      </c>
      <c r="K3281">
        <v>1.138622</v>
      </c>
      <c r="L3281">
        <v>147.99260000000001</v>
      </c>
      <c r="M3281">
        <v>0.89971509999999999</v>
      </c>
      <c r="N3281">
        <v>0</v>
      </c>
      <c r="O3281">
        <v>-0.43391469999999999</v>
      </c>
      <c r="P3281">
        <v>0.92359669999999905</v>
      </c>
      <c r="Q3281">
        <v>0.12021169999999901</v>
      </c>
      <c r="R3281">
        <v>-0.36403099999999999</v>
      </c>
      <c r="S3281">
        <v>2.8985599999999998</v>
      </c>
      <c r="T3281">
        <v>-0.43081779999999997</v>
      </c>
      <c r="U3281">
        <v>-1.0310059999999901</v>
      </c>
      <c r="V3281">
        <v>-7.6344430000000005E-2</v>
      </c>
      <c r="W3281">
        <v>0.16548009999999999</v>
      </c>
      <c r="X3281">
        <v>0.98325370000000001</v>
      </c>
      <c r="Y3281">
        <v>-0.1025937</v>
      </c>
      <c r="Z3281">
        <v>6.6940189999999997E-2</v>
      </c>
      <c r="AA3281">
        <v>0.99246840000000003</v>
      </c>
      <c r="AB3281">
        <v>19</v>
      </c>
      <c r="AC3281">
        <v>7.3642000000000101</v>
      </c>
      <c r="AD3281">
        <v>-1.138627698881</v>
      </c>
      <c r="AE3281">
        <v>-2.5796000000000201</v>
      </c>
      <c r="AF3281">
        <v>-0.85725270012821397</v>
      </c>
      <c r="AG3281">
        <v>-1.138627698881</v>
      </c>
      <c r="AH3281">
        <v>7.5920009653904703</v>
      </c>
      <c r="AI3281">
        <v>98.476417292012101</v>
      </c>
      <c r="AJ3281">
        <v>96.442280460319594</v>
      </c>
      <c r="AK3281">
        <v>7.7246251615871904</v>
      </c>
    </row>
    <row r="3282" spans="1:37" x14ac:dyDescent="0.2">
      <c r="A3282" t="str">
        <f>"20200111150708791"</f>
        <v>20200111150708791</v>
      </c>
      <c r="B3282" t="str">
        <f>"1578726428780329"</f>
        <v>1578726428780329</v>
      </c>
      <c r="C3282" t="s">
        <v>37</v>
      </c>
      <c r="D3282">
        <v>5.6768669999999997</v>
      </c>
      <c r="E3282">
        <v>0.47472720000000002</v>
      </c>
      <c r="F3282" t="s">
        <v>39</v>
      </c>
      <c r="G3282">
        <v>-159.85640000000001</v>
      </c>
      <c r="H3282" s="1">
        <v>-1.5802440000000001E-6</v>
      </c>
      <c r="I3282">
        <v>145.39019999999999</v>
      </c>
      <c r="J3282">
        <v>-167.1551</v>
      </c>
      <c r="K3282">
        <v>1.1330879999999901</v>
      </c>
      <c r="L3282">
        <v>147.84350000000001</v>
      </c>
      <c r="M3282">
        <v>0.89981619999999995</v>
      </c>
      <c r="N3282">
        <v>0</v>
      </c>
      <c r="O3282">
        <v>-0.43378499999999998</v>
      </c>
      <c r="P3282">
        <v>0.92560509999999996</v>
      </c>
      <c r="Q3282">
        <v>0.120702</v>
      </c>
      <c r="R3282">
        <v>-0.35872880000000001</v>
      </c>
      <c r="S3282">
        <v>2.912506</v>
      </c>
      <c r="T3282">
        <v>-0.43557119999999999</v>
      </c>
      <c r="U3282">
        <v>-0.99549869999999996</v>
      </c>
      <c r="V3282">
        <v>-8.1219040000000006E-2</v>
      </c>
      <c r="W3282">
        <v>0.1654138</v>
      </c>
      <c r="X3282">
        <v>0.98287420000000003</v>
      </c>
      <c r="Y3282">
        <v>-0.114519</v>
      </c>
      <c r="Z3282">
        <v>6.8382269999999995E-2</v>
      </c>
      <c r="AA3282">
        <v>0.99106469999999902</v>
      </c>
      <c r="AB3282">
        <v>18</v>
      </c>
      <c r="AC3282">
        <v>7.2986999999999904</v>
      </c>
      <c r="AD3282">
        <v>-1.133089580244</v>
      </c>
      <c r="AE3282">
        <v>-2.4533000000000098</v>
      </c>
      <c r="AF3282">
        <v>-0.93924611633099797</v>
      </c>
      <c r="AG3282">
        <v>-1.133089580244</v>
      </c>
      <c r="AH3282">
        <v>7.4780209283176999</v>
      </c>
      <c r="AI3282">
        <v>98.549896830963107</v>
      </c>
      <c r="AJ3282">
        <v>97.158912874048497</v>
      </c>
      <c r="AK3282">
        <v>7.6214744156401899</v>
      </c>
    </row>
    <row r="3283" spans="1:37" x14ac:dyDescent="0.2">
      <c r="A3283" t="str">
        <f>"20200111150708822"</f>
        <v>20200111150708822</v>
      </c>
      <c r="B3283" t="str">
        <f>"1578726428810585"</f>
        <v>1578726428810585</v>
      </c>
      <c r="C3283" t="s">
        <v>37</v>
      </c>
      <c r="D3283">
        <v>5.7041690000000003</v>
      </c>
      <c r="E3283">
        <v>0.47350449999999999</v>
      </c>
      <c r="F3283" t="s">
        <v>39</v>
      </c>
      <c r="G3283">
        <v>-159.5615</v>
      </c>
      <c r="H3283" s="1">
        <v>-1.688538E-6</v>
      </c>
      <c r="I3283">
        <v>145.32169999999999</v>
      </c>
      <c r="J3283">
        <v>-166.9512</v>
      </c>
      <c r="K3283">
        <v>1.129505</v>
      </c>
      <c r="L3283">
        <v>147.74700000000001</v>
      </c>
      <c r="M3283">
        <v>0.90005429999999997</v>
      </c>
      <c r="N3283">
        <v>0</v>
      </c>
      <c r="O3283">
        <v>-0.43339339999999998</v>
      </c>
      <c r="P3283">
        <v>0.9259539</v>
      </c>
      <c r="Q3283">
        <v>0.12286269999999901</v>
      </c>
      <c r="R3283">
        <v>-0.3570912</v>
      </c>
      <c r="S3283">
        <v>2.9219360000000001</v>
      </c>
      <c r="T3283">
        <v>-0.43599899999999903</v>
      </c>
      <c r="U3283">
        <v>-0.97033689999999995</v>
      </c>
      <c r="V3283">
        <v>-8.2004419999999995E-2</v>
      </c>
      <c r="W3283">
        <v>0.1667901</v>
      </c>
      <c r="X3283">
        <v>0.98257640000000002</v>
      </c>
      <c r="Y3283">
        <v>-0.12263589999999901</v>
      </c>
      <c r="Z3283">
        <v>6.8893979999999994E-2</v>
      </c>
      <c r="AA3283">
        <v>0.99005759999999898</v>
      </c>
      <c r="AB3283">
        <v>18</v>
      </c>
      <c r="AC3283">
        <v>7.3897000000000004</v>
      </c>
      <c r="AD3283">
        <v>-1.1295066885380001</v>
      </c>
      <c r="AE3283">
        <v>-2.42530000000002</v>
      </c>
      <c r="AF3283">
        <v>-0.99971882322800798</v>
      </c>
      <c r="AG3283">
        <v>-1.1295066885380001</v>
      </c>
      <c r="AH3283">
        <v>7.5509766657705404</v>
      </c>
      <c r="AI3283">
        <v>98.434931042009097</v>
      </c>
      <c r="AJ3283">
        <v>97.541867628600698</v>
      </c>
      <c r="AK3283">
        <v>7.7001604978065004</v>
      </c>
    </row>
    <row r="3284" spans="1:37" x14ac:dyDescent="0.2">
      <c r="A3284" t="str">
        <f>"20200111150708843"</f>
        <v>20200111150708843</v>
      </c>
      <c r="B3284" t="str">
        <f>"1578726428840842"</f>
        <v>1578726428840842</v>
      </c>
      <c r="C3284" t="s">
        <v>37</v>
      </c>
      <c r="D3284">
        <v>5.6839550000000001</v>
      </c>
      <c r="E3284">
        <v>0.47242119999999999</v>
      </c>
      <c r="F3284" t="s">
        <v>39</v>
      </c>
      <c r="G3284">
        <v>-159.28270000000001</v>
      </c>
      <c r="H3284" s="1">
        <v>-1.7865069999999999E-6</v>
      </c>
      <c r="I3284">
        <v>145.24039999999999</v>
      </c>
      <c r="J3284">
        <v>-166.80170000000001</v>
      </c>
      <c r="K3284">
        <v>1.1269629999999999</v>
      </c>
      <c r="L3284">
        <v>147.6763</v>
      </c>
      <c r="M3284">
        <v>0.90018899999999902</v>
      </c>
      <c r="N3284">
        <v>0</v>
      </c>
      <c r="O3284">
        <v>-0.43320920000000002</v>
      </c>
      <c r="P3284">
        <v>0.92583799999999905</v>
      </c>
      <c r="Q3284">
        <v>0.124044899999999</v>
      </c>
      <c r="R3284">
        <v>-0.3569832</v>
      </c>
      <c r="S3284">
        <v>2.9280240000000002</v>
      </c>
      <c r="T3284">
        <v>-0.43127169999999998</v>
      </c>
      <c r="U3284">
        <v>-0.95706179999999996</v>
      </c>
      <c r="V3284">
        <v>-8.1563990000000003E-2</v>
      </c>
      <c r="W3284">
        <v>0.1671916</v>
      </c>
      <c r="X3284">
        <v>0.9825448</v>
      </c>
      <c r="Y3284">
        <v>-0.12715760000000001</v>
      </c>
      <c r="Z3284">
        <v>6.8379949999999995E-2</v>
      </c>
      <c r="AA3284">
        <v>0.98952269999999898</v>
      </c>
      <c r="AB3284">
        <v>17</v>
      </c>
      <c r="AC3284">
        <v>7.5190000000000001</v>
      </c>
      <c r="AD3284">
        <v>-1.1269647865069901</v>
      </c>
      <c r="AE3284">
        <v>-2.4359000000000002</v>
      </c>
      <c r="AF3284">
        <v>-1.04435742774983</v>
      </c>
      <c r="AG3284">
        <v>-1.1269647865069901</v>
      </c>
      <c r="AH3284">
        <v>7.6755197897211396</v>
      </c>
      <c r="AI3284">
        <v>98.277620189169397</v>
      </c>
      <c r="AJ3284">
        <v>97.748277895511094</v>
      </c>
      <c r="AK3284">
        <v>7.8277925438353204</v>
      </c>
    </row>
    <row r="3285" spans="1:37" x14ac:dyDescent="0.2">
      <c r="A3285" t="str">
        <f>"20200111150708869"</f>
        <v>20200111150708869</v>
      </c>
      <c r="B3285" t="str">
        <f>"1578726428860360"</f>
        <v>1578726428860360</v>
      </c>
      <c r="C3285" t="s">
        <v>37</v>
      </c>
      <c r="D3285">
        <v>5.6598189999999997</v>
      </c>
      <c r="E3285">
        <v>0.47172599999999998</v>
      </c>
      <c r="F3285" t="s">
        <v>39</v>
      </c>
      <c r="G3285">
        <v>-159.0932</v>
      </c>
      <c r="H3285" s="1">
        <v>-1.8519189999999999E-6</v>
      </c>
      <c r="I3285">
        <v>145.1808</v>
      </c>
      <c r="J3285">
        <v>-166.64169999999999</v>
      </c>
      <c r="K3285">
        <v>1.1242479999999999</v>
      </c>
      <c r="L3285">
        <v>147.601</v>
      </c>
      <c r="M3285">
        <v>0.90032599999999996</v>
      </c>
      <c r="N3285">
        <v>0</v>
      </c>
      <c r="O3285">
        <v>-0.43303559999999902</v>
      </c>
      <c r="P3285">
        <v>0.92628779999999999</v>
      </c>
      <c r="Q3285">
        <v>0.12513669999999999</v>
      </c>
      <c r="R3285">
        <v>-0.35543159999999901</v>
      </c>
      <c r="S3285">
        <v>2.9317630000000001</v>
      </c>
      <c r="T3285">
        <v>-0.42862</v>
      </c>
      <c r="U3285">
        <v>-0.94912719999999995</v>
      </c>
      <c r="V3285">
        <v>-8.2648940000000004E-2</v>
      </c>
      <c r="W3285">
        <v>0.167329799999999</v>
      </c>
      <c r="X3285">
        <v>0.98243060000000004</v>
      </c>
      <c r="Y3285">
        <v>-0.12978319999999999</v>
      </c>
      <c r="Z3285">
        <v>6.8080119999999994E-2</v>
      </c>
      <c r="AA3285">
        <v>0.98920239999999904</v>
      </c>
      <c r="AB3285">
        <v>17</v>
      </c>
      <c r="AC3285">
        <v>7.54849999999999</v>
      </c>
      <c r="AD3285">
        <v>-1.1242498519189901</v>
      </c>
      <c r="AE3285">
        <v>-2.4201999999999901</v>
      </c>
      <c r="AF3285">
        <v>-1.0693244473239101</v>
      </c>
      <c r="AG3285">
        <v>-1.1242498519189901</v>
      </c>
      <c r="AH3285">
        <v>7.6967632867033302</v>
      </c>
      <c r="AI3285">
        <v>98.2323314708011</v>
      </c>
      <c r="AJ3285">
        <v>97.909569451484998</v>
      </c>
      <c r="AK3285">
        <v>7.8515958629267599</v>
      </c>
    </row>
    <row r="3286" spans="1:37" x14ac:dyDescent="0.2">
      <c r="A3286" t="str">
        <f>"20200111150708891"</f>
        <v>20200111150708891</v>
      </c>
      <c r="B3286" t="str">
        <f>"1578726428879881"</f>
        <v>1578726428879881</v>
      </c>
      <c r="C3286" t="s">
        <v>37</v>
      </c>
      <c r="D3286">
        <v>5.6750080000000001</v>
      </c>
      <c r="E3286">
        <v>0.47112090000000001</v>
      </c>
      <c r="F3286" t="s">
        <v>39</v>
      </c>
      <c r="G3286">
        <v>-158.881</v>
      </c>
      <c r="H3286" s="1">
        <v>-1.9247470000000002E-6</v>
      </c>
      <c r="I3286">
        <v>145.1122</v>
      </c>
      <c r="J3286">
        <v>-166.5009</v>
      </c>
      <c r="K3286">
        <v>1.1218699999999999</v>
      </c>
      <c r="L3286">
        <v>147.53479999999999</v>
      </c>
      <c r="M3286">
        <v>0.90051159999999997</v>
      </c>
      <c r="N3286">
        <v>0</v>
      </c>
      <c r="O3286">
        <v>-0.43274669999999998</v>
      </c>
      <c r="P3286">
        <v>0.92661510000000002</v>
      </c>
      <c r="Q3286">
        <v>0.12534870000000001</v>
      </c>
      <c r="R3286">
        <v>-0.35450300000000001</v>
      </c>
      <c r="S3286">
        <v>2.935028</v>
      </c>
      <c r="T3286">
        <v>-0.42517630000000001</v>
      </c>
      <c r="U3286">
        <v>-0.94120789999999999</v>
      </c>
      <c r="V3286">
        <v>-8.3009189999999997E-2</v>
      </c>
      <c r="W3286">
        <v>0.16670550000000001</v>
      </c>
      <c r="X3286">
        <v>0.98250630000000005</v>
      </c>
      <c r="Y3286">
        <v>-0.1322507</v>
      </c>
      <c r="Z3286">
        <v>6.7638409999999996E-2</v>
      </c>
      <c r="AA3286">
        <v>0.98890579999999995</v>
      </c>
      <c r="AB3286">
        <v>16</v>
      </c>
      <c r="AC3286">
        <v>7.6199000000000003</v>
      </c>
      <c r="AD3286">
        <v>-1.1218719247469999</v>
      </c>
      <c r="AE3286">
        <v>-2.4225999999999801</v>
      </c>
      <c r="AF3286">
        <v>-1.0953542473917901</v>
      </c>
      <c r="AG3286">
        <v>-1.1218719247469999</v>
      </c>
      <c r="AH3286">
        <v>7.7644897187484299</v>
      </c>
      <c r="AI3286">
        <v>98.142103691862701</v>
      </c>
      <c r="AJ3286">
        <v>98.029857453980597</v>
      </c>
      <c r="AK3286">
        <v>7.92121822293546</v>
      </c>
    </row>
    <row r="3287" spans="1:37" x14ac:dyDescent="0.2">
      <c r="A3287" t="str">
        <f>"20200111150708915"</f>
        <v>20200111150708915</v>
      </c>
      <c r="B3287" t="str">
        <f>"1578726428910138"</f>
        <v>1578726428910138</v>
      </c>
      <c r="C3287" t="s">
        <v>37</v>
      </c>
      <c r="D3287">
        <v>5.7383610000000003</v>
      </c>
      <c r="E3287">
        <v>0.47032679999999999</v>
      </c>
      <c r="F3287" t="s">
        <v>39</v>
      </c>
      <c r="G3287">
        <v>-158.74379999999999</v>
      </c>
      <c r="H3287" s="1">
        <v>-1.970461E-6</v>
      </c>
      <c r="I3287">
        <v>145.06290000000001</v>
      </c>
      <c r="J3287">
        <v>-166.35740000000001</v>
      </c>
      <c r="K3287">
        <v>1.1195759999999999</v>
      </c>
      <c r="L3287">
        <v>147.46719999999999</v>
      </c>
      <c r="M3287">
        <v>0.90075740000000004</v>
      </c>
      <c r="N3287">
        <v>0</v>
      </c>
      <c r="O3287">
        <v>-0.43233279999999902</v>
      </c>
      <c r="P3287">
        <v>0.92658269999999998</v>
      </c>
      <c r="Q3287">
        <v>0.1244019</v>
      </c>
      <c r="R3287">
        <v>-0.35492119999999999</v>
      </c>
      <c r="S3287">
        <v>2.93701199999999</v>
      </c>
      <c r="T3287">
        <v>-0.42476269999999999</v>
      </c>
      <c r="U3287">
        <v>-0.93588259999999901</v>
      </c>
      <c r="V3287">
        <v>-8.1872239999999999E-2</v>
      </c>
      <c r="W3287">
        <v>0.1649148</v>
      </c>
      <c r="X3287">
        <v>0.98290390000000005</v>
      </c>
      <c r="Y3287">
        <v>-0.13359949999999901</v>
      </c>
      <c r="Z3287">
        <v>6.7594810000000005E-2</v>
      </c>
      <c r="AA3287">
        <v>0.98872749999999998</v>
      </c>
      <c r="AB3287">
        <v>16</v>
      </c>
      <c r="AC3287">
        <v>7.6136000000000097</v>
      </c>
      <c r="AD3287">
        <v>-1.119577970461</v>
      </c>
      <c r="AE3287">
        <v>-2.4042999999999699</v>
      </c>
      <c r="AF3287">
        <v>-1.1051595272763799</v>
      </c>
      <c r="AG3287">
        <v>-1.119577970461</v>
      </c>
      <c r="AH3287">
        <v>7.7518593596779803</v>
      </c>
      <c r="AI3287">
        <v>98.137071391643801</v>
      </c>
      <c r="AJ3287">
        <v>98.113811615798994</v>
      </c>
      <c r="AK3287">
        <v>7.9098771131351002</v>
      </c>
    </row>
    <row r="3288" spans="1:37" x14ac:dyDescent="0.2">
      <c r="A3288" t="str">
        <f>"20200111150708948"</f>
        <v>20200111150708948</v>
      </c>
      <c r="B3288" t="str">
        <f>"1578726428940393"</f>
        <v>1578726428940393</v>
      </c>
      <c r="C3288" t="s">
        <v>37</v>
      </c>
      <c r="D3288">
        <v>5.7049310000000002</v>
      </c>
      <c r="E3288">
        <v>0.46969119999999998</v>
      </c>
      <c r="F3288" t="s">
        <v>39</v>
      </c>
      <c r="G3288">
        <v>-158.6343</v>
      </c>
      <c r="H3288" s="1">
        <v>-2.006239E-6</v>
      </c>
      <c r="I3288">
        <v>145.02080000000001</v>
      </c>
      <c r="J3288">
        <v>-166.15860000000001</v>
      </c>
      <c r="K3288">
        <v>1.1168689999999999</v>
      </c>
      <c r="L3288">
        <v>147.37350000000001</v>
      </c>
      <c r="M3288">
        <v>0.90102209999999905</v>
      </c>
      <c r="N3288">
        <v>0</v>
      </c>
      <c r="O3288">
        <v>-0.43187829999999899</v>
      </c>
      <c r="P3288">
        <v>0.92635840000000003</v>
      </c>
      <c r="Q3288">
        <v>0.12445879999999999</v>
      </c>
      <c r="R3288">
        <v>-0.355485</v>
      </c>
      <c r="S3288">
        <v>2.9383699999999999</v>
      </c>
      <c r="T3288">
        <v>-0.42595879999999903</v>
      </c>
      <c r="U3288">
        <v>-0.93075560000000002</v>
      </c>
      <c r="V3288">
        <v>-8.0479510000000004E-2</v>
      </c>
      <c r="W3288">
        <v>0.16410159999999999</v>
      </c>
      <c r="X3288">
        <v>0.983154999999999</v>
      </c>
      <c r="Y3288">
        <v>-0.134745</v>
      </c>
      <c r="Z3288">
        <v>6.7797999999999997E-2</v>
      </c>
      <c r="AA3288">
        <v>0.98855820000000005</v>
      </c>
      <c r="AB3288">
        <v>15</v>
      </c>
      <c r="AC3288">
        <v>7.52430000000001</v>
      </c>
      <c r="AD3288">
        <v>-1.1168710062389999</v>
      </c>
      <c r="AE3288">
        <v>-2.3526999999999898</v>
      </c>
      <c r="AF3288">
        <v>-1.1084279628088001</v>
      </c>
      <c r="AG3288">
        <v>-1.1168710062389999</v>
      </c>
      <c r="AH3288">
        <v>7.6485306752788196</v>
      </c>
      <c r="AI3288">
        <v>98.223146681324295</v>
      </c>
      <c r="AJ3288">
        <v>98.245919160380595</v>
      </c>
      <c r="AK3288">
        <v>7.8087153158502796</v>
      </c>
    </row>
    <row r="3289" spans="1:37" x14ac:dyDescent="0.2">
      <c r="A3289" t="str">
        <f>"20200111150708980"</f>
        <v>20200111150708980</v>
      </c>
      <c r="B3289" t="str">
        <f>"1578726428970649"</f>
        <v>1578726428970649</v>
      </c>
      <c r="C3289" t="s">
        <v>37</v>
      </c>
      <c r="D3289">
        <v>5.6578169999999997</v>
      </c>
      <c r="E3289">
        <v>0.46893549999999901</v>
      </c>
      <c r="F3289" t="s">
        <v>39</v>
      </c>
      <c r="G3289">
        <v>-158.489</v>
      </c>
      <c r="H3289" s="1">
        <v>-2.0489360000000001E-6</v>
      </c>
      <c r="I3289">
        <v>144.9469</v>
      </c>
      <c r="J3289">
        <v>-165.98009999999999</v>
      </c>
      <c r="K3289">
        <v>1.114865</v>
      </c>
      <c r="L3289">
        <v>147.2895</v>
      </c>
      <c r="M3289">
        <v>0.90112979999999998</v>
      </c>
      <c r="N3289">
        <v>0</v>
      </c>
      <c r="O3289">
        <v>-0.43168119999999999</v>
      </c>
      <c r="P3289">
        <v>0.92582580000000003</v>
      </c>
      <c r="Q3289">
        <v>0.1243805</v>
      </c>
      <c r="R3289">
        <v>-0.35689739999999998</v>
      </c>
      <c r="S3289">
        <v>2.9391630000000002</v>
      </c>
      <c r="T3289">
        <v>-0.42800589999999999</v>
      </c>
      <c r="U3289">
        <v>-0.92991639999999998</v>
      </c>
      <c r="V3289">
        <v>-7.8564060000000005E-2</v>
      </c>
      <c r="W3289">
        <v>0.1638368</v>
      </c>
      <c r="X3289">
        <v>0.98335399999999995</v>
      </c>
      <c r="Y3289">
        <v>-0.13481109999999999</v>
      </c>
      <c r="Z3289">
        <v>6.8086499999999994E-2</v>
      </c>
      <c r="AA3289">
        <v>0.98852929999999894</v>
      </c>
      <c r="AB3289">
        <v>15</v>
      </c>
      <c r="AC3289">
        <v>7.4910999999999799</v>
      </c>
      <c r="AD3289">
        <v>-1.114867048936</v>
      </c>
      <c r="AE3289">
        <v>-2.3426</v>
      </c>
      <c r="AF3289">
        <v>-1.1014657577537601</v>
      </c>
      <c r="AG3289">
        <v>-1.114867048936</v>
      </c>
      <c r="AH3289">
        <v>7.6143632695447998</v>
      </c>
      <c r="AI3289">
        <v>98.245226545285206</v>
      </c>
      <c r="AJ3289">
        <v>98.231100273237701</v>
      </c>
      <c r="AK3289">
        <v>7.7739747460935504</v>
      </c>
    </row>
    <row r="3290" spans="1:37" x14ac:dyDescent="0.2">
      <c r="A3290" t="str">
        <f>"20200111150709014"</f>
        <v>20200111150709014</v>
      </c>
      <c r="B3290" t="str">
        <f>"1578726429010665"</f>
        <v>1578726429010665</v>
      </c>
      <c r="C3290" t="s">
        <v>37</v>
      </c>
      <c r="D3290">
        <v>5.6131260000000003</v>
      </c>
      <c r="E3290">
        <v>0.4677731</v>
      </c>
      <c r="F3290" t="s">
        <v>39</v>
      </c>
      <c r="G3290">
        <v>-158.3142</v>
      </c>
      <c r="H3290" s="1">
        <v>-2.102039E-6</v>
      </c>
      <c r="I3290">
        <v>144.8648</v>
      </c>
      <c r="J3290">
        <v>-165.79820000000001</v>
      </c>
      <c r="K3290">
        <v>1.1127549999999999</v>
      </c>
      <c r="L3290">
        <v>147.20349999999999</v>
      </c>
      <c r="M3290">
        <v>0.90124359999999903</v>
      </c>
      <c r="N3290">
        <v>0</v>
      </c>
      <c r="O3290">
        <v>-0.43155249999999901</v>
      </c>
      <c r="P3290">
        <v>0.92555669999999901</v>
      </c>
      <c r="Q3290">
        <v>0.12556869999999901</v>
      </c>
      <c r="R3290">
        <v>-0.35717969999999999</v>
      </c>
      <c r="S3290">
        <v>2.9393769999999999</v>
      </c>
      <c r="T3290">
        <v>-0.42747550000000001</v>
      </c>
      <c r="U3290">
        <v>-0.92970280000000005</v>
      </c>
      <c r="V3290">
        <v>-7.7838699999999997E-2</v>
      </c>
      <c r="W3290">
        <v>0.16393929999999901</v>
      </c>
      <c r="X3290">
        <v>0.98339460000000001</v>
      </c>
      <c r="Y3290">
        <v>-0.1347479</v>
      </c>
      <c r="Z3290">
        <v>6.7976149999999999E-2</v>
      </c>
      <c r="AA3290">
        <v>0.98854549999999997</v>
      </c>
      <c r="AB3290">
        <v>14</v>
      </c>
      <c r="AC3290">
        <v>7.484</v>
      </c>
      <c r="AD3290">
        <v>-1.1127571020389999</v>
      </c>
      <c r="AE3290">
        <v>-2.3386999999999798</v>
      </c>
      <c r="AF3290">
        <v>-1.1006872514747501</v>
      </c>
      <c r="AG3290">
        <v>-1.1127571020389999</v>
      </c>
      <c r="AH3290">
        <v>7.6068824194699198</v>
      </c>
      <c r="AI3290">
        <v>98.237772449172496</v>
      </c>
      <c r="AJ3290">
        <v>98.233340473982196</v>
      </c>
      <c r="AK3290">
        <v>7.76623466921634</v>
      </c>
    </row>
    <row r="3291" spans="1:37" x14ac:dyDescent="0.2">
      <c r="A3291" t="str">
        <f>"20200111150709047"</f>
        <v>20200111150709047</v>
      </c>
      <c r="B3291" t="str">
        <f>"1578726429039945"</f>
        <v>1578726429039945</v>
      </c>
      <c r="C3291" t="s">
        <v>37</v>
      </c>
      <c r="D3291">
        <v>5.7815839999999996</v>
      </c>
      <c r="E3291">
        <v>0.46724449999999901</v>
      </c>
      <c r="F3291" t="s">
        <v>39</v>
      </c>
      <c r="G3291">
        <v>-158.05760000000001</v>
      </c>
      <c r="H3291" s="1">
        <v>-2.1881109999999999E-6</v>
      </c>
      <c r="I3291">
        <v>144.77449999999999</v>
      </c>
      <c r="J3291">
        <v>-165.6208</v>
      </c>
      <c r="K3291">
        <v>1.1109690000000001</v>
      </c>
      <c r="L3291">
        <v>147.1191</v>
      </c>
      <c r="M3291">
        <v>0.90138490000000004</v>
      </c>
      <c r="N3291">
        <v>0</v>
      </c>
      <c r="O3291">
        <v>-0.4314192</v>
      </c>
      <c r="P3291">
        <v>0.92527139999999997</v>
      </c>
      <c r="Q3291">
        <v>0.12747459999999999</v>
      </c>
      <c r="R3291">
        <v>-0.35724429999999902</v>
      </c>
      <c r="S3291">
        <v>2.9423680000000001</v>
      </c>
      <c r="T3291">
        <v>-0.42298049999999998</v>
      </c>
      <c r="U3291">
        <v>-0.92327879999999996</v>
      </c>
      <c r="V3291">
        <v>-7.7353640000000001E-2</v>
      </c>
      <c r="W3291">
        <v>0.1640983</v>
      </c>
      <c r="X3291">
        <v>0.98340640000000001</v>
      </c>
      <c r="Y3291">
        <v>-0.13691220000000001</v>
      </c>
      <c r="Z3291">
        <v>6.7362850000000002E-2</v>
      </c>
      <c r="AA3291">
        <v>0.98829009999999995</v>
      </c>
      <c r="AB3291">
        <v>13</v>
      </c>
      <c r="AC3291">
        <v>7.5631999999999904</v>
      </c>
      <c r="AD3291">
        <v>-1.110971188111</v>
      </c>
      <c r="AE3291">
        <v>-2.34460000000001</v>
      </c>
      <c r="AF3291">
        <v>-1.12811092365498</v>
      </c>
      <c r="AG3291">
        <v>-1.110971188111</v>
      </c>
      <c r="AH3291">
        <v>7.68303445818926</v>
      </c>
      <c r="AI3291">
        <v>98.141861745281801</v>
      </c>
      <c r="AJ3291">
        <v>98.353132723268004</v>
      </c>
      <c r="AK3291">
        <v>7.8444827568556796</v>
      </c>
    </row>
    <row r="3292" spans="1:37" x14ac:dyDescent="0.2">
      <c r="A3292" t="str">
        <f>"20200111150709081"</f>
        <v>20200111150709081</v>
      </c>
      <c r="B3292" t="str">
        <f>"1578726429070201"</f>
        <v>1578726429070201</v>
      </c>
      <c r="C3292" t="s">
        <v>37</v>
      </c>
      <c r="D3292">
        <v>5.5231389999999996</v>
      </c>
      <c r="E3292">
        <v>0.4663156</v>
      </c>
      <c r="F3292" t="s">
        <v>39</v>
      </c>
      <c r="G3292">
        <v>-157.77809999999999</v>
      </c>
      <c r="H3292" s="1">
        <v>-2.2795450000000001E-6</v>
      </c>
      <c r="I3292">
        <v>144.66749999999999</v>
      </c>
      <c r="J3292">
        <v>-165.45509999999999</v>
      </c>
      <c r="K3292">
        <v>1.109839</v>
      </c>
      <c r="L3292">
        <v>147.0401</v>
      </c>
      <c r="M3292">
        <v>0.90145549999999997</v>
      </c>
      <c r="N3292">
        <v>0</v>
      </c>
      <c r="O3292">
        <v>-0.43136439999999998</v>
      </c>
      <c r="P3292">
        <v>0.92469190000000001</v>
      </c>
      <c r="Q3292">
        <v>0.13031019999999999</v>
      </c>
      <c r="R3292">
        <v>-0.35772090000000001</v>
      </c>
      <c r="S3292">
        <v>2.9444119999999998</v>
      </c>
      <c r="T3292">
        <v>-0.41709109999999999</v>
      </c>
      <c r="U3292">
        <v>-0.92037959999999996</v>
      </c>
      <c r="V3292">
        <v>-7.6549919999999994E-2</v>
      </c>
      <c r="W3292">
        <v>0.16586429999999999</v>
      </c>
      <c r="X3292">
        <v>0.98317299999999996</v>
      </c>
      <c r="Y3292">
        <v>-0.13804659999999999</v>
      </c>
      <c r="Z3292">
        <v>6.6472130000000004E-2</v>
      </c>
      <c r="AA3292">
        <v>0.98819259999999998</v>
      </c>
      <c r="AB3292">
        <v>13</v>
      </c>
      <c r="AC3292">
        <v>7.6769999999999898</v>
      </c>
      <c r="AD3292">
        <v>-1.1098412795449999</v>
      </c>
      <c r="AE3292">
        <v>-2.3725999999999998</v>
      </c>
      <c r="AF3292">
        <v>-1.1515864862279901</v>
      </c>
      <c r="AG3292">
        <v>-1.1098412795449999</v>
      </c>
      <c r="AH3292">
        <v>7.8002985529048399</v>
      </c>
      <c r="AI3292">
        <v>98.012101634814002</v>
      </c>
      <c r="AJ3292">
        <v>98.3981209637696</v>
      </c>
      <c r="AK3292">
        <v>7.9625722361240996</v>
      </c>
    </row>
    <row r="3293" spans="1:37" x14ac:dyDescent="0.2">
      <c r="A3293" t="str">
        <f>"20200111150709116"</f>
        <v>20200111150709116</v>
      </c>
      <c r="B3293" t="str">
        <f>"1578726429110217"</f>
        <v>1578726429110217</v>
      </c>
      <c r="C3293" t="s">
        <v>37</v>
      </c>
      <c r="D3293">
        <v>5.4319889999999997</v>
      </c>
      <c r="E3293">
        <v>0.4652965</v>
      </c>
      <c r="F3293" t="s">
        <v>39</v>
      </c>
      <c r="G3293">
        <v>-157.4991</v>
      </c>
      <c r="H3293" s="1">
        <v>-2.373874E-6</v>
      </c>
      <c r="I3293">
        <v>144.57230000000001</v>
      </c>
      <c r="J3293">
        <v>-165.29259999999999</v>
      </c>
      <c r="K3293">
        <v>1.1089850000000001</v>
      </c>
      <c r="L3293">
        <v>146.96260000000001</v>
      </c>
      <c r="M3293">
        <v>0.90150419999999998</v>
      </c>
      <c r="N3293">
        <v>0</v>
      </c>
      <c r="O3293">
        <v>-0.43134099999999997</v>
      </c>
      <c r="P3293">
        <v>0.92419059999999897</v>
      </c>
      <c r="Q3293">
        <v>0.1314517</v>
      </c>
      <c r="R3293">
        <v>-0.35859759999999902</v>
      </c>
      <c r="S3293">
        <v>2.9484710000000001</v>
      </c>
      <c r="T3293">
        <v>-0.41130559999999899</v>
      </c>
      <c r="U3293">
        <v>-0.9145508</v>
      </c>
      <c r="V3293">
        <v>-7.5482919999999995E-2</v>
      </c>
      <c r="W3293">
        <v>0.166077799999999</v>
      </c>
      <c r="X3293">
        <v>0.98321939999999997</v>
      </c>
      <c r="Y3293">
        <v>-0.1402948</v>
      </c>
      <c r="Z3293">
        <v>6.5646159999999995E-2</v>
      </c>
      <c r="AA3293">
        <v>0.98793109999999995</v>
      </c>
      <c r="AB3293">
        <v>12</v>
      </c>
      <c r="AC3293">
        <v>7.7934999999999901</v>
      </c>
      <c r="AD3293">
        <v>-1.1089873738739999</v>
      </c>
      <c r="AE3293">
        <v>-2.3902999999999901</v>
      </c>
      <c r="AF3293">
        <v>-1.1855943530441799</v>
      </c>
      <c r="AG3293">
        <v>-1.1089873738739999</v>
      </c>
      <c r="AH3293">
        <v>7.9153947108907898</v>
      </c>
      <c r="AI3293">
        <v>97.888643801746596</v>
      </c>
      <c r="AJ3293">
        <v>98.518625361273706</v>
      </c>
      <c r="AK3293">
        <v>8.0801584387052792</v>
      </c>
    </row>
    <row r="3294" spans="1:37" x14ac:dyDescent="0.2">
      <c r="A3294" t="str">
        <f>"20200111150709149"</f>
        <v>20200111150709149</v>
      </c>
      <c r="B3294" t="str">
        <f>"1578726429140473"</f>
        <v>1578726429140473</v>
      </c>
      <c r="C3294" t="s">
        <v>37</v>
      </c>
      <c r="D3294">
        <v>5.3997539999999997</v>
      </c>
      <c r="E3294">
        <v>0.46460659999999998</v>
      </c>
      <c r="F3294" t="s">
        <v>39</v>
      </c>
      <c r="G3294">
        <v>-157.2482</v>
      </c>
      <c r="H3294" s="1">
        <v>-2.456528E-6</v>
      </c>
      <c r="I3294">
        <v>144.47829999999999</v>
      </c>
      <c r="J3294">
        <v>-165.13929999999999</v>
      </c>
      <c r="K3294">
        <v>1.1082540000000001</v>
      </c>
      <c r="L3294">
        <v>146.8895</v>
      </c>
      <c r="M3294">
        <v>0.90161340000000001</v>
      </c>
      <c r="N3294">
        <v>0</v>
      </c>
      <c r="O3294">
        <v>-0.43119659999999899</v>
      </c>
      <c r="P3294">
        <v>0.92356319999999903</v>
      </c>
      <c r="Q3294">
        <v>0.132158</v>
      </c>
      <c r="R3294">
        <v>-0.35995159999999998</v>
      </c>
      <c r="S3294">
        <v>2.95039399999999</v>
      </c>
      <c r="T3294">
        <v>-0.40673369999999998</v>
      </c>
      <c r="U3294">
        <v>-0.91114810000000002</v>
      </c>
      <c r="V3294">
        <v>-7.3795239999999998E-2</v>
      </c>
      <c r="W3294">
        <v>0.16576089999999999</v>
      </c>
      <c r="X3294">
        <v>0.98340110000000003</v>
      </c>
      <c r="Y3294">
        <v>-0.1414397</v>
      </c>
      <c r="Z3294">
        <v>6.4954949999999997E-2</v>
      </c>
      <c r="AA3294">
        <v>0.98781359999999996</v>
      </c>
      <c r="AB3294">
        <v>12</v>
      </c>
      <c r="AC3294">
        <v>7.89109999999999</v>
      </c>
      <c r="AD3294">
        <v>-1.108256456528</v>
      </c>
      <c r="AE3294">
        <v>-2.4112</v>
      </c>
      <c r="AF3294">
        <v>-1.2075753824664599</v>
      </c>
      <c r="AG3294">
        <v>-1.108256456528</v>
      </c>
      <c r="AH3294">
        <v>8.0145836079800201</v>
      </c>
      <c r="AI3294">
        <v>97.7861432118697</v>
      </c>
      <c r="AJ3294">
        <v>98.568431675180307</v>
      </c>
      <c r="AK3294">
        <v>8.1804658233548704</v>
      </c>
    </row>
    <row r="3295" spans="1:37" x14ac:dyDescent="0.2">
      <c r="A3295" t="str">
        <f>"20200111150709182"</f>
        <v>20200111150709182</v>
      </c>
      <c r="B3295" t="str">
        <f>"1578726429170729"</f>
        <v>1578726429170729</v>
      </c>
      <c r="C3295" t="s">
        <v>37</v>
      </c>
      <c r="D3295">
        <v>6.8641899999999998</v>
      </c>
      <c r="E3295">
        <v>0.46421889999999999</v>
      </c>
      <c r="F3295" t="s">
        <v>39</v>
      </c>
      <c r="G3295">
        <v>-157.05680000000001</v>
      </c>
      <c r="H3295" s="1">
        <v>-2.5170900000000002E-6</v>
      </c>
      <c r="I3295">
        <v>144.3974</v>
      </c>
      <c r="J3295">
        <v>-164.994</v>
      </c>
      <c r="K3295">
        <v>1.107726</v>
      </c>
      <c r="L3295">
        <v>146.8203</v>
      </c>
      <c r="M3295">
        <v>0.90172949999999996</v>
      </c>
      <c r="N3295">
        <v>0</v>
      </c>
      <c r="O3295">
        <v>-0.43102360000000001</v>
      </c>
      <c r="P3295">
        <v>0.92354429999999998</v>
      </c>
      <c r="Q3295">
        <v>0.13326160000000001</v>
      </c>
      <c r="R3295">
        <v>-0.35959419999999997</v>
      </c>
      <c r="S3295">
        <v>2.9515229999999999</v>
      </c>
      <c r="T3295">
        <v>-0.40470609999999901</v>
      </c>
      <c r="U3295">
        <v>-0.91004940000000001</v>
      </c>
      <c r="V3295">
        <v>-7.3900679999999996E-2</v>
      </c>
      <c r="W3295">
        <v>0.16598940000000001</v>
      </c>
      <c r="X3295">
        <v>0.98335459999999997</v>
      </c>
      <c r="Y3295">
        <v>-0.14172499999999999</v>
      </c>
      <c r="Z3295">
        <v>6.4612299999999998E-2</v>
      </c>
      <c r="AA3295">
        <v>0.98779519999999998</v>
      </c>
      <c r="AB3295">
        <v>12</v>
      </c>
      <c r="AC3295">
        <v>7.9372000000000096</v>
      </c>
      <c r="AD3295">
        <v>-1.10772851709</v>
      </c>
      <c r="AE3295">
        <v>-2.4228999999999901</v>
      </c>
      <c r="AF3295">
        <v>-1.21534815052298</v>
      </c>
      <c r="AG3295">
        <v>-1.10772851709</v>
      </c>
      <c r="AH3295">
        <v>8.0624100887850698</v>
      </c>
      <c r="AI3295">
        <v>97.736795303750299</v>
      </c>
      <c r="AJ3295">
        <v>98.572369121641103</v>
      </c>
      <c r="AK3295">
        <v>8.2284014264191807</v>
      </c>
    </row>
    <row r="3296" spans="1:37" x14ac:dyDescent="0.2">
      <c r="A3296" t="str">
        <f>"20200111150709216"</f>
        <v>20200111150709216</v>
      </c>
      <c r="B3296" t="str">
        <f>"1578726429210745"</f>
        <v>1578726429210745</v>
      </c>
      <c r="C3296" t="s">
        <v>37</v>
      </c>
      <c r="D3296">
        <v>5.3144369999999999</v>
      </c>
      <c r="E3296">
        <v>0.46341689999999902</v>
      </c>
      <c r="F3296" t="s">
        <v>39</v>
      </c>
      <c r="G3296">
        <v>-156.8708</v>
      </c>
      <c r="H3296" s="1">
        <v>-2.5784429999999999E-6</v>
      </c>
      <c r="I3296">
        <v>144.328</v>
      </c>
      <c r="J3296">
        <v>-164.85239999999999</v>
      </c>
      <c r="K3296">
        <v>1.1073409999999999</v>
      </c>
      <c r="L3296">
        <v>146.75280000000001</v>
      </c>
      <c r="M3296">
        <v>0.90182809999999902</v>
      </c>
      <c r="N3296">
        <v>0</v>
      </c>
      <c r="O3296">
        <v>-0.43087340000000002</v>
      </c>
      <c r="P3296">
        <v>0.92408789999999996</v>
      </c>
      <c r="Q3296">
        <v>0.13350329999999999</v>
      </c>
      <c r="R3296">
        <v>-0.35810439999999999</v>
      </c>
      <c r="S3296">
        <v>2.9536439999999899</v>
      </c>
      <c r="T3296">
        <v>-0.40277190000000002</v>
      </c>
      <c r="U3296">
        <v>-0.90618899999999902</v>
      </c>
      <c r="V3296">
        <v>-7.5303780000000001E-2</v>
      </c>
      <c r="W3296">
        <v>0.16549749999999999</v>
      </c>
      <c r="X3296">
        <v>0.98333099999999996</v>
      </c>
      <c r="Y3296">
        <v>-0.14296589999999901</v>
      </c>
      <c r="Z3296">
        <v>6.4341869999999995E-2</v>
      </c>
      <c r="AA3296">
        <v>0.98763400000000001</v>
      </c>
      <c r="AB3296">
        <v>11</v>
      </c>
      <c r="AC3296">
        <v>7.9815999999999798</v>
      </c>
      <c r="AD3296">
        <v>-1.1073435784429999</v>
      </c>
      <c r="AE3296">
        <v>-2.4247999999999998</v>
      </c>
      <c r="AF3296">
        <v>-1.23127000714695</v>
      </c>
      <c r="AG3296">
        <v>-1.1073435784429999</v>
      </c>
      <c r="AH3296">
        <v>8.1043495308373394</v>
      </c>
      <c r="AI3296">
        <v>97.693264200688802</v>
      </c>
      <c r="AJ3296">
        <v>98.638717823461505</v>
      </c>
      <c r="AK3296">
        <v>8.2718025211680501</v>
      </c>
    </row>
    <row r="3297" spans="1:37" x14ac:dyDescent="0.2">
      <c r="A3297" t="str">
        <f>"20200111150709248"</f>
        <v>20200111150709248</v>
      </c>
      <c r="B3297" t="str">
        <f>"1578726429241006"</f>
        <v>1578726429241006</v>
      </c>
      <c r="C3297" t="s">
        <v>37</v>
      </c>
      <c r="D3297">
        <v>5.2694130000000001</v>
      </c>
      <c r="E3297">
        <v>0.46282020000000001</v>
      </c>
      <c r="F3297" t="s">
        <v>39</v>
      </c>
      <c r="G3297">
        <v>-156.77269999999999</v>
      </c>
      <c r="H3297" s="1">
        <v>-2.6144400000000002E-6</v>
      </c>
      <c r="I3297">
        <v>144.30520000000001</v>
      </c>
      <c r="J3297">
        <v>-164.71780000000001</v>
      </c>
      <c r="K3297">
        <v>1.1070199999999999</v>
      </c>
      <c r="L3297">
        <v>146.68879999999999</v>
      </c>
      <c r="M3297">
        <v>0.90193189999999901</v>
      </c>
      <c r="N3297">
        <v>0</v>
      </c>
      <c r="O3297">
        <v>-0.43070639999999999</v>
      </c>
      <c r="P3297">
        <v>0.92385969999999995</v>
      </c>
      <c r="Q3297">
        <v>0.13506969999999999</v>
      </c>
      <c r="R3297">
        <v>-0.35810570000000003</v>
      </c>
      <c r="S3297">
        <v>2.9577789999999999</v>
      </c>
      <c r="T3297">
        <v>-0.40536949999999999</v>
      </c>
      <c r="U3297">
        <v>-0.89601139999999901</v>
      </c>
      <c r="V3297">
        <v>-7.5001470000000001E-2</v>
      </c>
      <c r="W3297">
        <v>0.16640269999999999</v>
      </c>
      <c r="X3297">
        <v>0.9832014</v>
      </c>
      <c r="Y3297">
        <v>-0.14619099999999999</v>
      </c>
      <c r="Z3297">
        <v>6.4903450000000001E-2</v>
      </c>
      <c r="AA3297">
        <v>0.98712500000000003</v>
      </c>
      <c r="AB3297">
        <v>10</v>
      </c>
      <c r="AC3297">
        <v>7.9451000000000196</v>
      </c>
      <c r="AD3297">
        <v>-1.1070226144399999</v>
      </c>
      <c r="AE3297">
        <v>-2.3835999999999702</v>
      </c>
      <c r="AF3297">
        <v>-1.2505309378562199</v>
      </c>
      <c r="AG3297">
        <v>-1.1070226144399999</v>
      </c>
      <c r="AH3297">
        <v>8.0532786952378093</v>
      </c>
      <c r="AI3297">
        <v>97.735397067818099</v>
      </c>
      <c r="AJ3297">
        <v>98.826522565170706</v>
      </c>
      <c r="AK3297">
        <v>8.2246352161411007</v>
      </c>
    </row>
    <row r="3298" spans="1:37" x14ac:dyDescent="0.2">
      <c r="A3298" t="str">
        <f>"20200111150709282"</f>
        <v>20200111150709282</v>
      </c>
      <c r="B3298" t="str">
        <f>"1578726429270281"</f>
        <v>1578726429270281</v>
      </c>
      <c r="C3298" t="s">
        <v>37</v>
      </c>
      <c r="D3298">
        <v>5.2893249999999998</v>
      </c>
      <c r="E3298">
        <v>0.46223629999999999</v>
      </c>
      <c r="F3298" t="s">
        <v>39</v>
      </c>
      <c r="G3298">
        <v>-156.56610000000001</v>
      </c>
      <c r="H3298" s="1">
        <v>-2.6840909999999998E-6</v>
      </c>
      <c r="I3298">
        <v>144.23390000000001</v>
      </c>
      <c r="J3298">
        <v>-164.5917</v>
      </c>
      <c r="K3298">
        <v>1.1068229999999999</v>
      </c>
      <c r="L3298">
        <v>146.62889999999999</v>
      </c>
      <c r="M3298">
        <v>0.90202269999999896</v>
      </c>
      <c r="N3298">
        <v>0</v>
      </c>
      <c r="O3298">
        <v>-0.43053979999999997</v>
      </c>
      <c r="P3298">
        <v>0.92387809999999904</v>
      </c>
      <c r="Q3298">
        <v>0.1374764</v>
      </c>
      <c r="R3298">
        <v>-0.35714079999999998</v>
      </c>
      <c r="S3298">
        <v>2.9604339999999998</v>
      </c>
      <c r="T3298">
        <v>-0.40203449999999902</v>
      </c>
      <c r="U3298">
        <v>-0.89155580000000001</v>
      </c>
      <c r="V3298">
        <v>-7.5679960000000004E-2</v>
      </c>
      <c r="W3298">
        <v>0.16847970000000001</v>
      </c>
      <c r="X3298">
        <v>0.98279559999999999</v>
      </c>
      <c r="Y3298">
        <v>-0.14768000000000001</v>
      </c>
      <c r="Z3298">
        <v>6.4415979999999998E-2</v>
      </c>
      <c r="AA3298">
        <v>0.98693529999999996</v>
      </c>
      <c r="AB3298">
        <v>10</v>
      </c>
      <c r="AC3298">
        <v>8.0255999999999901</v>
      </c>
      <c r="AD3298">
        <v>-1.10682568409099</v>
      </c>
      <c r="AE3298">
        <v>-2.39499999999998</v>
      </c>
      <c r="AF3298">
        <v>-1.27339854614773</v>
      </c>
      <c r="AG3298">
        <v>-1.10682568409099</v>
      </c>
      <c r="AH3298">
        <v>8.1324862534970794</v>
      </c>
      <c r="AI3298">
        <v>97.658112337891097</v>
      </c>
      <c r="AJ3298">
        <v>98.899210450337193</v>
      </c>
      <c r="AK3298">
        <v>8.3056570851205809</v>
      </c>
    </row>
    <row r="3299" spans="1:37" x14ac:dyDescent="0.2">
      <c r="A3299" t="str">
        <f>"20200111150709317"</f>
        <v>20200111150709317</v>
      </c>
      <c r="B3299" t="str">
        <f>"1578726429310300"</f>
        <v>1578726429310300</v>
      </c>
      <c r="C3299" t="s">
        <v>37</v>
      </c>
      <c r="D3299">
        <v>5.212326</v>
      </c>
      <c r="E3299">
        <v>0.46148489999999998</v>
      </c>
      <c r="F3299" t="s">
        <v>39</v>
      </c>
      <c r="G3299">
        <v>-156.31659999999999</v>
      </c>
      <c r="H3299" s="1">
        <v>-2.7704300000000002E-6</v>
      </c>
      <c r="I3299">
        <v>144.15600000000001</v>
      </c>
      <c r="J3299">
        <v>-164.47040000000001</v>
      </c>
      <c r="K3299">
        <v>1.106649</v>
      </c>
      <c r="L3299">
        <v>146.57130000000001</v>
      </c>
      <c r="M3299">
        <v>0.90209660000000003</v>
      </c>
      <c r="N3299">
        <v>0</v>
      </c>
      <c r="O3299">
        <v>-0.43041059999999998</v>
      </c>
      <c r="P3299">
        <v>0.92379159999999905</v>
      </c>
      <c r="Q3299">
        <v>0.1391705</v>
      </c>
      <c r="R3299">
        <v>-0.35670849999999998</v>
      </c>
      <c r="S3299">
        <v>2.96377599999999</v>
      </c>
      <c r="T3299">
        <v>-0.39641300000000002</v>
      </c>
      <c r="U3299">
        <v>-0.88566590000000001</v>
      </c>
      <c r="V3299">
        <v>-7.5877790000000001E-2</v>
      </c>
      <c r="W3299">
        <v>0.1698209</v>
      </c>
      <c r="X3299">
        <v>0.98254940000000002</v>
      </c>
      <c r="Y3299">
        <v>-0.14975579999999999</v>
      </c>
      <c r="Z3299">
        <v>6.3598219999999997E-2</v>
      </c>
      <c r="AA3299">
        <v>0.98667539999999998</v>
      </c>
      <c r="AB3299">
        <v>9</v>
      </c>
      <c r="AC3299">
        <v>8.1538000000000093</v>
      </c>
      <c r="AD3299">
        <v>-1.1066517704300001</v>
      </c>
      <c r="AE3299">
        <v>-2.4152999999999998</v>
      </c>
      <c r="AF3299">
        <v>-1.3091233544243299</v>
      </c>
      <c r="AG3299">
        <v>-1.1066517704300001</v>
      </c>
      <c r="AH3299">
        <v>8.2592863409966792</v>
      </c>
      <c r="AI3299">
        <v>97.538532569539399</v>
      </c>
      <c r="AJ3299">
        <v>99.006638058525994</v>
      </c>
      <c r="AK3299">
        <v>8.4353004072569497</v>
      </c>
    </row>
    <row r="3300" spans="1:37" x14ac:dyDescent="0.2">
      <c r="A3300" t="str">
        <f>"20200111150709349"</f>
        <v>20200111150709349</v>
      </c>
      <c r="B3300" t="str">
        <f>"1578726429340553"</f>
        <v>1578726429340553</v>
      </c>
      <c r="C3300" t="s">
        <v>37</v>
      </c>
      <c r="D3300">
        <v>5.1766489999999896</v>
      </c>
      <c r="E3300">
        <v>0.46089629999999998</v>
      </c>
      <c r="F3300" t="s">
        <v>39</v>
      </c>
      <c r="G3300">
        <v>-156.1361</v>
      </c>
      <c r="H3300" s="1">
        <v>-2.8329969999999999E-6</v>
      </c>
      <c r="I3300">
        <v>144.1001</v>
      </c>
      <c r="J3300">
        <v>-164.35579999999999</v>
      </c>
      <c r="K3300">
        <v>1.1064209999999901</v>
      </c>
      <c r="L3300">
        <v>146.51679999999999</v>
      </c>
      <c r="M3300">
        <v>0.90217219999999998</v>
      </c>
      <c r="N3300">
        <v>0</v>
      </c>
      <c r="O3300">
        <v>-0.43030230000000003</v>
      </c>
      <c r="P3300">
        <v>0.92341149999999905</v>
      </c>
      <c r="Q3300">
        <v>0.14095679999999999</v>
      </c>
      <c r="R3300">
        <v>-0.35699120000000001</v>
      </c>
      <c r="S3300">
        <v>2.9671479999999999</v>
      </c>
      <c r="T3300">
        <v>-0.39398249999999901</v>
      </c>
      <c r="U3300">
        <v>-0.87974549999999996</v>
      </c>
      <c r="V3300">
        <v>-7.5321639999999995E-2</v>
      </c>
      <c r="W3300">
        <v>0.17092079999999901</v>
      </c>
      <c r="X3300">
        <v>0.98240149999999904</v>
      </c>
      <c r="Y3300">
        <v>-0.1517878</v>
      </c>
      <c r="Z3300">
        <v>6.3284709999999994E-2</v>
      </c>
      <c r="AA3300">
        <v>0.98638499999999996</v>
      </c>
      <c r="AB3300">
        <v>9</v>
      </c>
      <c r="AC3300">
        <v>8.21969999999998</v>
      </c>
      <c r="AD3300">
        <v>-1.106423832997</v>
      </c>
      <c r="AE3300">
        <v>-2.4166999999999899</v>
      </c>
      <c r="AF3300">
        <v>-1.3350395698723201</v>
      </c>
      <c r="AG3300">
        <v>-1.106423832997</v>
      </c>
      <c r="AH3300">
        <v>8.3206455470018206</v>
      </c>
      <c r="AI3300">
        <v>97.479811176501897</v>
      </c>
      <c r="AJ3300">
        <v>99.115360923406101</v>
      </c>
      <c r="AK3300">
        <v>8.4993909587799195</v>
      </c>
    </row>
    <row r="3301" spans="1:37" x14ac:dyDescent="0.2">
      <c r="A3301" t="str">
        <f>"20200111150709383"</f>
        <v>20200111150709383</v>
      </c>
      <c r="B3301" t="str">
        <f>"1578726429380569"</f>
        <v>1578726429380569</v>
      </c>
      <c r="C3301" t="s">
        <v>37</v>
      </c>
      <c r="D3301">
        <v>5.1590299999999996</v>
      </c>
      <c r="E3301">
        <v>0.4601442</v>
      </c>
      <c r="F3301" t="s">
        <v>39</v>
      </c>
      <c r="G3301">
        <v>-155.9127</v>
      </c>
      <c r="H3301" s="1">
        <v>-2.9091950000000001E-6</v>
      </c>
      <c r="I3301">
        <v>144.0264</v>
      </c>
      <c r="J3301">
        <v>-164.2467</v>
      </c>
      <c r="K3301">
        <v>1.106244</v>
      </c>
      <c r="L3301">
        <v>146.4649</v>
      </c>
      <c r="M3301">
        <v>0.90224859999999896</v>
      </c>
      <c r="N3301">
        <v>0</v>
      </c>
      <c r="O3301">
        <v>-0.43019049999999998</v>
      </c>
      <c r="P3301">
        <v>0.92301259999999996</v>
      </c>
      <c r="Q3301">
        <v>0.14262059999999999</v>
      </c>
      <c r="R3301">
        <v>-0.35736180000000001</v>
      </c>
      <c r="S3301">
        <v>2.9696199999999999</v>
      </c>
      <c r="T3301">
        <v>-0.38915459999999902</v>
      </c>
      <c r="U3301">
        <v>-0.87591549999999996</v>
      </c>
      <c r="V3301">
        <v>-7.4677300000000002E-2</v>
      </c>
      <c r="W3301">
        <v>0.1718961</v>
      </c>
      <c r="X3301">
        <v>0.9822805</v>
      </c>
      <c r="Y3301">
        <v>-0.1531506</v>
      </c>
      <c r="Z3301">
        <v>6.2554369999999998E-2</v>
      </c>
      <c r="AA3301">
        <v>0.98622099999999902</v>
      </c>
      <c r="AB3301">
        <v>9</v>
      </c>
      <c r="AC3301">
        <v>8.3339999999999996</v>
      </c>
      <c r="AD3301">
        <v>-1.106246909195</v>
      </c>
      <c r="AE3301">
        <v>-2.4384999999999999</v>
      </c>
      <c r="AF3301">
        <v>-1.36355604340758</v>
      </c>
      <c r="AG3301">
        <v>-1.106246909195</v>
      </c>
      <c r="AH3301">
        <v>8.4352422240735105</v>
      </c>
      <c r="AI3301">
        <v>97.376779665274</v>
      </c>
      <c r="AJ3301">
        <v>99.182425685522105</v>
      </c>
      <c r="AK3301">
        <v>8.6160535447738198</v>
      </c>
    </row>
    <row r="3302" spans="1:37" x14ac:dyDescent="0.2">
      <c r="A3302" t="str">
        <f>"20200111150709417"</f>
        <v>20200111150709417</v>
      </c>
      <c r="B3302" t="str">
        <f>"1578726429410825"</f>
        <v>1578726429410825</v>
      </c>
      <c r="C3302" t="s">
        <v>37</v>
      </c>
      <c r="D3302">
        <v>5.110214</v>
      </c>
      <c r="E3302">
        <v>0.45962570000000003</v>
      </c>
      <c r="F3302" t="s">
        <v>39</v>
      </c>
      <c r="G3302">
        <v>-155.72329999999999</v>
      </c>
      <c r="H3302" s="1">
        <v>-2.97363699999999E-6</v>
      </c>
      <c r="I3302">
        <v>143.9631</v>
      </c>
      <c r="J3302">
        <v>-164.1405</v>
      </c>
      <c r="K3302">
        <v>1.1061879999999999</v>
      </c>
      <c r="L3302">
        <v>146.4145</v>
      </c>
      <c r="M3302">
        <v>0.90231240000000001</v>
      </c>
      <c r="N3302">
        <v>0</v>
      </c>
      <c r="O3302">
        <v>-0.43008570000000002</v>
      </c>
      <c r="P3302">
        <v>0.92266539999999997</v>
      </c>
      <c r="Q3302">
        <v>0.14514440000000001</v>
      </c>
      <c r="R3302">
        <v>-0.35724119999999998</v>
      </c>
      <c r="S3302">
        <v>2.9720759999999999</v>
      </c>
      <c r="T3302">
        <v>-0.38574190000000003</v>
      </c>
      <c r="U3302">
        <v>-0.87236019999999903</v>
      </c>
      <c r="V3302">
        <v>-7.4515540000000005E-2</v>
      </c>
      <c r="W3302">
        <v>0.17398939999999999</v>
      </c>
      <c r="X3302">
        <v>0.98192420000000002</v>
      </c>
      <c r="Y3302">
        <v>-0.1544073</v>
      </c>
      <c r="Z3302">
        <v>6.2042340000000001E-2</v>
      </c>
      <c r="AA3302">
        <v>0.98605730000000003</v>
      </c>
      <c r="AB3302">
        <v>8</v>
      </c>
      <c r="AC3302">
        <v>8.4171999999999993</v>
      </c>
      <c r="AD3302">
        <v>-1.1061909736369999</v>
      </c>
      <c r="AE3302">
        <v>-2.4514</v>
      </c>
      <c r="AF3302">
        <v>-1.3867159110259499</v>
      </c>
      <c r="AG3302">
        <v>-1.1061909736369999</v>
      </c>
      <c r="AH3302">
        <v>8.5173674711643201</v>
      </c>
      <c r="AI3302">
        <v>97.304733283847995</v>
      </c>
      <c r="AJ3302">
        <v>99.247211843487705</v>
      </c>
      <c r="AK3302">
        <v>8.7001257535105001</v>
      </c>
    </row>
    <row r="3303" spans="1:37" x14ac:dyDescent="0.2">
      <c r="A3303" t="str">
        <f>"20200111150709451"</f>
        <v>20200111150709451</v>
      </c>
      <c r="B3303" t="str">
        <f>"1578726429440612"</f>
        <v>1578726429440612</v>
      </c>
      <c r="C3303" t="s">
        <v>37</v>
      </c>
      <c r="D3303">
        <v>4.9967459999999999</v>
      </c>
      <c r="E3303">
        <v>0.45910790000000001</v>
      </c>
      <c r="F3303" t="s">
        <v>39</v>
      </c>
      <c r="G3303">
        <v>-155.4718</v>
      </c>
      <c r="H3303" s="1">
        <v>-3.0594299999999999E-6</v>
      </c>
      <c r="I3303">
        <v>143.8801</v>
      </c>
      <c r="J3303">
        <v>-164.04640000000001</v>
      </c>
      <c r="K3303">
        <v>1.106476</v>
      </c>
      <c r="L3303">
        <v>146.3698</v>
      </c>
      <c r="M3303">
        <v>0.90232449999999997</v>
      </c>
      <c r="N3303">
        <v>0</v>
      </c>
      <c r="O3303">
        <v>-0.42999309999999902</v>
      </c>
      <c r="P3303">
        <v>0.9235525</v>
      </c>
      <c r="Q3303">
        <v>0.14707029999999999</v>
      </c>
      <c r="R3303">
        <v>-0.35414950000000001</v>
      </c>
      <c r="S3303">
        <v>2.974472</v>
      </c>
      <c r="T3303">
        <v>-0.37956519999999999</v>
      </c>
      <c r="U3303">
        <v>-0.86959839999999999</v>
      </c>
      <c r="V3303">
        <v>-7.7601080000000003E-2</v>
      </c>
      <c r="W3303">
        <v>0.17686089999999999</v>
      </c>
      <c r="X3303">
        <v>0.98117189999999999</v>
      </c>
      <c r="Y3303">
        <v>-0.15550810000000001</v>
      </c>
      <c r="Z3303">
        <v>6.1079999999999898E-2</v>
      </c>
      <c r="AA3303">
        <v>0.98594439999999905</v>
      </c>
      <c r="AB3303">
        <v>8</v>
      </c>
      <c r="AC3303">
        <v>8.5746000000000002</v>
      </c>
      <c r="AD3303">
        <v>-1.10647905942999</v>
      </c>
      <c r="AE3303">
        <v>-2.4896999999999898</v>
      </c>
      <c r="AF3303">
        <v>-1.4193648650031501</v>
      </c>
      <c r="AG3303">
        <v>-1.10647905942999</v>
      </c>
      <c r="AH3303">
        <v>8.6783900669748704</v>
      </c>
      <c r="AI3303">
        <v>97.171633822680107</v>
      </c>
      <c r="AJ3303">
        <v>99.2885804169388</v>
      </c>
      <c r="AK3303">
        <v>8.8630325895559405</v>
      </c>
    </row>
    <row r="3304" spans="1:37" x14ac:dyDescent="0.2">
      <c r="A3304" t="str">
        <f>"20200111150709491"</f>
        <v>20200111150709491</v>
      </c>
      <c r="B3304" t="str">
        <f>"1578726429480628"</f>
        <v>1578726429480628</v>
      </c>
      <c r="C3304" t="s">
        <v>37</v>
      </c>
      <c r="D3304">
        <v>5.0065910000000002</v>
      </c>
      <c r="E3304">
        <v>0.45846429999999999</v>
      </c>
      <c r="F3304" t="s">
        <v>39</v>
      </c>
      <c r="G3304">
        <v>-155.25319999999999</v>
      </c>
      <c r="H3304" s="1">
        <v>-3.141334E-6</v>
      </c>
      <c r="I3304">
        <v>143.83539999999999</v>
      </c>
      <c r="J3304">
        <v>-163.94980000000001</v>
      </c>
      <c r="K3304">
        <v>1.10663</v>
      </c>
      <c r="L3304">
        <v>146.32399999999899</v>
      </c>
      <c r="M3304">
        <v>0.90234340000000002</v>
      </c>
      <c r="N3304">
        <v>0</v>
      </c>
      <c r="O3304">
        <v>-0.42988969999999999</v>
      </c>
      <c r="P3304">
        <v>0.92420619999999998</v>
      </c>
      <c r="Q3304">
        <v>0.1485591</v>
      </c>
      <c r="R3304">
        <v>-0.35181430000000002</v>
      </c>
      <c r="S3304">
        <v>2.9788060000000001</v>
      </c>
      <c r="T3304">
        <v>-0.37483139999999998</v>
      </c>
      <c r="U3304">
        <v>-0.85853579999999996</v>
      </c>
      <c r="V3304">
        <v>-7.9890749999999996E-2</v>
      </c>
      <c r="W3304">
        <v>0.17920520000000001</v>
      </c>
      <c r="X3304">
        <v>0.98056259999999995</v>
      </c>
      <c r="Y3304">
        <v>-0.15925120000000001</v>
      </c>
      <c r="Z3304">
        <v>6.0500779999999997E-2</v>
      </c>
      <c r="AA3304">
        <v>0.98538250000000005</v>
      </c>
      <c r="AB3304">
        <v>7</v>
      </c>
      <c r="AC3304">
        <v>8.6966000000000108</v>
      </c>
      <c r="AD3304">
        <v>-1.106633141334</v>
      </c>
      <c r="AE3304">
        <v>-2.4885999999999902</v>
      </c>
      <c r="AF3304">
        <v>-1.4717059224817499</v>
      </c>
      <c r="AG3304">
        <v>-1.106633141334</v>
      </c>
      <c r="AH3304">
        <v>8.7899202876124605</v>
      </c>
      <c r="AI3304">
        <v>97.078163354516093</v>
      </c>
      <c r="AJ3304">
        <v>99.504931335201704</v>
      </c>
      <c r="AK3304">
        <v>8.9807156671585897</v>
      </c>
    </row>
    <row r="3305" spans="1:37" x14ac:dyDescent="0.2">
      <c r="A3305" t="str">
        <f>"20200111150709517"</f>
        <v>20200111150709517</v>
      </c>
      <c r="B3305" t="str">
        <f>"1578726429510883"</f>
        <v>1578726429510883</v>
      </c>
      <c r="C3305" t="s">
        <v>37</v>
      </c>
      <c r="D3305">
        <v>5.0948690000000001</v>
      </c>
      <c r="E3305">
        <v>0.4580128</v>
      </c>
      <c r="F3305" t="s">
        <v>39</v>
      </c>
      <c r="G3305">
        <v>-155.0591</v>
      </c>
      <c r="H3305" s="1">
        <v>-3.21729499999999E-6</v>
      </c>
      <c r="I3305">
        <v>143.8081</v>
      </c>
      <c r="J3305">
        <v>-163.88470000000001</v>
      </c>
      <c r="K3305">
        <v>1.1064020000000001</v>
      </c>
      <c r="L3305">
        <v>146.29310000000001</v>
      </c>
      <c r="M3305">
        <v>0.90240229999999999</v>
      </c>
      <c r="N3305">
        <v>0</v>
      </c>
      <c r="O3305">
        <v>-0.42982520000000002</v>
      </c>
      <c r="P3305">
        <v>0.92447659999999998</v>
      </c>
      <c r="Q3305">
        <v>0.15066189999999999</v>
      </c>
      <c r="R3305">
        <v>-0.35020619999999902</v>
      </c>
      <c r="S3305">
        <v>2.9842529999999998</v>
      </c>
      <c r="T3305">
        <v>-0.37145129999999998</v>
      </c>
      <c r="U3305">
        <v>-0.84446719999999897</v>
      </c>
      <c r="V3305">
        <v>-8.1381579999999995E-2</v>
      </c>
      <c r="W3305">
        <v>0.18048239999999999</v>
      </c>
      <c r="X3305">
        <v>0.98020569999999896</v>
      </c>
      <c r="Y3305">
        <v>-0.16398750000000001</v>
      </c>
      <c r="Z3305">
        <v>6.0185160000000001E-2</v>
      </c>
      <c r="AA3305">
        <v>0.98462469999999902</v>
      </c>
      <c r="AB3305">
        <v>6</v>
      </c>
      <c r="AC3305">
        <v>8.8255999999999997</v>
      </c>
      <c r="AD3305">
        <v>-1.1064052172950001</v>
      </c>
      <c r="AE3305">
        <v>-2.4850000000000101</v>
      </c>
      <c r="AF3305">
        <v>-1.5294389131606501</v>
      </c>
      <c r="AG3305">
        <v>-1.1064052172950001</v>
      </c>
      <c r="AH3305">
        <v>8.9068203003878299</v>
      </c>
      <c r="AI3305">
        <v>96.979881138807201</v>
      </c>
      <c r="AJ3305">
        <v>99.743547072547699</v>
      </c>
      <c r="AK3305">
        <v>9.1046561581065895</v>
      </c>
    </row>
    <row r="3306" spans="1:37" x14ac:dyDescent="0.2">
      <c r="A3306" t="str">
        <f>"20200111150709549"</f>
        <v>20200111150709549</v>
      </c>
      <c r="B3306" t="str">
        <f>"1578726429540237"</f>
        <v>1578726429540237</v>
      </c>
      <c r="C3306" t="s">
        <v>37</v>
      </c>
      <c r="D3306">
        <v>5.0987640000000001</v>
      </c>
      <c r="E3306">
        <v>0.45758109999999902</v>
      </c>
      <c r="F3306" t="s">
        <v>39</v>
      </c>
      <c r="G3306">
        <v>-154.9066</v>
      </c>
      <c r="H3306" s="1">
        <v>-3.2729160000000001E-6</v>
      </c>
      <c r="I3306">
        <v>143.77119999999999</v>
      </c>
      <c r="J3306">
        <v>-163.81039999999999</v>
      </c>
      <c r="K3306">
        <v>1.106268</v>
      </c>
      <c r="L3306">
        <v>146.2578</v>
      </c>
      <c r="M3306">
        <v>0.9024683</v>
      </c>
      <c r="N3306">
        <v>0</v>
      </c>
      <c r="O3306">
        <v>-0.42974809999999902</v>
      </c>
      <c r="P3306">
        <v>0.92447409999999997</v>
      </c>
      <c r="Q3306">
        <v>0.1562431</v>
      </c>
      <c r="R3306">
        <v>-0.34775820000000002</v>
      </c>
      <c r="S3306">
        <v>2.987228</v>
      </c>
      <c r="T3306">
        <v>-0.36812810000000001</v>
      </c>
      <c r="U3306">
        <v>-0.83906559999999897</v>
      </c>
      <c r="V3306">
        <v>-8.3499619999999997E-2</v>
      </c>
      <c r="W3306">
        <v>0.18515780000000001</v>
      </c>
      <c r="X3306">
        <v>0.97915490000000005</v>
      </c>
      <c r="Y3306">
        <v>-0.16586010000000001</v>
      </c>
      <c r="Z3306">
        <v>5.9716449999999997E-2</v>
      </c>
      <c r="AA3306">
        <v>0.98433950000000003</v>
      </c>
      <c r="AB3306">
        <v>6</v>
      </c>
      <c r="AC3306">
        <v>8.9037999999999897</v>
      </c>
      <c r="AD3306">
        <v>-1.106271272916</v>
      </c>
      <c r="AE3306">
        <v>-2.4866000000000099</v>
      </c>
      <c r="AF3306">
        <v>-1.56065106478556</v>
      </c>
      <c r="AG3306">
        <v>-1.106271272916</v>
      </c>
      <c r="AH3306">
        <v>8.9793719902659692</v>
      </c>
      <c r="AI3306">
        <v>96.920802862689399</v>
      </c>
      <c r="AJ3306">
        <v>99.859744349577696</v>
      </c>
      <c r="AK3306">
        <v>9.1808817231717192</v>
      </c>
    </row>
    <row r="3307" spans="1:37" x14ac:dyDescent="0.2">
      <c r="A3307" t="str">
        <f>"20200111150709585"</f>
        <v>20200111150709585</v>
      </c>
      <c r="B3307" t="str">
        <f>"1578726429580254"</f>
        <v>1578726429580254</v>
      </c>
      <c r="C3307" t="s">
        <v>37</v>
      </c>
      <c r="D3307">
        <v>5.1126009999999997</v>
      </c>
      <c r="E3307">
        <v>0.4570167</v>
      </c>
      <c r="F3307" t="s">
        <v>39</v>
      </c>
      <c r="G3307">
        <v>-154.44710000000001</v>
      </c>
      <c r="H3307" s="1">
        <v>-3.4382549999999898E-6</v>
      </c>
      <c r="I3307">
        <v>143.65180000000001</v>
      </c>
      <c r="J3307">
        <v>-163.74080000000001</v>
      </c>
      <c r="K3307">
        <v>1.106274</v>
      </c>
      <c r="L3307">
        <v>146.22489999999999</v>
      </c>
      <c r="M3307">
        <v>0.90252299999999996</v>
      </c>
      <c r="N3307">
        <v>0</v>
      </c>
      <c r="O3307">
        <v>-0.4296547</v>
      </c>
      <c r="P3307">
        <v>0.92496719999999899</v>
      </c>
      <c r="Q3307">
        <v>0.1627634</v>
      </c>
      <c r="R3307">
        <v>-0.3434295</v>
      </c>
      <c r="S3307">
        <v>2.9916079999999998</v>
      </c>
      <c r="T3307">
        <v>-0.35345739999999998</v>
      </c>
      <c r="U3307">
        <v>-0.83264159999999898</v>
      </c>
      <c r="V3307">
        <v>-8.7515239999999994E-2</v>
      </c>
      <c r="W3307">
        <v>0.19132449999999901</v>
      </c>
      <c r="X3307">
        <v>0.97761749999999903</v>
      </c>
      <c r="Y3307">
        <v>-0.16838549999999999</v>
      </c>
      <c r="Z3307">
        <v>5.7430340000000003E-2</v>
      </c>
      <c r="AA3307">
        <v>0.9840468</v>
      </c>
      <c r="AB3307">
        <v>6</v>
      </c>
      <c r="AC3307">
        <v>9.2936999999999994</v>
      </c>
      <c r="AD3307">
        <v>-1.106277438255</v>
      </c>
      <c r="AE3307">
        <v>-2.5730999999999802</v>
      </c>
      <c r="AF3307">
        <v>-1.6497974535860001</v>
      </c>
      <c r="AG3307">
        <v>-1.106277438255</v>
      </c>
      <c r="AH3307">
        <v>9.3739883525754895</v>
      </c>
      <c r="AI3307">
        <v>96.629700128386105</v>
      </c>
      <c r="AJ3307">
        <v>99.981684058742502</v>
      </c>
      <c r="AK3307">
        <v>9.5821364550120993</v>
      </c>
    </row>
    <row r="3308" spans="1:37" x14ac:dyDescent="0.2">
      <c r="A3308" t="str">
        <f>"20200111150709618"</f>
        <v>20200111150709618</v>
      </c>
      <c r="B3308" t="str">
        <f>"1578726429610509"</f>
        <v>1578726429610509</v>
      </c>
      <c r="C3308" t="s">
        <v>37</v>
      </c>
      <c r="D3308">
        <v>5.1943380000000001</v>
      </c>
      <c r="E3308">
        <v>0.44964709999999902</v>
      </c>
      <c r="F3308" t="s">
        <v>39</v>
      </c>
      <c r="G3308">
        <v>-153.8742</v>
      </c>
      <c r="H3308" s="1">
        <v>-3.6526800000000001E-6</v>
      </c>
      <c r="I3308">
        <v>143.53450000000001</v>
      </c>
      <c r="J3308">
        <v>-163.67590000000001</v>
      </c>
      <c r="K3308">
        <v>1.106198</v>
      </c>
      <c r="L3308">
        <v>146.1942</v>
      </c>
      <c r="M3308">
        <v>0.90259080000000003</v>
      </c>
      <c r="N3308">
        <v>0</v>
      </c>
      <c r="O3308">
        <v>-0.42955310000000002</v>
      </c>
      <c r="P3308">
        <v>0.92587050000000004</v>
      </c>
      <c r="Q3308">
        <v>0.16641919999999999</v>
      </c>
      <c r="R3308">
        <v>-0.33921799999999902</v>
      </c>
      <c r="S3308">
        <v>2.998901</v>
      </c>
      <c r="T3308">
        <v>-0.33624490000000001</v>
      </c>
      <c r="U3308">
        <v>-0.81770319999999996</v>
      </c>
      <c r="V3308">
        <v>-9.1587100000000005E-2</v>
      </c>
      <c r="W3308">
        <v>0.19436010000000001</v>
      </c>
      <c r="X3308">
        <v>0.97664519999999899</v>
      </c>
      <c r="Y3308">
        <v>-0.17376140000000001</v>
      </c>
      <c r="Z3308">
        <v>5.4855620000000001E-2</v>
      </c>
      <c r="AA3308">
        <v>0.98325879999999999</v>
      </c>
      <c r="AB3308">
        <v>5</v>
      </c>
      <c r="AC3308">
        <v>9.8017000000000092</v>
      </c>
      <c r="AD3308">
        <v>-1.10620165267999</v>
      </c>
      <c r="AE3308">
        <v>-2.65969999999998</v>
      </c>
      <c r="AF3308">
        <v>-1.78924031859431</v>
      </c>
      <c r="AG3308">
        <v>-1.10620165267999</v>
      </c>
      <c r="AH3308">
        <v>9.8763077254742697</v>
      </c>
      <c r="AI3308">
        <v>96.289275780287198</v>
      </c>
      <c r="AJ3308">
        <v>100.26860988176</v>
      </c>
      <c r="AK3308">
        <v>10.0978471617636</v>
      </c>
    </row>
    <row r="3309" spans="1:37" x14ac:dyDescent="0.2">
      <c r="A3309" t="str">
        <f>"20200111150709650"</f>
        <v>20200111150709650</v>
      </c>
      <c r="B3309" t="str">
        <f>"1578726429640818"</f>
        <v>1578726429640818</v>
      </c>
      <c r="C3309" t="s">
        <v>37</v>
      </c>
      <c r="D3309">
        <v>5.1664639999999897</v>
      </c>
      <c r="E3309">
        <v>0.43763779999999902</v>
      </c>
      <c r="F3309" t="s">
        <v>39</v>
      </c>
      <c r="G3309">
        <v>-157.88489999999999</v>
      </c>
      <c r="H3309" s="1">
        <v>-2.2427339999999998E-6</v>
      </c>
      <c r="I3309">
        <v>144.70140000000001</v>
      </c>
      <c r="J3309">
        <v>-163.6183</v>
      </c>
      <c r="K3309">
        <v>1.106115</v>
      </c>
      <c r="L3309">
        <v>146.1669</v>
      </c>
      <c r="M3309">
        <v>0.90265509999999904</v>
      </c>
      <c r="N3309">
        <v>0</v>
      </c>
      <c r="O3309">
        <v>-0.42946529999999999</v>
      </c>
      <c r="P3309">
        <v>0.92627879999999996</v>
      </c>
      <c r="Q3309">
        <v>0.17097119999999999</v>
      </c>
      <c r="R3309">
        <v>-0.33582259999999903</v>
      </c>
      <c r="S3309">
        <v>3.05650299999999</v>
      </c>
      <c r="T3309">
        <v>-0.58384950000000002</v>
      </c>
      <c r="U3309">
        <v>-0.78787229999999997</v>
      </c>
      <c r="V3309">
        <v>-9.4724230000000006E-2</v>
      </c>
      <c r="W3309">
        <v>0.19817679999999999</v>
      </c>
      <c r="X3309">
        <v>0.97557839999999996</v>
      </c>
      <c r="Y3309">
        <v>-0.18092269999999999</v>
      </c>
      <c r="Z3309">
        <v>9.3810359999999995E-2</v>
      </c>
      <c r="AA3309">
        <v>0.97901309999999997</v>
      </c>
      <c r="AB3309">
        <v>5</v>
      </c>
      <c r="AC3309">
        <v>5.7334000000000103</v>
      </c>
      <c r="AD3309">
        <v>-1.106117242734</v>
      </c>
      <c r="AE3309">
        <v>-1.46549999999999</v>
      </c>
      <c r="AF3309">
        <v>-1.10141546326522</v>
      </c>
      <c r="AG3309">
        <v>-1.106117242734</v>
      </c>
      <c r="AH3309">
        <v>5.6108799002937699</v>
      </c>
      <c r="AI3309">
        <v>100.948411568334</v>
      </c>
      <c r="AJ3309">
        <v>101.10594487009701</v>
      </c>
      <c r="AK3309">
        <v>5.82396640039362</v>
      </c>
    </row>
    <row r="3310" spans="1:37" x14ac:dyDescent="0.2">
      <c r="A3310" t="str">
        <f>"20200111150709683"</f>
        <v>20200111150709683</v>
      </c>
      <c r="B3310" t="str">
        <f>"1578726429680834"</f>
        <v>1578726429680834</v>
      </c>
      <c r="C3310" t="s">
        <v>37</v>
      </c>
      <c r="D3310">
        <v>5.325666</v>
      </c>
      <c r="E3310">
        <v>0.43804290000000001</v>
      </c>
      <c r="F3310" t="s">
        <v>39</v>
      </c>
      <c r="G3310">
        <v>-155.3202</v>
      </c>
      <c r="H3310" s="1">
        <v>-3.2547080000000002E-6</v>
      </c>
      <c r="I3310">
        <v>144.36959999999999</v>
      </c>
      <c r="J3310">
        <v>-163.56610000000001</v>
      </c>
      <c r="K3310">
        <v>1.1060719999999999</v>
      </c>
      <c r="L3310">
        <v>146.1422</v>
      </c>
      <c r="M3310">
        <v>0.90270980000000001</v>
      </c>
      <c r="N3310">
        <v>0</v>
      </c>
      <c r="O3310">
        <v>-0.42938290000000001</v>
      </c>
      <c r="P3310">
        <v>0.92646989999999996</v>
      </c>
      <c r="Q3310">
        <v>0.17189279999999901</v>
      </c>
      <c r="R3310">
        <v>-0.33482319999999999</v>
      </c>
      <c r="S3310">
        <v>3.0730740000000001</v>
      </c>
      <c r="T3310">
        <v>-0.40963379999999999</v>
      </c>
      <c r="U3310">
        <v>-0.66557310000000003</v>
      </c>
      <c r="V3310">
        <v>-9.561132E-2</v>
      </c>
      <c r="W3310">
        <v>0.19859979999999999</v>
      </c>
      <c r="X3310">
        <v>0.97540590000000005</v>
      </c>
      <c r="Y3310">
        <v>-0.22344789999999901</v>
      </c>
      <c r="Z3310">
        <v>6.8949849999999993E-2</v>
      </c>
      <c r="AA3310">
        <v>0.97227410000000003</v>
      </c>
      <c r="AB3310">
        <v>5</v>
      </c>
      <c r="AC3310">
        <v>8.2459000000000007</v>
      </c>
      <c r="AD3310">
        <v>-1.1060752547079999</v>
      </c>
      <c r="AE3310">
        <v>-1.7726000000000099</v>
      </c>
      <c r="AF3310">
        <v>-1.9084081374928701</v>
      </c>
      <c r="AG3310">
        <v>-1.1060752547079999</v>
      </c>
      <c r="AH3310">
        <v>8.0690677144728404</v>
      </c>
      <c r="AI3310">
        <v>97.598164149200102</v>
      </c>
      <c r="AJ3310">
        <v>103.306464843673</v>
      </c>
      <c r="AK3310">
        <v>8.3651227049622197</v>
      </c>
    </row>
    <row r="3311" spans="1:37" x14ac:dyDescent="0.2">
      <c r="A3311" t="str">
        <f>"20200111150709708"</f>
        <v>20200111150709708</v>
      </c>
      <c r="B3311" t="str">
        <f>"1578726429700354"</f>
        <v>1578726429700354</v>
      </c>
      <c r="C3311" t="s">
        <v>37</v>
      </c>
      <c r="D3311">
        <v>5.1649000000000003</v>
      </c>
      <c r="E3311">
        <v>0.55567429999999995</v>
      </c>
      <c r="F3311" t="s">
        <v>39</v>
      </c>
      <c r="G3311">
        <v>-155.1472</v>
      </c>
      <c r="H3311" s="1">
        <v>-3.3160500000000002E-6</v>
      </c>
      <c r="I3311">
        <v>144.32130000000001</v>
      </c>
      <c r="J3311">
        <v>-163.5292</v>
      </c>
      <c r="K3311">
        <v>1.1060369999999999</v>
      </c>
      <c r="L3311">
        <v>146.12469999999999</v>
      </c>
      <c r="M3311">
        <v>0.90274920000000003</v>
      </c>
      <c r="N3311">
        <v>0</v>
      </c>
      <c r="O3311">
        <v>-0.42932019999999999</v>
      </c>
      <c r="P3311">
        <v>0.92676999999999998</v>
      </c>
      <c r="Q3311">
        <v>0.16913159999999999</v>
      </c>
      <c r="R3311">
        <v>-0.33539790000000003</v>
      </c>
      <c r="S3311">
        <v>3.0728149999999999</v>
      </c>
      <c r="T3311">
        <v>-0.403707599999999</v>
      </c>
      <c r="U3311">
        <v>-0.66459659999999998</v>
      </c>
      <c r="V3311">
        <v>-9.5145569999999999E-2</v>
      </c>
      <c r="W3311">
        <v>0.1955317</v>
      </c>
      <c r="X3311">
        <v>0.97607109999999997</v>
      </c>
      <c r="Y3311">
        <v>-0.22379969999999999</v>
      </c>
      <c r="Z3311">
        <v>6.7984359999999994E-2</v>
      </c>
      <c r="AA3311">
        <v>0.97226119999999905</v>
      </c>
      <c r="AB3311">
        <v>4</v>
      </c>
      <c r="AC3311">
        <v>8.3819999999999997</v>
      </c>
      <c r="AD3311">
        <v>-1.1060403160500001</v>
      </c>
      <c r="AE3311">
        <v>-1.8033999999999799</v>
      </c>
      <c r="AF3311">
        <v>-1.93899381303248</v>
      </c>
      <c r="AG3311">
        <v>-1.1060403160500001</v>
      </c>
      <c r="AH3311">
        <v>8.2075315927425301</v>
      </c>
      <c r="AI3311">
        <v>97.471643240096896</v>
      </c>
      <c r="AJ3311">
        <v>103.29216890063999</v>
      </c>
      <c r="AK3311">
        <v>8.5056802804698108</v>
      </c>
    </row>
    <row r="3312" spans="1:37" x14ac:dyDescent="0.2">
      <c r="A3312" t="str">
        <f>"20200111150709741"</f>
        <v>20200111150709741</v>
      </c>
      <c r="B3312" t="str">
        <f>"1578726429730609"</f>
        <v>1578726429730609</v>
      </c>
      <c r="C3312" t="s">
        <v>37</v>
      </c>
      <c r="D3312">
        <v>5.1008399999999998</v>
      </c>
      <c r="E3312">
        <v>0.56037090000000001</v>
      </c>
      <c r="F3312" t="s">
        <v>38</v>
      </c>
      <c r="G3312">
        <v>-162.92240000000001</v>
      </c>
      <c r="H3312">
        <v>0.96567230000000004</v>
      </c>
      <c r="I3312">
        <v>145.77940000000001</v>
      </c>
      <c r="J3312">
        <v>-163.48349999999999</v>
      </c>
      <c r="K3312">
        <v>1.1059859999999999</v>
      </c>
      <c r="L3312">
        <v>146.10299999999901</v>
      </c>
      <c r="M3312">
        <v>0.90279920000000002</v>
      </c>
      <c r="N3312">
        <v>0</v>
      </c>
      <c r="O3312">
        <v>-0.42924269999999998</v>
      </c>
      <c r="P3312">
        <v>0.92562099999999903</v>
      </c>
      <c r="Q3312">
        <v>0.165904</v>
      </c>
      <c r="R3312">
        <v>-0.340149599999999</v>
      </c>
      <c r="S3312">
        <v>2.7819370000000001</v>
      </c>
      <c r="T3312">
        <v>-0.64349699999999999</v>
      </c>
      <c r="U3312">
        <v>-1.582031</v>
      </c>
      <c r="V3312">
        <v>-9.0267470000000002E-2</v>
      </c>
      <c r="W3312">
        <v>0.19190199999999999</v>
      </c>
      <c r="X3312">
        <v>0.97725399999999996</v>
      </c>
      <c r="Y3312">
        <v>7.9367930000000003E-2</v>
      </c>
      <c r="Z3312">
        <v>7.8186919999999993E-2</v>
      </c>
      <c r="AA3312">
        <v>0.99377439999999995</v>
      </c>
      <c r="AB3312">
        <v>4</v>
      </c>
      <c r="AC3312">
        <v>0.56109999999998195</v>
      </c>
      <c r="AD3312">
        <v>-0.14031370000000001</v>
      </c>
      <c r="AE3312">
        <v>-0.32359999999997002</v>
      </c>
      <c r="AF3312">
        <v>4.9015691694415303E-2</v>
      </c>
      <c r="AG3312">
        <v>-0.14031370000000001</v>
      </c>
      <c r="AH3312">
        <v>0.61674923620880395</v>
      </c>
      <c r="AI3312">
        <v>102.777973006393</v>
      </c>
      <c r="AJ3312">
        <v>85.456010877639201</v>
      </c>
      <c r="AK3312">
        <v>0.63440530641232495</v>
      </c>
    </row>
    <row r="3313" spans="1:37" x14ac:dyDescent="0.2">
      <c r="A3313" t="str">
        <f>"20200111150709771"</f>
        <v>20200111150709771</v>
      </c>
      <c r="B3313" t="str">
        <f>"1578726429760866"</f>
        <v>1578726429760866</v>
      </c>
      <c r="C3313" t="s">
        <v>37</v>
      </c>
      <c r="D3313">
        <v>5.0868599999999997</v>
      </c>
      <c r="E3313">
        <v>0.56202569999999996</v>
      </c>
      <c r="F3313" t="s">
        <v>38</v>
      </c>
      <c r="G3313">
        <v>-162.87520000000001</v>
      </c>
      <c r="H3313">
        <v>0.96335269999999995</v>
      </c>
      <c r="I3313">
        <v>145.74379999999999</v>
      </c>
      <c r="J3313">
        <v>-163.44470000000001</v>
      </c>
      <c r="K3313">
        <v>1.1059270000000001</v>
      </c>
      <c r="L3313">
        <v>146.0847</v>
      </c>
      <c r="M3313">
        <v>0.90284200000000003</v>
      </c>
      <c r="N3313">
        <v>0</v>
      </c>
      <c r="O3313">
        <v>-0.42918149999999899</v>
      </c>
      <c r="P3313">
        <v>0.92356059999999995</v>
      </c>
      <c r="Q3313">
        <v>0.16841419999999999</v>
      </c>
      <c r="R3313">
        <v>-0.34448899999999999</v>
      </c>
      <c r="S3313">
        <v>2.7586819999999999</v>
      </c>
      <c r="T3313">
        <v>-0.64680819999999895</v>
      </c>
      <c r="U3313">
        <v>-1.628128</v>
      </c>
      <c r="V3313">
        <v>-8.538867E-2</v>
      </c>
      <c r="W3313">
        <v>0.19395499999999999</v>
      </c>
      <c r="X3313">
        <v>0.97728719999999902</v>
      </c>
      <c r="Y3313">
        <v>9.5222219999999996E-2</v>
      </c>
      <c r="Z3313">
        <v>7.7056929999999996E-2</v>
      </c>
      <c r="AA3313">
        <v>0.99246909999999899</v>
      </c>
      <c r="AB3313">
        <v>3</v>
      </c>
      <c r="AC3313">
        <v>0.569500000000005</v>
      </c>
      <c r="AD3313">
        <v>-0.14257429999999999</v>
      </c>
      <c r="AE3313">
        <v>-0.34090000000000398</v>
      </c>
      <c r="AF3313">
        <v>6.0585969948361101E-2</v>
      </c>
      <c r="AG3313">
        <v>-0.14257429999999999</v>
      </c>
      <c r="AH3313">
        <v>0.63155974781992197</v>
      </c>
      <c r="AI3313">
        <v>102.664996443574</v>
      </c>
      <c r="AJ3313">
        <v>84.520343807917101</v>
      </c>
      <c r="AK3313">
        <v>0.650281328227588</v>
      </c>
    </row>
    <row r="3314" spans="1:37" x14ac:dyDescent="0.2">
      <c r="A3314" t="str">
        <f>"20200111150709807"</f>
        <v>20200111150709807</v>
      </c>
      <c r="B3314" t="str">
        <f>"1578726429800897"</f>
        <v>1578726429800897</v>
      </c>
      <c r="C3314" t="s">
        <v>37</v>
      </c>
      <c r="D3314">
        <v>5.1115079999999997</v>
      </c>
      <c r="E3314">
        <v>0.5624074</v>
      </c>
      <c r="F3314" t="s">
        <v>38</v>
      </c>
      <c r="G3314">
        <v>-162.85059999999999</v>
      </c>
      <c r="H3314">
        <v>0.96737430000000002</v>
      </c>
      <c r="I3314">
        <v>145.7276</v>
      </c>
      <c r="J3314">
        <v>-163.404</v>
      </c>
      <c r="K3314">
        <v>1.1057589999999999</v>
      </c>
      <c r="L3314">
        <v>146.06530000000001</v>
      </c>
      <c r="M3314">
        <v>0.90288939999999995</v>
      </c>
      <c r="N3314">
        <v>0</v>
      </c>
      <c r="O3314">
        <v>-0.42911959999999999</v>
      </c>
      <c r="P3314">
        <v>0.91994920000000002</v>
      </c>
      <c r="Q3314">
        <v>0.16300989999999899</v>
      </c>
      <c r="R3314">
        <v>-0.35654089999999999</v>
      </c>
      <c r="S3314">
        <v>2.7491150000000002</v>
      </c>
      <c r="T3314">
        <v>-0.64112650000000004</v>
      </c>
      <c r="U3314">
        <v>-1.6517489999999999</v>
      </c>
      <c r="V3314">
        <v>-7.2876090000000004E-2</v>
      </c>
      <c r="W3314">
        <v>0.1879892</v>
      </c>
      <c r="X3314">
        <v>0.97946369999999905</v>
      </c>
      <c r="Y3314">
        <v>0.1028573</v>
      </c>
      <c r="Z3314">
        <v>7.56053E-2</v>
      </c>
      <c r="AA3314">
        <v>0.99181869999999905</v>
      </c>
      <c r="AB3314">
        <v>3</v>
      </c>
      <c r="AC3314">
        <v>0.55340000000001</v>
      </c>
      <c r="AD3314">
        <v>-0.138384699999999</v>
      </c>
      <c r="AE3314">
        <v>-0.33770000000001199</v>
      </c>
      <c r="AF3314">
        <v>6.45132923561689E-2</v>
      </c>
      <c r="AG3314">
        <v>-0.138384699999999</v>
      </c>
      <c r="AH3314">
        <v>0.61668265777383702</v>
      </c>
      <c r="AI3314">
        <v>102.581302326414</v>
      </c>
      <c r="AJ3314">
        <v>84.027814835224106</v>
      </c>
      <c r="AK3314">
        <v>0.63530291238410597</v>
      </c>
    </row>
    <row r="3315" spans="1:37" x14ac:dyDescent="0.2">
      <c r="A3315" t="str">
        <f>"20200111150709837"</f>
        <v>20200111150709837</v>
      </c>
      <c r="B3315" t="str">
        <f>"1578726429830162"</f>
        <v>1578726429830162</v>
      </c>
      <c r="C3315" t="s">
        <v>37</v>
      </c>
      <c r="D3315">
        <v>5.1048229999999997</v>
      </c>
      <c r="E3315">
        <v>0.56226239999999905</v>
      </c>
      <c r="F3315" t="s">
        <v>38</v>
      </c>
      <c r="G3315">
        <v>-162.81229999999999</v>
      </c>
      <c r="H3315">
        <v>0.96147850000000001</v>
      </c>
      <c r="I3315">
        <v>145.6996</v>
      </c>
      <c r="J3315">
        <v>-163.37350000000001</v>
      </c>
      <c r="K3315">
        <v>1.1056649999999999</v>
      </c>
      <c r="L3315">
        <v>146.05090000000001</v>
      </c>
      <c r="M3315">
        <v>0.90292629999999996</v>
      </c>
      <c r="N3315">
        <v>0</v>
      </c>
      <c r="O3315">
        <v>-0.42907429999999902</v>
      </c>
      <c r="P3315">
        <v>0.91804110000000005</v>
      </c>
      <c r="Q3315">
        <v>0.16165940000000001</v>
      </c>
      <c r="R3315">
        <v>-0.36203220000000003</v>
      </c>
      <c r="S3315">
        <v>2.7260589999999998</v>
      </c>
      <c r="T3315">
        <v>-0.66470090000000004</v>
      </c>
      <c r="U3315">
        <v>-1.684296</v>
      </c>
      <c r="V3315">
        <v>-6.7040059999999999E-2</v>
      </c>
      <c r="W3315">
        <v>0.18611639999999999</v>
      </c>
      <c r="X3315">
        <v>0.9802379</v>
      </c>
      <c r="Y3315">
        <v>0.1154258</v>
      </c>
      <c r="Z3315">
        <v>7.7198580000000003E-2</v>
      </c>
      <c r="AA3315">
        <v>0.99031170000000002</v>
      </c>
      <c r="AB3315">
        <v>3</v>
      </c>
      <c r="AC3315">
        <v>0.56120000000001302</v>
      </c>
      <c r="AD3315">
        <v>-0.144186499999999</v>
      </c>
      <c r="AE3315">
        <v>-0.35130000000000899</v>
      </c>
      <c r="AF3315">
        <v>7.2964720636910105E-2</v>
      </c>
      <c r="AG3315">
        <v>-0.144186499999999</v>
      </c>
      <c r="AH3315">
        <v>0.62788150520793296</v>
      </c>
      <c r="AI3315">
        <v>102.84958195273499</v>
      </c>
      <c r="AJ3315">
        <v>83.371515096777898</v>
      </c>
      <c r="AK3315">
        <v>0.64834310501620296</v>
      </c>
    </row>
    <row r="3316" spans="1:37" x14ac:dyDescent="0.2">
      <c r="A3316" t="str">
        <f>"20200111150709875"</f>
        <v>20200111150709875</v>
      </c>
      <c r="B3316" t="str">
        <f>"1578726429870178"</f>
        <v>1578726429870178</v>
      </c>
      <c r="C3316" t="s">
        <v>37</v>
      </c>
      <c r="D3316">
        <v>5.042484</v>
      </c>
      <c r="E3316">
        <v>0.56210419999999905</v>
      </c>
      <c r="F3316" t="s">
        <v>38</v>
      </c>
      <c r="G3316">
        <v>-162.77610000000001</v>
      </c>
      <c r="H3316">
        <v>0.95786819999999895</v>
      </c>
      <c r="I3316">
        <v>145.67789999999999</v>
      </c>
      <c r="J3316">
        <v>-163.33940000000001</v>
      </c>
      <c r="K3316">
        <v>1.1056010000000001</v>
      </c>
      <c r="L3316">
        <v>146.03469999999999</v>
      </c>
      <c r="M3316">
        <v>0.90296829999999995</v>
      </c>
      <c r="N3316">
        <v>0</v>
      </c>
      <c r="O3316">
        <v>-0.4290254</v>
      </c>
      <c r="P3316">
        <v>0.91526529999999995</v>
      </c>
      <c r="Q3316">
        <v>0.16601299999999999</v>
      </c>
      <c r="R3316">
        <v>-0.36705509999999902</v>
      </c>
      <c r="S3316">
        <v>2.7173310000000002</v>
      </c>
      <c r="T3316">
        <v>-0.67231609999999997</v>
      </c>
      <c r="U3316">
        <v>-1.69616699999999</v>
      </c>
      <c r="V3316">
        <v>-6.12493E-2</v>
      </c>
      <c r="W3316">
        <v>0.18977929999999901</v>
      </c>
      <c r="X3316">
        <v>0.97991439999999996</v>
      </c>
      <c r="Y3316">
        <v>0.12008050000000001</v>
      </c>
      <c r="Z3316">
        <v>7.7635700000000002E-2</v>
      </c>
      <c r="AA3316">
        <v>0.98972389999999999</v>
      </c>
      <c r="AB3316">
        <v>3</v>
      </c>
      <c r="AC3316">
        <v>0.56329999999999802</v>
      </c>
      <c r="AD3316">
        <v>-0.1477328</v>
      </c>
      <c r="AE3316">
        <v>-0.35679999999999201</v>
      </c>
      <c r="AF3316">
        <v>7.6764477206469395E-2</v>
      </c>
      <c r="AG3316">
        <v>-0.1477328</v>
      </c>
      <c r="AH3316">
        <v>0.63094074363244401</v>
      </c>
      <c r="AI3316">
        <v>103.085083307516</v>
      </c>
      <c r="AJ3316">
        <v>83.063106045619506</v>
      </c>
      <c r="AK3316">
        <v>0.65253657915252805</v>
      </c>
    </row>
    <row r="3317" spans="1:37" x14ac:dyDescent="0.2">
      <c r="A3317" t="str">
        <f>"20200111150709919"</f>
        <v>20200111150709919</v>
      </c>
      <c r="B3317" t="str">
        <f>"1578726429910196"</f>
        <v>1578726429910196</v>
      </c>
      <c r="C3317" t="s">
        <v>37</v>
      </c>
      <c r="D3317">
        <v>5.0746440000000002</v>
      </c>
      <c r="E3317">
        <v>0.56020199999999998</v>
      </c>
      <c r="F3317" t="s">
        <v>38</v>
      </c>
      <c r="G3317">
        <v>-162.7433</v>
      </c>
      <c r="H3317">
        <v>0.95707389999999903</v>
      </c>
      <c r="I3317">
        <v>145.6584</v>
      </c>
      <c r="J3317">
        <v>-163.30350000000001</v>
      </c>
      <c r="K3317">
        <v>1.105504</v>
      </c>
      <c r="L3317">
        <v>146.01769999999999</v>
      </c>
      <c r="M3317">
        <v>0.90301559999999903</v>
      </c>
      <c r="N3317">
        <v>0</v>
      </c>
      <c r="O3317">
        <v>-0.42897469999999999</v>
      </c>
      <c r="P3317">
        <v>0.9136145</v>
      </c>
      <c r="Q3317">
        <v>0.16311919999999999</v>
      </c>
      <c r="R3317">
        <v>-0.37242540000000002</v>
      </c>
      <c r="S3317">
        <v>2.7135159999999998</v>
      </c>
      <c r="T3317">
        <v>-0.67614079999999999</v>
      </c>
      <c r="U3317">
        <v>-1.7126919999999899</v>
      </c>
      <c r="V3317">
        <v>-5.5624649999999998E-2</v>
      </c>
      <c r="W3317">
        <v>0.1860443</v>
      </c>
      <c r="X3317">
        <v>0.98096559999999899</v>
      </c>
      <c r="Y3317">
        <v>0.12504860000000001</v>
      </c>
      <c r="Z3317">
        <v>7.7449459999999998E-2</v>
      </c>
      <c r="AA3317">
        <v>0.98912299999999997</v>
      </c>
      <c r="AB3317">
        <v>2</v>
      </c>
      <c r="AC3317">
        <v>0.56020000000000802</v>
      </c>
      <c r="AD3317">
        <v>-0.14843010000000001</v>
      </c>
      <c r="AE3317">
        <v>-0.35929999999999002</v>
      </c>
      <c r="AF3317">
        <v>8.0176654058177602E-2</v>
      </c>
      <c r="AG3317">
        <v>-0.14843010000000001</v>
      </c>
      <c r="AH3317">
        <v>0.62889715258934897</v>
      </c>
      <c r="AI3317">
        <v>103.17684495275</v>
      </c>
      <c r="AJ3317">
        <v>82.734684791494502</v>
      </c>
      <c r="AK3317">
        <v>0.65113087699552796</v>
      </c>
    </row>
    <row r="3318" spans="1:37" x14ac:dyDescent="0.2">
      <c r="A3318" t="str">
        <f>"20200111150709964"</f>
        <v>20200111150709964</v>
      </c>
      <c r="B3318" t="str">
        <f>"1578726429960946"</f>
        <v>1578726429960946</v>
      </c>
      <c r="C3318" t="s">
        <v>37</v>
      </c>
      <c r="D3318">
        <v>5.097791</v>
      </c>
      <c r="E3318">
        <v>0.58679380000000003</v>
      </c>
      <c r="F3318" t="s">
        <v>38</v>
      </c>
      <c r="G3318">
        <v>-162.7141</v>
      </c>
      <c r="H3318">
        <v>0.95367990000000002</v>
      </c>
      <c r="I3318">
        <v>145.64519999999999</v>
      </c>
      <c r="J3318">
        <v>-163.2722</v>
      </c>
      <c r="K3318">
        <v>1.105359</v>
      </c>
      <c r="L3318">
        <v>146.00290000000001</v>
      </c>
      <c r="M3318">
        <v>0.90305979999999997</v>
      </c>
      <c r="N3318">
        <v>0</v>
      </c>
      <c r="O3318">
        <v>-0.428930599999999</v>
      </c>
      <c r="P3318">
        <v>0.91104479999999999</v>
      </c>
      <c r="Q3318">
        <v>0.157933399999999</v>
      </c>
      <c r="R3318">
        <v>-0.3808609</v>
      </c>
      <c r="S3318">
        <v>2.7103269999999999</v>
      </c>
      <c r="T3318">
        <v>-0.69822629999999997</v>
      </c>
      <c r="U3318">
        <v>-1.71232599999999</v>
      </c>
      <c r="V3318">
        <v>-4.6844400000000001E-2</v>
      </c>
      <c r="W3318">
        <v>0.1799895</v>
      </c>
      <c r="X3318">
        <v>0.98255249999999905</v>
      </c>
      <c r="Y3318">
        <v>0.12590870000000001</v>
      </c>
      <c r="Z3318">
        <v>7.988518E-2</v>
      </c>
      <c r="AA3318">
        <v>0.98882019999999904</v>
      </c>
      <c r="AB3318">
        <v>2</v>
      </c>
      <c r="AC3318">
        <v>0.55809999999999504</v>
      </c>
      <c r="AD3318">
        <v>-0.15167909999999901</v>
      </c>
      <c r="AE3318">
        <v>-0.357700000000022</v>
      </c>
      <c r="AF3318">
        <v>7.9497148206236004E-2</v>
      </c>
      <c r="AG3318">
        <v>-0.15167909999999901</v>
      </c>
      <c r="AH3318">
        <v>0.62487508664110603</v>
      </c>
      <c r="AI3318">
        <v>103.53875421955701</v>
      </c>
      <c r="AJ3318">
        <v>82.7497296048236</v>
      </c>
      <c r="AK3318">
        <v>0.64791605926575402</v>
      </c>
    </row>
    <row r="3319" spans="1:37" x14ac:dyDescent="0.2">
      <c r="A3319" t="str">
        <f>"20200111150710009"</f>
        <v>20200111150710009</v>
      </c>
      <c r="B3319" t="str">
        <f>"1578726430000961"</f>
        <v>1578726430000961</v>
      </c>
      <c r="C3319" t="s">
        <v>37</v>
      </c>
      <c r="D3319">
        <v>4.8578580000000002</v>
      </c>
      <c r="E3319">
        <v>0.58658109999999997</v>
      </c>
      <c r="F3319" t="s">
        <v>38</v>
      </c>
      <c r="G3319">
        <v>-162.72479999999999</v>
      </c>
      <c r="H3319">
        <v>0.91189669999999901</v>
      </c>
      <c r="I3319">
        <v>145.5977</v>
      </c>
      <c r="J3319">
        <v>-163.2458</v>
      </c>
      <c r="K3319">
        <v>1.1052200000000001</v>
      </c>
      <c r="L3319">
        <v>145.99039999999999</v>
      </c>
      <c r="M3319">
        <v>0.90309859999999897</v>
      </c>
      <c r="N3319">
        <v>0</v>
      </c>
      <c r="O3319">
        <v>-0.42889309999999897</v>
      </c>
      <c r="P3319">
        <v>0.90766380000000002</v>
      </c>
      <c r="Q3319">
        <v>0.1606158</v>
      </c>
      <c r="R3319">
        <v>-0.3877486</v>
      </c>
      <c r="S3319">
        <v>2.63842799999999</v>
      </c>
      <c r="T3319">
        <v>-0.93244869999999902</v>
      </c>
      <c r="U3319">
        <v>-1.95224</v>
      </c>
      <c r="V3319">
        <v>-3.9122079999999997E-2</v>
      </c>
      <c r="W3319">
        <v>0.18181659999999999</v>
      </c>
      <c r="X3319">
        <v>0.98255389999999998</v>
      </c>
      <c r="Y3319">
        <v>0.19999909999999901</v>
      </c>
      <c r="Z3319">
        <v>9.3729129999999994E-2</v>
      </c>
      <c r="AA3319">
        <v>0.97530260000000002</v>
      </c>
      <c r="AB3319">
        <v>2</v>
      </c>
      <c r="AC3319">
        <v>0.52100000000001501</v>
      </c>
      <c r="AD3319">
        <v>-0.1933233</v>
      </c>
      <c r="AE3319">
        <v>-0.39269999999999</v>
      </c>
      <c r="AF3319">
        <v>0.120632034151859</v>
      </c>
      <c r="AG3319">
        <v>-0.1933233</v>
      </c>
      <c r="AH3319">
        <v>0.58750400264536795</v>
      </c>
      <c r="AI3319">
        <v>107.865895522312</v>
      </c>
      <c r="AJ3319">
        <v>78.396745118955707</v>
      </c>
      <c r="AK3319">
        <v>0.63014834690795996</v>
      </c>
    </row>
    <row r="3320" spans="1:37" x14ac:dyDescent="0.2">
      <c r="A3320" t="str">
        <f>"20200111150710053"</f>
        <v>20200111150710053</v>
      </c>
      <c r="B3320" t="str">
        <f>"1578726430050290"</f>
        <v>1578726430050290</v>
      </c>
      <c r="C3320" t="s">
        <v>37</v>
      </c>
      <c r="D3320">
        <v>4.9744630000000001</v>
      </c>
      <c r="E3320">
        <v>0.58633729999999995</v>
      </c>
      <c r="F3320" t="s">
        <v>38</v>
      </c>
      <c r="G3320">
        <v>-162.70259999999999</v>
      </c>
      <c r="H3320">
        <v>0.91297479999999998</v>
      </c>
      <c r="I3320">
        <v>145.583</v>
      </c>
      <c r="J3320">
        <v>-163.22280000000001</v>
      </c>
      <c r="K3320">
        <v>1.1050850000000001</v>
      </c>
      <c r="L3320">
        <v>145.9795</v>
      </c>
      <c r="M3320">
        <v>0.90313790000000005</v>
      </c>
      <c r="N3320">
        <v>0</v>
      </c>
      <c r="O3320">
        <v>-0.42886199999999902</v>
      </c>
      <c r="P3320">
        <v>0.90638850000000004</v>
      </c>
      <c r="Q3320">
        <v>0.16773850000000001</v>
      </c>
      <c r="R3320">
        <v>-0.38771659999999902</v>
      </c>
      <c r="S3320">
        <v>2.6280519999999998</v>
      </c>
      <c r="T3320">
        <v>-0.93008049999999998</v>
      </c>
      <c r="U3320">
        <v>-1.970291</v>
      </c>
      <c r="V3320">
        <v>-3.8559599999999999E-2</v>
      </c>
      <c r="W3320">
        <v>0.18787860000000001</v>
      </c>
      <c r="X3320">
        <v>0.9814351</v>
      </c>
      <c r="Y3320">
        <v>0.2059444</v>
      </c>
      <c r="Z3320">
        <v>9.2657009999999998E-2</v>
      </c>
      <c r="AA3320">
        <v>0.97416709999999995</v>
      </c>
      <c r="AB3320">
        <v>2</v>
      </c>
      <c r="AC3320">
        <v>0.52020000000001598</v>
      </c>
      <c r="AD3320">
        <v>-0.19211020000000001</v>
      </c>
      <c r="AE3320">
        <v>-0.39650000000000302</v>
      </c>
      <c r="AF3320">
        <v>0.12430517257780201</v>
      </c>
      <c r="AG3320">
        <v>-0.19211020000000001</v>
      </c>
      <c r="AH3320">
        <v>0.58916539305350102</v>
      </c>
      <c r="AI3320">
        <v>107.695174436209</v>
      </c>
      <c r="AJ3320">
        <v>78.086168540022001</v>
      </c>
      <c r="AK3320">
        <v>0.632039528230255</v>
      </c>
    </row>
    <row r="3321" spans="1:37" x14ac:dyDescent="0.2">
      <c r="A3321" t="str">
        <f>"20200111150710099"</f>
        <v>20200111150710099</v>
      </c>
      <c r="B3321" t="str">
        <f>"1578726430090309"</f>
        <v>1578726430090309</v>
      </c>
      <c r="C3321" t="s">
        <v>37</v>
      </c>
      <c r="D3321">
        <v>4.6454940000000002</v>
      </c>
      <c r="E3321">
        <v>0.58618780000000004</v>
      </c>
      <c r="F3321" t="s">
        <v>38</v>
      </c>
      <c r="G3321">
        <v>-162.67080000000001</v>
      </c>
      <c r="H3321">
        <v>0.91733430000000005</v>
      </c>
      <c r="I3321">
        <v>145.56559999999999</v>
      </c>
      <c r="J3321">
        <v>-163.1996</v>
      </c>
      <c r="K3321">
        <v>1.104854</v>
      </c>
      <c r="L3321">
        <v>145.96850000000001</v>
      </c>
      <c r="M3321">
        <v>0.90318449999999995</v>
      </c>
      <c r="N3321">
        <v>0</v>
      </c>
      <c r="O3321">
        <v>-0.42883349999999998</v>
      </c>
      <c r="P3321">
        <v>0.90808089999999997</v>
      </c>
      <c r="Q3321">
        <v>0.16632810000000001</v>
      </c>
      <c r="R3321">
        <v>-0.38434950000000001</v>
      </c>
      <c r="S3321">
        <v>2.631653</v>
      </c>
      <c r="T3321">
        <v>-0.89498639999999996</v>
      </c>
      <c r="U3321">
        <v>-1.97262599999999</v>
      </c>
      <c r="V3321">
        <v>-4.2282859999999999E-2</v>
      </c>
      <c r="W3321">
        <v>0.18498020000000001</v>
      </c>
      <c r="X3321">
        <v>0.98183220000000004</v>
      </c>
      <c r="Y3321">
        <v>0.20537459999999999</v>
      </c>
      <c r="Z3321">
        <v>8.925806E-2</v>
      </c>
      <c r="AA3321">
        <v>0.97460469999999899</v>
      </c>
      <c r="AB3321">
        <v>1</v>
      </c>
      <c r="AC3321">
        <v>0.52879999999998895</v>
      </c>
      <c r="AD3321">
        <v>-0.18751970000000001</v>
      </c>
      <c r="AE3321">
        <v>-0.40290000000001602</v>
      </c>
      <c r="AF3321">
        <v>0.12704260845578999</v>
      </c>
      <c r="AG3321">
        <v>-0.18751970000000001</v>
      </c>
      <c r="AH3321">
        <v>0.60255654245474499</v>
      </c>
      <c r="AI3321">
        <v>106.936128534768</v>
      </c>
      <c r="AJ3321">
        <v>78.0941706340748</v>
      </c>
      <c r="AK3321">
        <v>0.64372187247782597</v>
      </c>
    </row>
    <row r="3322" spans="1:37" x14ac:dyDescent="0.2">
      <c r="A3322" t="str">
        <f>"20200111150710129"</f>
        <v>20200111150710129</v>
      </c>
      <c r="B3322" t="str">
        <f>"1578726430120562"</f>
        <v>1578726430120562</v>
      </c>
      <c r="C3322" t="s">
        <v>37</v>
      </c>
      <c r="D3322">
        <v>5.0690410000000004</v>
      </c>
      <c r="E3322">
        <v>0.58549430000000002</v>
      </c>
      <c r="F3322" t="s">
        <v>38</v>
      </c>
      <c r="G3322">
        <v>-162.64779999999999</v>
      </c>
      <c r="H3322">
        <v>0.92164950000000001</v>
      </c>
      <c r="I3322">
        <v>145.55799999999999</v>
      </c>
      <c r="J3322">
        <v>-163.18450000000001</v>
      </c>
      <c r="K3322">
        <v>1.1047100000000001</v>
      </c>
      <c r="L3322">
        <v>145.9614</v>
      </c>
      <c r="M3322">
        <v>0.90321359999999995</v>
      </c>
      <c r="N3322">
        <v>0</v>
      </c>
      <c r="O3322">
        <v>-0.42881459999999999</v>
      </c>
      <c r="P3322">
        <v>0.90961550000000002</v>
      </c>
      <c r="Q3322">
        <v>0.16210959999999999</v>
      </c>
      <c r="R3322">
        <v>-0.38251839999999998</v>
      </c>
      <c r="S3322">
        <v>2.6344449999999999</v>
      </c>
      <c r="T3322">
        <v>-0.87466259999999996</v>
      </c>
      <c r="U3322">
        <v>-1.959686</v>
      </c>
      <c r="V3322">
        <v>-4.4566410000000001E-2</v>
      </c>
      <c r="W3322">
        <v>0.17981129999999901</v>
      </c>
      <c r="X3322">
        <v>0.98269099999999998</v>
      </c>
      <c r="Y3322">
        <v>0.2016588</v>
      </c>
      <c r="Z3322">
        <v>8.7898279999999995E-2</v>
      </c>
      <c r="AA3322">
        <v>0.97550380000000003</v>
      </c>
      <c r="AB3322">
        <v>1</v>
      </c>
      <c r="AC3322">
        <v>0.53670000000002405</v>
      </c>
      <c r="AD3322">
        <v>-0.18306049999999999</v>
      </c>
      <c r="AE3322">
        <v>-0.40340000000000398</v>
      </c>
      <c r="AF3322">
        <v>0.12494479373312301</v>
      </c>
      <c r="AG3322">
        <v>-0.18306049999999999</v>
      </c>
      <c r="AH3322">
        <v>0.61232431040016</v>
      </c>
      <c r="AI3322">
        <v>106.32657809925</v>
      </c>
      <c r="AJ3322">
        <v>78.467117672382301</v>
      </c>
      <c r="AK3322">
        <v>0.65120151201321197</v>
      </c>
    </row>
    <row r="3323" spans="1:37" x14ac:dyDescent="0.2">
      <c r="A3323" t="str">
        <f>"20200111150710165"</f>
        <v>20200111150710165</v>
      </c>
      <c r="B3323" t="str">
        <f>"1578726430160200"</f>
        <v>1578726430160200</v>
      </c>
      <c r="C3323" t="s">
        <v>37</v>
      </c>
      <c r="D3323">
        <v>4.5784139999999898</v>
      </c>
      <c r="E3323">
        <v>0.52844389999999997</v>
      </c>
      <c r="F3323" t="s">
        <v>38</v>
      </c>
      <c r="G3323">
        <v>-162.63720000000001</v>
      </c>
      <c r="H3323">
        <v>0.92030049999999997</v>
      </c>
      <c r="I3323">
        <v>145.55680000000001</v>
      </c>
      <c r="J3323">
        <v>-163.1669</v>
      </c>
      <c r="K3323">
        <v>1.1045799999999999</v>
      </c>
      <c r="L3323">
        <v>145.953</v>
      </c>
      <c r="M3323">
        <v>0.903244099999999</v>
      </c>
      <c r="N3323">
        <v>0</v>
      </c>
      <c r="O3323">
        <v>-0.42879289999999998</v>
      </c>
      <c r="P3323">
        <v>0.91014859999999898</v>
      </c>
      <c r="Q3323">
        <v>0.15756249999999999</v>
      </c>
      <c r="R3323">
        <v>-0.3831502</v>
      </c>
      <c r="S3323">
        <v>2.6367189999999998</v>
      </c>
      <c r="T3323">
        <v>-0.88839230000000002</v>
      </c>
      <c r="U3323">
        <v>-1.949265</v>
      </c>
      <c r="V3323">
        <v>-4.419141E-2</v>
      </c>
      <c r="W3323">
        <v>0.17425470000000001</v>
      </c>
      <c r="X3323">
        <v>0.98370849999999899</v>
      </c>
      <c r="Y3323">
        <v>0.1990941</v>
      </c>
      <c r="Z3323">
        <v>8.9644070000000006E-2</v>
      </c>
      <c r="AA3323">
        <v>0.97587169999999901</v>
      </c>
      <c r="AB3323">
        <v>1</v>
      </c>
      <c r="AC3323">
        <v>0.52969999999999096</v>
      </c>
      <c r="AD3323">
        <v>-0.18427950000000001</v>
      </c>
      <c r="AE3323">
        <v>-0.396199999999993</v>
      </c>
      <c r="AF3323">
        <v>0.12133556043020299</v>
      </c>
      <c r="AG3323">
        <v>-0.18427950000000001</v>
      </c>
      <c r="AH3323">
        <v>0.60172871812008299</v>
      </c>
      <c r="AI3323">
        <v>106.71015714631</v>
      </c>
      <c r="AJ3323">
        <v>78.599472228877104</v>
      </c>
      <c r="AK3323">
        <v>0.64090459707791103</v>
      </c>
    </row>
    <row r="3324" spans="1:37" x14ac:dyDescent="0.2">
      <c r="A3324" t="str">
        <f>"20200111150710196"</f>
        <v>20200111150710196</v>
      </c>
      <c r="B3324" t="str">
        <f>"1578726430190456"</f>
        <v>1578726430190456</v>
      </c>
      <c r="C3324" t="s">
        <v>37</v>
      </c>
      <c r="D3324">
        <v>4.4870720000000004</v>
      </c>
      <c r="E3324">
        <v>0.52663110000000002</v>
      </c>
      <c r="F3324" t="s">
        <v>38</v>
      </c>
      <c r="G3324">
        <v>-162.5779</v>
      </c>
      <c r="H3324">
        <v>0.91966320000000001</v>
      </c>
      <c r="I3324">
        <v>145.63399999999999</v>
      </c>
      <c r="J3324">
        <v>-163.1516</v>
      </c>
      <c r="K3324">
        <v>1.1044940000000001</v>
      </c>
      <c r="L3324">
        <v>145.94579999999999</v>
      </c>
      <c r="M3324">
        <v>0.90326819999999897</v>
      </c>
      <c r="N3324">
        <v>0</v>
      </c>
      <c r="O3324">
        <v>-0.42877399999999999</v>
      </c>
      <c r="P3324">
        <v>0.90959539999999905</v>
      </c>
      <c r="Q3324">
        <v>0.1578832</v>
      </c>
      <c r="R3324">
        <v>-0.38432880000000003</v>
      </c>
      <c r="S3324">
        <v>2.8086090000000001</v>
      </c>
      <c r="T3324">
        <v>-0.88179739999999995</v>
      </c>
      <c r="U3324">
        <v>-1.520767</v>
      </c>
      <c r="V3324">
        <v>-4.2862089999999999E-2</v>
      </c>
      <c r="W3324">
        <v>0.17375829999999901</v>
      </c>
      <c r="X3324">
        <v>0.98385509999999998</v>
      </c>
      <c r="Y3324">
        <v>6.5113599999999994E-2</v>
      </c>
      <c r="Z3324">
        <v>0.107860999999999</v>
      </c>
      <c r="AA3324">
        <v>0.99203129999999995</v>
      </c>
      <c r="AB3324">
        <v>1</v>
      </c>
      <c r="AC3324">
        <v>0.57370000000000199</v>
      </c>
      <c r="AD3324">
        <v>-0.18483079999999999</v>
      </c>
      <c r="AE3324">
        <v>-0.31180000000000502</v>
      </c>
      <c r="AF3324">
        <v>3.30109240457638E-2</v>
      </c>
      <c r="AG3324">
        <v>-0.18483079999999999</v>
      </c>
      <c r="AH3324">
        <v>0.60361511545209401</v>
      </c>
      <c r="AI3324">
        <v>107.000985858568</v>
      </c>
      <c r="AJ3324">
        <v>86.869686769441998</v>
      </c>
      <c r="AK3324">
        <v>0.63214187753797801</v>
      </c>
    </row>
    <row r="3325" spans="1:37" x14ac:dyDescent="0.2">
      <c r="A3325" t="str">
        <f>"20200111150710231"</f>
        <v>20200111150710231</v>
      </c>
      <c r="B3325" t="str">
        <f>"1578726430220712"</f>
        <v>1578726430220712</v>
      </c>
      <c r="C3325" t="s">
        <v>37</v>
      </c>
      <c r="D3325">
        <v>4.6805260000000004</v>
      </c>
      <c r="E3325">
        <v>0.52875890000000003</v>
      </c>
      <c r="F3325" t="s">
        <v>38</v>
      </c>
      <c r="G3325">
        <v>-162.55930000000001</v>
      </c>
      <c r="H3325">
        <v>0.91529059999999995</v>
      </c>
      <c r="I3325">
        <v>145.62700000000001</v>
      </c>
      <c r="J3325">
        <v>-163.13399999999999</v>
      </c>
      <c r="K3325">
        <v>1.10442</v>
      </c>
      <c r="L3325">
        <v>145.9375</v>
      </c>
      <c r="M3325">
        <v>0.90329349999999997</v>
      </c>
      <c r="N3325">
        <v>0</v>
      </c>
      <c r="O3325">
        <v>-0.42875079999999999</v>
      </c>
      <c r="P3325">
        <v>0.90742559999999906</v>
      </c>
      <c r="Q3325">
        <v>0.16082679999999999</v>
      </c>
      <c r="R3325">
        <v>-0.38821859999999903</v>
      </c>
      <c r="S3325">
        <v>2.814362</v>
      </c>
      <c r="T3325">
        <v>-0.89904789999999901</v>
      </c>
      <c r="U3325">
        <v>-1.5143739999999899</v>
      </c>
      <c r="V3325">
        <v>-3.8386759999999999E-2</v>
      </c>
      <c r="W3325">
        <v>0.17589549999999901</v>
      </c>
      <c r="X3325">
        <v>0.98366010000000004</v>
      </c>
      <c r="Y3325">
        <v>6.3062759999999995E-2</v>
      </c>
      <c r="Z3325">
        <v>0.110059899999999</v>
      </c>
      <c r="AA3325">
        <v>0.99192230000000003</v>
      </c>
      <c r="AB3325">
        <v>1</v>
      </c>
      <c r="AC3325">
        <v>0.57469999999997801</v>
      </c>
      <c r="AD3325">
        <v>-0.1891294</v>
      </c>
      <c r="AE3325">
        <v>-0.31049999999999001</v>
      </c>
      <c r="AF3325">
        <v>3.1438040847266403E-2</v>
      </c>
      <c r="AG3325">
        <v>-0.1891294</v>
      </c>
      <c r="AH3325">
        <v>0.60187060712170004</v>
      </c>
      <c r="AI3325">
        <v>107.422283821015</v>
      </c>
      <c r="AJ3325">
        <v>87.009936135306901</v>
      </c>
      <c r="AK3325">
        <v>0.63166961940061495</v>
      </c>
    </row>
    <row r="3326" spans="1:37" x14ac:dyDescent="0.2">
      <c r="A3326" t="str">
        <f>"20200111150710265"</f>
        <v>20200111150710265</v>
      </c>
      <c r="B3326" t="str">
        <f>"1578726430260209"</f>
        <v>1578726430260209</v>
      </c>
      <c r="C3326" t="s">
        <v>37</v>
      </c>
      <c r="D3326">
        <v>4.6398029999999997</v>
      </c>
      <c r="E3326">
        <v>0.52897740000000004</v>
      </c>
      <c r="F3326" t="s">
        <v>38</v>
      </c>
      <c r="G3326">
        <v>-162.5506</v>
      </c>
      <c r="H3326">
        <v>0.91884330000000003</v>
      </c>
      <c r="I3326">
        <v>145.61709999999999</v>
      </c>
      <c r="J3326">
        <v>-163.11779999999999</v>
      </c>
      <c r="K3326">
        <v>1.1043829999999999</v>
      </c>
      <c r="L3326">
        <v>145.9298</v>
      </c>
      <c r="M3326">
        <v>0.90331450000000002</v>
      </c>
      <c r="N3326">
        <v>0</v>
      </c>
      <c r="O3326">
        <v>-0.428728</v>
      </c>
      <c r="P3326">
        <v>0.90644190000000002</v>
      </c>
      <c r="Q3326">
        <v>0.16143669999999999</v>
      </c>
      <c r="R3326">
        <v>-0.39025850000000001</v>
      </c>
      <c r="S3326">
        <v>2.8054199999999998</v>
      </c>
      <c r="T3326">
        <v>-0.89223770000000002</v>
      </c>
      <c r="U3326">
        <v>-1.5397639999999999</v>
      </c>
      <c r="V3326">
        <v>-3.6093E-2</v>
      </c>
      <c r="W3326">
        <v>0.17590020000000001</v>
      </c>
      <c r="X3326">
        <v>0.98374609999999996</v>
      </c>
      <c r="Y3326">
        <v>7.0876259999999996E-2</v>
      </c>
      <c r="Z3326">
        <v>0.1081486</v>
      </c>
      <c r="AA3326">
        <v>0.99160499999999996</v>
      </c>
      <c r="AB3326">
        <v>1</v>
      </c>
      <c r="AC3326">
        <v>0.56719999999998505</v>
      </c>
      <c r="AD3326">
        <v>-0.185539699999999</v>
      </c>
      <c r="AE3326">
        <v>-0.31270000000000597</v>
      </c>
      <c r="AF3326">
        <v>3.6315972151016701E-2</v>
      </c>
      <c r="AG3326">
        <v>-0.185539699999999</v>
      </c>
      <c r="AH3326">
        <v>0.59746346055145105</v>
      </c>
      <c r="AI3326">
        <v>107.222055795613</v>
      </c>
      <c r="AJ3326">
        <v>86.5216365688065</v>
      </c>
      <c r="AK3326">
        <v>0.62666292119725597</v>
      </c>
    </row>
    <row r="3327" spans="1:37" x14ac:dyDescent="0.2">
      <c r="A3327" t="str">
        <f>"20200111150710300"</f>
        <v>20200111150710300</v>
      </c>
      <c r="B3327" t="str">
        <f>"1578726430290465"</f>
        <v>1578726430290465</v>
      </c>
      <c r="C3327" t="s">
        <v>37</v>
      </c>
      <c r="D3327">
        <v>5.1650879999999999</v>
      </c>
      <c r="E3327">
        <v>0.52955649999999999</v>
      </c>
      <c r="F3327" t="s">
        <v>38</v>
      </c>
      <c r="G3327">
        <v>-162.5307</v>
      </c>
      <c r="H3327">
        <v>0.92149210000000004</v>
      </c>
      <c r="I3327">
        <v>145.60589999999999</v>
      </c>
      <c r="J3327">
        <v>-163.10079999999999</v>
      </c>
      <c r="K3327">
        <v>1.1043289999999999</v>
      </c>
      <c r="L3327">
        <v>145.92179999999999</v>
      </c>
      <c r="M3327">
        <v>0.90333490000000005</v>
      </c>
      <c r="N3327">
        <v>0</v>
      </c>
      <c r="O3327">
        <v>-0.428703</v>
      </c>
      <c r="P3327">
        <v>0.90642889999999998</v>
      </c>
      <c r="Q3327">
        <v>0.15749079999999999</v>
      </c>
      <c r="R3327">
        <v>-0.39189740000000001</v>
      </c>
      <c r="S3327">
        <v>2.8001559999999999</v>
      </c>
      <c r="T3327">
        <v>-0.87236420000000003</v>
      </c>
      <c r="U3327">
        <v>-1.544235</v>
      </c>
      <c r="V3327">
        <v>-3.45759E-2</v>
      </c>
      <c r="W3327">
        <v>0.17143339999999899</v>
      </c>
      <c r="X3327">
        <v>0.98458880000000004</v>
      </c>
      <c r="Y3327">
        <v>7.2362010000000004E-2</v>
      </c>
      <c r="Z3327">
        <v>0.10573150000000001</v>
      </c>
      <c r="AA3327">
        <v>0.99175829999999998</v>
      </c>
      <c r="AB3327">
        <v>1</v>
      </c>
      <c r="AC3327">
        <v>0.57009999999999605</v>
      </c>
      <c r="AD3327">
        <v>-0.1828369</v>
      </c>
      <c r="AE3327">
        <v>-0.31589999999999901</v>
      </c>
      <c r="AF3327">
        <v>3.79755929115922E-2</v>
      </c>
      <c r="AG3327">
        <v>-0.1828369</v>
      </c>
      <c r="AH3327">
        <v>0.60302929272355599</v>
      </c>
      <c r="AI3327">
        <v>106.835707342408</v>
      </c>
      <c r="AJ3327">
        <v>86.396573562054499</v>
      </c>
      <c r="AK3327">
        <v>0.63128108283178397</v>
      </c>
    </row>
    <row r="3328" spans="1:37" x14ac:dyDescent="0.2">
      <c r="A3328" t="str">
        <f>"20200111150710330"</f>
        <v>20200111150710330</v>
      </c>
      <c r="B3328" t="str">
        <f>"1578726430320721"</f>
        <v>1578726430320721</v>
      </c>
      <c r="C3328" t="s">
        <v>37</v>
      </c>
      <c r="D3328">
        <v>5.6186439999999997</v>
      </c>
      <c r="E3328">
        <v>0.52927690000000005</v>
      </c>
      <c r="F3328" t="s">
        <v>38</v>
      </c>
      <c r="G3328">
        <v>-162.51329999999999</v>
      </c>
      <c r="H3328">
        <v>0.91938500000000001</v>
      </c>
      <c r="I3328">
        <v>145.595</v>
      </c>
      <c r="J3328">
        <v>-163.0857</v>
      </c>
      <c r="K3328">
        <v>1.104295</v>
      </c>
      <c r="L3328">
        <v>145.91460000000001</v>
      </c>
      <c r="M3328">
        <v>0.90335180000000004</v>
      </c>
      <c r="N3328">
        <v>0</v>
      </c>
      <c r="O3328">
        <v>-0.42868040000000002</v>
      </c>
      <c r="P3328">
        <v>0.90690689999999996</v>
      </c>
      <c r="Q3328">
        <v>0.15498789999999901</v>
      </c>
      <c r="R3328">
        <v>-0.39178959999999902</v>
      </c>
      <c r="S3328">
        <v>2.7913209999999999</v>
      </c>
      <c r="T3328">
        <v>-0.87861690000000003</v>
      </c>
      <c r="U3328">
        <v>-1.5520940000000001</v>
      </c>
      <c r="V3328">
        <v>-3.4850810000000003E-2</v>
      </c>
      <c r="W3328">
        <v>0.1685431</v>
      </c>
      <c r="X3328">
        <v>0.98507800000000001</v>
      </c>
      <c r="Y3328">
        <v>7.59325E-2</v>
      </c>
      <c r="Z3328">
        <v>0.106139</v>
      </c>
      <c r="AA3328">
        <v>0.99144779999999999</v>
      </c>
      <c r="AB3328">
        <v>1</v>
      </c>
      <c r="AC3328">
        <v>0.57240000000001601</v>
      </c>
      <c r="AD3328">
        <v>-0.18490999999999999</v>
      </c>
      <c r="AE3328">
        <v>-0.31960000000000799</v>
      </c>
      <c r="AF3328">
        <v>4.01449244200833E-2</v>
      </c>
      <c r="AG3328">
        <v>-0.18490999999999999</v>
      </c>
      <c r="AH3328">
        <v>0.60594078337116697</v>
      </c>
      <c r="AI3328">
        <v>106.93519348833399</v>
      </c>
      <c r="AJ3328">
        <v>86.209566568872802</v>
      </c>
      <c r="AK3328">
        <v>0.634797255829889</v>
      </c>
    </row>
    <row r="3329" spans="1:37" x14ac:dyDescent="0.2">
      <c r="A3329" t="str">
        <f>"20200111150710366"</f>
        <v>20200111150710366</v>
      </c>
      <c r="B3329" t="str">
        <f>"1578726430360268"</f>
        <v>1578726430360268</v>
      </c>
      <c r="C3329" t="s">
        <v>37</v>
      </c>
      <c r="D3329">
        <v>4.8857780000000002</v>
      </c>
      <c r="E3329">
        <v>0.52883469999999999</v>
      </c>
      <c r="F3329" t="s">
        <v>38</v>
      </c>
      <c r="G3329">
        <v>-162.50129999999999</v>
      </c>
      <c r="H3329">
        <v>0.92378760000000004</v>
      </c>
      <c r="I3329">
        <v>145.59049999999999</v>
      </c>
      <c r="J3329">
        <v>-163.0685</v>
      </c>
      <c r="K3329">
        <v>1.104274</v>
      </c>
      <c r="L3329">
        <v>145.90649999999999</v>
      </c>
      <c r="M3329">
        <v>0.90336970000000005</v>
      </c>
      <c r="N3329">
        <v>0</v>
      </c>
      <c r="O3329">
        <v>-0.42865379999999997</v>
      </c>
      <c r="P3329">
        <v>0.90707629999999995</v>
      </c>
      <c r="Q3329">
        <v>0.1535128</v>
      </c>
      <c r="R3329">
        <v>-0.39197769999999998</v>
      </c>
      <c r="S3329">
        <v>2.7875209999999999</v>
      </c>
      <c r="T3329">
        <v>-0.86096309999999998</v>
      </c>
      <c r="U3329">
        <v>-1.545258</v>
      </c>
      <c r="V3329">
        <v>-3.4722259999999998E-2</v>
      </c>
      <c r="W3329">
        <v>0.1667121</v>
      </c>
      <c r="X3329">
        <v>0.98539409999999905</v>
      </c>
      <c r="Y3329">
        <v>7.4320780000000003E-2</v>
      </c>
      <c r="Z3329">
        <v>0.1044885</v>
      </c>
      <c r="AA3329">
        <v>0.99174519999999899</v>
      </c>
      <c r="AB3329">
        <v>1</v>
      </c>
      <c r="AC3329">
        <v>0.56720000000001303</v>
      </c>
      <c r="AD3329">
        <v>-0.18048639999999999</v>
      </c>
      <c r="AE3329">
        <v>-0.316000000000002</v>
      </c>
      <c r="AF3329">
        <v>3.9299466383890203E-2</v>
      </c>
      <c r="AG3329">
        <v>-0.18048639999999999</v>
      </c>
      <c r="AH3329">
        <v>0.60143067883900803</v>
      </c>
      <c r="AI3329">
        <v>106.670669853856</v>
      </c>
      <c r="AJ3329">
        <v>86.261419471276398</v>
      </c>
      <c r="AK3329">
        <v>0.62915709492285699</v>
      </c>
    </row>
    <row r="3330" spans="1:37" x14ac:dyDescent="0.2">
      <c r="A3330" t="str">
        <f>"20200111150710411"</f>
        <v>20200111150710411</v>
      </c>
      <c r="B3330" t="str">
        <f>"1578726430400284"</f>
        <v>1578726430400284</v>
      </c>
      <c r="C3330" t="s">
        <v>37</v>
      </c>
      <c r="D3330">
        <v>4.8878279999999998</v>
      </c>
      <c r="E3330">
        <v>0.580816</v>
      </c>
      <c r="F3330" t="s">
        <v>38</v>
      </c>
      <c r="G3330">
        <v>-162.48070000000001</v>
      </c>
      <c r="H3330">
        <v>0.92544289999999996</v>
      </c>
      <c r="I3330">
        <v>145.58199999999999</v>
      </c>
      <c r="J3330">
        <v>-163.0471</v>
      </c>
      <c r="K3330">
        <v>1.10425</v>
      </c>
      <c r="L3330">
        <v>145.8963</v>
      </c>
      <c r="M3330">
        <v>0.90339069999999899</v>
      </c>
      <c r="N3330">
        <v>0</v>
      </c>
      <c r="O3330">
        <v>-0.42862099999999997</v>
      </c>
      <c r="P3330">
        <v>0.90622769999999997</v>
      </c>
      <c r="Q3330">
        <v>0.15536749999999999</v>
      </c>
      <c r="R3330">
        <v>-0.39320809999999901</v>
      </c>
      <c r="S3330">
        <v>2.7864990000000001</v>
      </c>
      <c r="T3330">
        <v>-0.84776149999999995</v>
      </c>
      <c r="U3330">
        <v>-1.5372619999999999</v>
      </c>
      <c r="V3330">
        <v>-3.3208649999999999E-2</v>
      </c>
      <c r="W3330">
        <v>0.16820929999999901</v>
      </c>
      <c r="X3330">
        <v>0.98519179999999995</v>
      </c>
      <c r="Y3330">
        <v>7.2093679999999993E-2</v>
      </c>
      <c r="Z3330">
        <v>0.1033535</v>
      </c>
      <c r="AA3330">
        <v>0.99202849999999998</v>
      </c>
      <c r="AB3330">
        <v>1</v>
      </c>
      <c r="AC3330">
        <v>0.56639999999998702</v>
      </c>
      <c r="AD3330">
        <v>-0.1788071</v>
      </c>
      <c r="AE3330">
        <v>-0.31430000000000202</v>
      </c>
      <c r="AF3330">
        <v>3.82534308260419E-2</v>
      </c>
      <c r="AG3330">
        <v>-0.1788071</v>
      </c>
      <c r="AH3330">
        <v>0.600680433665439</v>
      </c>
      <c r="AI3330">
        <v>106.545234657826</v>
      </c>
      <c r="AJ3330">
        <v>86.356125077377996</v>
      </c>
      <c r="AK3330">
        <v>0.62789512449840901</v>
      </c>
    </row>
    <row r="3331" spans="1:37" x14ac:dyDescent="0.2">
      <c r="A3331" t="str">
        <f>"20200111150710447"</f>
        <v>20200111150710447</v>
      </c>
      <c r="B3331" t="str">
        <f>"1578726430440809"</f>
        <v>1578726430440809</v>
      </c>
      <c r="C3331" t="s">
        <v>37</v>
      </c>
      <c r="D3331">
        <v>4.9523679999999999</v>
      </c>
      <c r="E3331">
        <v>0.5845418</v>
      </c>
      <c r="F3331" t="s">
        <v>38</v>
      </c>
      <c r="G3331">
        <v>-162.49279999999999</v>
      </c>
      <c r="H3331">
        <v>0.93802619999999903</v>
      </c>
      <c r="I3331">
        <v>145.4907</v>
      </c>
      <c r="J3331">
        <v>-163.02979999999999</v>
      </c>
      <c r="K3331">
        <v>1.1042259999999999</v>
      </c>
      <c r="L3331">
        <v>145.88820000000001</v>
      </c>
      <c r="M3331">
        <v>0.90340659999999895</v>
      </c>
      <c r="N3331">
        <v>0</v>
      </c>
      <c r="O3331">
        <v>-0.42859380000000002</v>
      </c>
      <c r="P3331">
        <v>0.90527729999999995</v>
      </c>
      <c r="Q3331">
        <v>0.15642039999999999</v>
      </c>
      <c r="R3331">
        <v>-0.39497569999999999</v>
      </c>
      <c r="S3331">
        <v>2.6149749999999998</v>
      </c>
      <c r="T3331">
        <v>-0.78421319999999906</v>
      </c>
      <c r="U3331">
        <v>-1.912674</v>
      </c>
      <c r="V3331">
        <v>-3.1172769999999999E-2</v>
      </c>
      <c r="W3331">
        <v>0.16904129999999901</v>
      </c>
      <c r="X3331">
        <v>0.98511589999999905</v>
      </c>
      <c r="Y3331">
        <v>0.19312589999999999</v>
      </c>
      <c r="Z3331">
        <v>8.1031580000000006E-2</v>
      </c>
      <c r="AA3331">
        <v>0.97782219999999997</v>
      </c>
      <c r="AB3331">
        <v>1</v>
      </c>
      <c r="AC3331">
        <v>0.53700000000000603</v>
      </c>
      <c r="AD3331">
        <v>-0.16619979999999901</v>
      </c>
      <c r="AE3331">
        <v>-0.39750000000000701</v>
      </c>
      <c r="AF3331">
        <v>0.121444642068089</v>
      </c>
      <c r="AG3331">
        <v>-0.16619979999999901</v>
      </c>
      <c r="AH3331">
        <v>0.61734674668247802</v>
      </c>
      <c r="AI3331">
        <v>104.796903474367</v>
      </c>
      <c r="AJ3331">
        <v>78.870866070526702</v>
      </c>
      <c r="AK3331">
        <v>0.65075969470037598</v>
      </c>
    </row>
    <row r="3332" spans="1:37" x14ac:dyDescent="0.2">
      <c r="A3332" t="str">
        <f>"20200111150710489"</f>
        <v>20200111150710489</v>
      </c>
      <c r="B3332" t="str">
        <f>"1578726430480827"</f>
        <v>1578726430480827</v>
      </c>
      <c r="C3332" t="s">
        <v>37</v>
      </c>
      <c r="D3332">
        <v>4.879448</v>
      </c>
      <c r="E3332">
        <v>0.59007240000000005</v>
      </c>
      <c r="F3332" t="s">
        <v>38</v>
      </c>
      <c r="G3332">
        <v>-162.47819999999999</v>
      </c>
      <c r="H3332">
        <v>0.93488189999999904</v>
      </c>
      <c r="I3332">
        <v>145.4751</v>
      </c>
      <c r="J3332">
        <v>-163.00960000000001</v>
      </c>
      <c r="K3332">
        <v>1.104177</v>
      </c>
      <c r="L3332">
        <v>145.87860000000001</v>
      </c>
      <c r="M3332">
        <v>0.90342469999999997</v>
      </c>
      <c r="N3332">
        <v>0</v>
      </c>
      <c r="O3332">
        <v>-0.428562</v>
      </c>
      <c r="P3332">
        <v>0.90425519999999904</v>
      </c>
      <c r="Q3332">
        <v>0.15650510000000001</v>
      </c>
      <c r="R3332">
        <v>-0.3972772</v>
      </c>
      <c r="S3332">
        <v>2.6019290000000002</v>
      </c>
      <c r="T3332">
        <v>-0.79874529999999999</v>
      </c>
      <c r="U3332">
        <v>-1.9481200000000001</v>
      </c>
      <c r="V3332">
        <v>-2.8619269999999999E-2</v>
      </c>
      <c r="W3332">
        <v>0.16892470000000001</v>
      </c>
      <c r="X3332">
        <v>0.98521329999999996</v>
      </c>
      <c r="Y3332">
        <v>0.20398440000000001</v>
      </c>
      <c r="Z3332">
        <v>8.0993499999999996E-2</v>
      </c>
      <c r="AA3332">
        <v>0.97561790000000004</v>
      </c>
      <c r="AB3332">
        <v>1</v>
      </c>
      <c r="AC3332">
        <v>0.53140000000001897</v>
      </c>
      <c r="AD3332">
        <v>-0.1692951</v>
      </c>
      <c r="AE3332">
        <v>-0.40350000000000802</v>
      </c>
      <c r="AF3332">
        <v>0.12853036882142799</v>
      </c>
      <c r="AG3332">
        <v>-0.1692951</v>
      </c>
      <c r="AH3332">
        <v>0.61355700382929101</v>
      </c>
      <c r="AI3332">
        <v>105.112884893062</v>
      </c>
      <c r="AJ3332">
        <v>78.168540294803194</v>
      </c>
      <c r="AK3332">
        <v>0.64933279875681504</v>
      </c>
    </row>
    <row r="3333" spans="1:37" x14ac:dyDescent="0.2">
      <c r="A3333" t="str">
        <f>"20200111150710522"</f>
        <v>20200111150710522</v>
      </c>
      <c r="B3333" t="str">
        <f>"1578726430510105"</f>
        <v>1578726430510105</v>
      </c>
      <c r="C3333" t="s">
        <v>37</v>
      </c>
      <c r="D3333">
        <v>4.963514</v>
      </c>
      <c r="E3333">
        <v>0.59173999999999904</v>
      </c>
      <c r="F3333" t="s">
        <v>38</v>
      </c>
      <c r="G3333">
        <v>-162.46080000000001</v>
      </c>
      <c r="H3333">
        <v>0.94194319999999898</v>
      </c>
      <c r="I3333">
        <v>145.45400000000001</v>
      </c>
      <c r="J3333">
        <v>-162.994</v>
      </c>
      <c r="K3333">
        <v>1.1041449999999999</v>
      </c>
      <c r="L3333">
        <v>145.87119999999999</v>
      </c>
      <c r="M3333">
        <v>0.90343819999999997</v>
      </c>
      <c r="N3333">
        <v>0</v>
      </c>
      <c r="O3333">
        <v>-0.42853720000000001</v>
      </c>
      <c r="P3333">
        <v>0.90409660000000003</v>
      </c>
      <c r="Q3333">
        <v>0.15558810000000001</v>
      </c>
      <c r="R3333">
        <v>-0.39799759999999901</v>
      </c>
      <c r="S3333">
        <v>2.5745390000000001</v>
      </c>
      <c r="T3333">
        <v>-0.76107799999999903</v>
      </c>
      <c r="U3333">
        <v>-1.99128699999999</v>
      </c>
      <c r="V3333">
        <v>-2.7872600000000001E-2</v>
      </c>
      <c r="W3333">
        <v>0.1678897</v>
      </c>
      <c r="X3333">
        <v>0.98541159999999905</v>
      </c>
      <c r="Y3333">
        <v>0.218444</v>
      </c>
      <c r="Z3333">
        <v>7.5636159999999994E-2</v>
      </c>
      <c r="AA3333">
        <v>0.9729139</v>
      </c>
      <c r="AB3333">
        <v>1</v>
      </c>
      <c r="AC3333">
        <v>0.53319999999999301</v>
      </c>
      <c r="AD3333">
        <v>-0.16220180000000001</v>
      </c>
      <c r="AE3333">
        <v>-0.41719999999997898</v>
      </c>
      <c r="AF3333">
        <v>0.14037261971564399</v>
      </c>
      <c r="AG3333">
        <v>-0.16220180000000001</v>
      </c>
      <c r="AH3333">
        <v>0.62469331102718095</v>
      </c>
      <c r="AI3333">
        <v>104.215850224306</v>
      </c>
      <c r="AJ3333">
        <v>77.335625946414794</v>
      </c>
      <c r="AK3333">
        <v>0.66049650198254295</v>
      </c>
    </row>
    <row r="3334" spans="1:37" x14ac:dyDescent="0.2">
      <c r="A3334" t="str">
        <f>"20200111150710556"</f>
        <v>20200111150710556</v>
      </c>
      <c r="B3334" t="str">
        <f>"1578726430550123"</f>
        <v>1578726430550123</v>
      </c>
      <c r="C3334" t="s">
        <v>37</v>
      </c>
      <c r="D3334">
        <v>5.2271859999999997</v>
      </c>
      <c r="E3334">
        <v>0.59072119999999995</v>
      </c>
      <c r="F3334" t="s">
        <v>38</v>
      </c>
      <c r="G3334">
        <v>-162.44399999999999</v>
      </c>
      <c r="H3334">
        <v>0.94033339999999999</v>
      </c>
      <c r="I3334">
        <v>145.44220000000001</v>
      </c>
      <c r="J3334">
        <v>-162.97819999999999</v>
      </c>
      <c r="K3334">
        <v>1.1041219999999901</v>
      </c>
      <c r="L3334">
        <v>145.86369999999999</v>
      </c>
      <c r="M3334">
        <v>0.90345140000000002</v>
      </c>
      <c r="N3334">
        <v>0</v>
      </c>
      <c r="O3334">
        <v>-0.4285119</v>
      </c>
      <c r="P3334">
        <v>0.90377160000000001</v>
      </c>
      <c r="Q3334">
        <v>0.15443509999999999</v>
      </c>
      <c r="R3334">
        <v>-0.39918239999999999</v>
      </c>
      <c r="S3334">
        <v>2.56834399999999</v>
      </c>
      <c r="T3334">
        <v>-0.76489229999999997</v>
      </c>
      <c r="U3334">
        <v>-2.002472</v>
      </c>
      <c r="V3334">
        <v>-2.6634069999999999E-2</v>
      </c>
      <c r="W3334">
        <v>0.1666387</v>
      </c>
      <c r="X3334">
        <v>0.98565820000000004</v>
      </c>
      <c r="Y3334">
        <v>0.2222034</v>
      </c>
      <c r="Z3334">
        <v>7.5545399999999999E-2</v>
      </c>
      <c r="AA3334">
        <v>0.97206919999999897</v>
      </c>
      <c r="AB3334">
        <v>1</v>
      </c>
      <c r="AC3334">
        <v>0.53419999999999801</v>
      </c>
      <c r="AD3334">
        <v>-0.16378859999999901</v>
      </c>
      <c r="AE3334">
        <v>-0.42149999999998</v>
      </c>
      <c r="AF3334">
        <v>0.14358636672776501</v>
      </c>
      <c r="AG3334">
        <v>-0.16378859999999901</v>
      </c>
      <c r="AH3334">
        <v>0.62696762731227396</v>
      </c>
      <c r="AI3334">
        <v>104.286543455255</v>
      </c>
      <c r="AJ3334">
        <v>77.100728422414093</v>
      </c>
      <c r="AK3334">
        <v>0.66372596445944698</v>
      </c>
    </row>
    <row r="3335" spans="1:37" x14ac:dyDescent="0.2">
      <c r="A3335" t="str">
        <f>"20200111150710589"</f>
        <v>20200111150710589</v>
      </c>
      <c r="B3335" t="str">
        <f>"1578726430580376"</f>
        <v>1578726430580376</v>
      </c>
      <c r="C3335" t="s">
        <v>37</v>
      </c>
      <c r="D3335">
        <v>5.1437379999999999</v>
      </c>
      <c r="E3335">
        <v>0.59032150000000005</v>
      </c>
      <c r="F3335" t="s">
        <v>38</v>
      </c>
      <c r="G3335">
        <v>-162.42490000000001</v>
      </c>
      <c r="H3335">
        <v>0.94078329999999999</v>
      </c>
      <c r="I3335">
        <v>145.43360000000001</v>
      </c>
      <c r="J3335">
        <v>-162.96260000000001</v>
      </c>
      <c r="K3335">
        <v>1.104101</v>
      </c>
      <c r="L3335">
        <v>145.8563</v>
      </c>
      <c r="M3335">
        <v>0.90346439999999995</v>
      </c>
      <c r="N3335">
        <v>0</v>
      </c>
      <c r="O3335">
        <v>-0.428486799999999</v>
      </c>
      <c r="P3335">
        <v>0.903335</v>
      </c>
      <c r="Q3335">
        <v>0.153002799999999</v>
      </c>
      <c r="R3335">
        <v>-0.40071899999999999</v>
      </c>
      <c r="S3335">
        <v>2.5677639999999999</v>
      </c>
      <c r="T3335">
        <v>-0.75800129999999999</v>
      </c>
      <c r="U3335">
        <v>-1.9950410000000001</v>
      </c>
      <c r="V3335">
        <v>-2.5030730000000001E-2</v>
      </c>
      <c r="W3335">
        <v>0.16513120000000001</v>
      </c>
      <c r="X3335">
        <v>0.98595390000000005</v>
      </c>
      <c r="Y3335">
        <v>0.22055259999999999</v>
      </c>
      <c r="Z3335">
        <v>7.5169490000000005E-2</v>
      </c>
      <c r="AA3335">
        <v>0.97247419999999996</v>
      </c>
      <c r="AB3335">
        <v>1</v>
      </c>
      <c r="AC3335">
        <v>0.53770000000000095</v>
      </c>
      <c r="AD3335">
        <v>-0.16331769999999901</v>
      </c>
      <c r="AE3335">
        <v>-0.42269999999999103</v>
      </c>
      <c r="AF3335">
        <v>0.14333582467825901</v>
      </c>
      <c r="AG3335">
        <v>-0.16331769999999901</v>
      </c>
      <c r="AH3335">
        <v>0.63098716463807303</v>
      </c>
      <c r="AI3335">
        <v>104.165517094731</v>
      </c>
      <c r="AJ3335">
        <v>77.201808269357201</v>
      </c>
      <c r="AK3335">
        <v>0.66735495181161397</v>
      </c>
    </row>
    <row r="3336" spans="1:37" x14ac:dyDescent="0.2">
      <c r="A3336" t="str">
        <f>"20200111150710623"</f>
        <v>20200111150710623</v>
      </c>
      <c r="B3336" t="str">
        <f>"1578726430620392"</f>
        <v>1578726430620392</v>
      </c>
      <c r="C3336" t="s">
        <v>37</v>
      </c>
      <c r="D3336">
        <v>5.201263</v>
      </c>
      <c r="E3336">
        <v>0.59039869999999905</v>
      </c>
      <c r="F3336" t="s">
        <v>38</v>
      </c>
      <c r="G3336">
        <v>-162.4145</v>
      </c>
      <c r="H3336">
        <v>0.94238109999999997</v>
      </c>
      <c r="I3336">
        <v>145.4299</v>
      </c>
      <c r="J3336">
        <v>-162.94710000000001</v>
      </c>
      <c r="K3336">
        <v>1.104079</v>
      </c>
      <c r="L3336">
        <v>145.84899999999999</v>
      </c>
      <c r="M3336">
        <v>0.90347719999999898</v>
      </c>
      <c r="N3336">
        <v>0</v>
      </c>
      <c r="O3336">
        <v>-0.42846229999999902</v>
      </c>
      <c r="P3336">
        <v>0.90281559999999905</v>
      </c>
      <c r="Q3336">
        <v>0.15323999999999999</v>
      </c>
      <c r="R3336">
        <v>-0.40179819999999999</v>
      </c>
      <c r="S3336">
        <v>2.56455999999999</v>
      </c>
      <c r="T3336">
        <v>-0.75658419999999904</v>
      </c>
      <c r="U3336">
        <v>-1.994186</v>
      </c>
      <c r="V3336">
        <v>-2.3806230000000001E-2</v>
      </c>
      <c r="W3336">
        <v>0.1653056</v>
      </c>
      <c r="X3336">
        <v>0.98595499999999903</v>
      </c>
      <c r="Y3336">
        <v>0.2209487</v>
      </c>
      <c r="Z3336">
        <v>7.5053129999999996E-2</v>
      </c>
      <c r="AA3336">
        <v>0.97239330000000002</v>
      </c>
      <c r="AB3336">
        <v>1</v>
      </c>
      <c r="AC3336">
        <v>0.53260000000000196</v>
      </c>
      <c r="AD3336">
        <v>-0.16169790000000001</v>
      </c>
      <c r="AE3336">
        <v>-0.41909999999998598</v>
      </c>
      <c r="AF3336">
        <v>0.14235583809983901</v>
      </c>
      <c r="AG3336">
        <v>-0.16169790000000001</v>
      </c>
      <c r="AH3336">
        <v>0.62521897722165698</v>
      </c>
      <c r="AI3336">
        <v>104.153309526082</v>
      </c>
      <c r="AJ3336">
        <v>77.173025876548294</v>
      </c>
      <c r="AK3336">
        <v>0.66129431041224995</v>
      </c>
    </row>
    <row r="3337" spans="1:37" x14ac:dyDescent="0.2">
      <c r="A3337" t="str">
        <f>"20200111150710657"</f>
        <v>20200111150710657</v>
      </c>
      <c r="B3337" t="str">
        <f>"1578726430650648"</f>
        <v>1578726430650648</v>
      </c>
      <c r="C3337" t="s">
        <v>37</v>
      </c>
      <c r="D3337">
        <v>5.1870649999999996</v>
      </c>
      <c r="E3337">
        <v>0.58937359999999905</v>
      </c>
      <c r="F3337" t="s">
        <v>38</v>
      </c>
      <c r="G3337">
        <v>-162.39689999999999</v>
      </c>
      <c r="H3337">
        <v>0.94146109999999905</v>
      </c>
      <c r="I3337">
        <v>145.41999999999999</v>
      </c>
      <c r="J3337">
        <v>-162.93129999999999</v>
      </c>
      <c r="K3337">
        <v>1.104052</v>
      </c>
      <c r="L3337">
        <v>145.8415</v>
      </c>
      <c r="M3337">
        <v>0.90348980000000001</v>
      </c>
      <c r="N3337">
        <v>0</v>
      </c>
      <c r="O3337">
        <v>-0.42843679999999901</v>
      </c>
      <c r="P3337">
        <v>0.902717199999999</v>
      </c>
      <c r="Q3337">
        <v>0.15385839999999901</v>
      </c>
      <c r="R3337">
        <v>-0.40178239999999998</v>
      </c>
      <c r="S3337">
        <v>2.5626829999999998</v>
      </c>
      <c r="T3337">
        <v>-0.75739990000000001</v>
      </c>
      <c r="U3337">
        <v>-1.997131</v>
      </c>
      <c r="V3337">
        <v>-2.3749880000000001E-2</v>
      </c>
      <c r="W3337">
        <v>0.1658714</v>
      </c>
      <c r="X3337">
        <v>0.9858614</v>
      </c>
      <c r="Y3337">
        <v>0.22200239999999999</v>
      </c>
      <c r="Z3337">
        <v>7.5004660000000001E-2</v>
      </c>
      <c r="AA3337">
        <v>0.97215699999999905</v>
      </c>
      <c r="AB3337">
        <v>1</v>
      </c>
      <c r="AC3337">
        <v>0.53440000000000498</v>
      </c>
      <c r="AD3337">
        <v>-0.16259090000000001</v>
      </c>
      <c r="AE3337">
        <v>-0.42150000000000798</v>
      </c>
      <c r="AF3337">
        <v>0.14367645961874601</v>
      </c>
      <c r="AG3337">
        <v>-0.16259090000000001</v>
      </c>
      <c r="AH3337">
        <v>0.62764281576186498</v>
      </c>
      <c r="AI3337">
        <v>104.1719640826</v>
      </c>
      <c r="AJ3337">
        <v>77.106326342545998</v>
      </c>
      <c r="AK3337">
        <v>0.66408902263843395</v>
      </c>
    </row>
    <row r="3338" spans="1:37" x14ac:dyDescent="0.2">
      <c r="A3338" t="str">
        <f>"20200111150710689"</f>
        <v>20200111150710689</v>
      </c>
      <c r="B3338" t="str">
        <f>"1578726430680907"</f>
        <v>1578726430680907</v>
      </c>
      <c r="C3338" t="s">
        <v>37</v>
      </c>
      <c r="D3338">
        <v>9.5261279999999999</v>
      </c>
      <c r="E3338">
        <v>0.58898490000000003</v>
      </c>
      <c r="F3338" t="s">
        <v>38</v>
      </c>
      <c r="G3338">
        <v>-162.3784</v>
      </c>
      <c r="H3338">
        <v>0.94001979999999996</v>
      </c>
      <c r="I3338">
        <v>145.41319999999999</v>
      </c>
      <c r="J3338">
        <v>-162.91630000000001</v>
      </c>
      <c r="K3338">
        <v>1.1040299999999901</v>
      </c>
      <c r="L3338">
        <v>145.83439999999999</v>
      </c>
      <c r="M3338">
        <v>0.90350180000000002</v>
      </c>
      <c r="N3338">
        <v>0</v>
      </c>
      <c r="O3338">
        <v>-0.42841269999999998</v>
      </c>
      <c r="P3338">
        <v>0.90251759999999903</v>
      </c>
      <c r="Q3338">
        <v>0.15470680000000001</v>
      </c>
      <c r="R3338">
        <v>-0.40190569999999998</v>
      </c>
      <c r="S3338">
        <v>2.567993</v>
      </c>
      <c r="T3338">
        <v>-0.76179280000000005</v>
      </c>
      <c r="U3338">
        <v>-1.9887079999999999</v>
      </c>
      <c r="V3338">
        <v>-2.3526149999999999E-2</v>
      </c>
      <c r="W3338">
        <v>0.1666792</v>
      </c>
      <c r="X3338">
        <v>0.98573049999999995</v>
      </c>
      <c r="Y3338">
        <v>0.21917790000000001</v>
      </c>
      <c r="Z3338">
        <v>7.5747549999999997E-2</v>
      </c>
      <c r="AA3338">
        <v>0.9727401</v>
      </c>
      <c r="AB3338">
        <v>1</v>
      </c>
      <c r="AC3338">
        <v>0.53790000000000704</v>
      </c>
      <c r="AD3338">
        <v>-0.164010199999999</v>
      </c>
      <c r="AE3338">
        <v>-0.42119999999999802</v>
      </c>
      <c r="AF3338">
        <v>0.141942425545277</v>
      </c>
      <c r="AG3338">
        <v>-0.164010199999999</v>
      </c>
      <c r="AH3338">
        <v>0.63017217608623899</v>
      </c>
      <c r="AI3338">
        <v>104.24643364108699</v>
      </c>
      <c r="AJ3338">
        <v>77.306317260148802</v>
      </c>
      <c r="AK3338">
        <v>0.66645627717576605</v>
      </c>
    </row>
    <row r="3339" spans="1:37" x14ac:dyDescent="0.2">
      <c r="A3339" t="str">
        <f>"20200111150710723"</f>
        <v>20200111150710723</v>
      </c>
      <c r="B3339" t="str">
        <f>"1578726430720921"</f>
        <v>1578726430720921</v>
      </c>
      <c r="C3339" t="s">
        <v>37</v>
      </c>
      <c r="D3339">
        <v>5.0674830000000002</v>
      </c>
      <c r="E3339">
        <v>0.53724629999999995</v>
      </c>
      <c r="F3339" t="s">
        <v>38</v>
      </c>
      <c r="G3339">
        <v>-162.36770000000001</v>
      </c>
      <c r="H3339">
        <v>0.94131900000000002</v>
      </c>
      <c r="I3339">
        <v>145.4109</v>
      </c>
      <c r="J3339">
        <v>-162.90100000000001</v>
      </c>
      <c r="K3339">
        <v>1.104015</v>
      </c>
      <c r="L3339">
        <v>145.8271</v>
      </c>
      <c r="M3339">
        <v>0.90351380000000003</v>
      </c>
      <c r="N3339">
        <v>0</v>
      </c>
      <c r="O3339">
        <v>-0.42838809999999899</v>
      </c>
      <c r="P3339">
        <v>0.90143109999999904</v>
      </c>
      <c r="Q3339">
        <v>0.15517449999999999</v>
      </c>
      <c r="R3339">
        <v>-0.40415679999999998</v>
      </c>
      <c r="S3339">
        <v>2.5711360000000001</v>
      </c>
      <c r="T3339">
        <v>-0.76258499999999996</v>
      </c>
      <c r="U3339">
        <v>-1.9842379999999999</v>
      </c>
      <c r="V3339">
        <v>-2.0999489999999999E-2</v>
      </c>
      <c r="W3339">
        <v>0.16711500000000001</v>
      </c>
      <c r="X3339">
        <v>0.98571379999999997</v>
      </c>
      <c r="Y3339">
        <v>0.21761320000000001</v>
      </c>
      <c r="Z3339">
        <v>7.5992749999999998E-2</v>
      </c>
      <c r="AA3339">
        <v>0.97307219999999905</v>
      </c>
      <c r="AB3339">
        <v>1</v>
      </c>
      <c r="AC3339">
        <v>0.533299999999997</v>
      </c>
      <c r="AD3339">
        <v>-0.16269599999999901</v>
      </c>
      <c r="AE3339">
        <v>-0.41620000000000301</v>
      </c>
      <c r="AF3339">
        <v>0.13952364926114799</v>
      </c>
      <c r="AG3339">
        <v>-0.16269599999999901</v>
      </c>
      <c r="AH3339">
        <v>0.62408925044442298</v>
      </c>
      <c r="AI3339">
        <v>104.273975103477</v>
      </c>
      <c r="AJ3339">
        <v>77.397973713542797</v>
      </c>
      <c r="AK3339">
        <v>0.65986682720032996</v>
      </c>
    </row>
    <row r="3340" spans="1:37" x14ac:dyDescent="0.2">
      <c r="A3340" t="str">
        <f>"20200111150710758"</f>
        <v>20200111150710758</v>
      </c>
      <c r="B3340" t="str">
        <f>"1578726430750204"</f>
        <v>1578726430750204</v>
      </c>
      <c r="C3340" t="s">
        <v>37</v>
      </c>
      <c r="D3340">
        <v>4.6759849999999998</v>
      </c>
      <c r="E3340">
        <v>0.51484659999999904</v>
      </c>
      <c r="F3340" t="s">
        <v>38</v>
      </c>
      <c r="G3340">
        <v>-162.33609999999999</v>
      </c>
      <c r="H3340">
        <v>0.88831190000000004</v>
      </c>
      <c r="I3340">
        <v>145.4922</v>
      </c>
      <c r="J3340">
        <v>-162.88560000000001</v>
      </c>
      <c r="K3340">
        <v>1.103998</v>
      </c>
      <c r="L3340">
        <v>145.81989999999999</v>
      </c>
      <c r="M3340">
        <v>0.90352589999999999</v>
      </c>
      <c r="N3340">
        <v>0</v>
      </c>
      <c r="O3340">
        <v>-0.4283632</v>
      </c>
      <c r="P3340">
        <v>0.90085409999999899</v>
      </c>
      <c r="Q3340">
        <v>0.1548745</v>
      </c>
      <c r="R3340">
        <v>-0.40555629999999998</v>
      </c>
      <c r="S3340">
        <v>2.7733310000000002</v>
      </c>
      <c r="T3340">
        <v>-1.0588109999999999</v>
      </c>
      <c r="U3340">
        <v>-1.6437379999999999</v>
      </c>
      <c r="V3340">
        <v>-1.9460749999999999E-2</v>
      </c>
      <c r="W3340">
        <v>0.1667901</v>
      </c>
      <c r="X3340">
        <v>0.98580029999999996</v>
      </c>
      <c r="Y3340">
        <v>0.1069488</v>
      </c>
      <c r="Z3340">
        <v>0.12098349999999999</v>
      </c>
      <c r="AA3340">
        <v>0.98687639999999999</v>
      </c>
      <c r="AB3340">
        <v>1</v>
      </c>
      <c r="AC3340">
        <v>0.54950000000002297</v>
      </c>
      <c r="AD3340">
        <v>-0.21568609999999999</v>
      </c>
      <c r="AE3340">
        <v>-0.327699999999993</v>
      </c>
      <c r="AF3340">
        <v>5.4509391329052699E-2</v>
      </c>
      <c r="AG3340">
        <v>-0.21568609999999999</v>
      </c>
      <c r="AH3340">
        <v>0.57191179902123801</v>
      </c>
      <c r="AI3340">
        <v>110.57766074191601</v>
      </c>
      <c r="AJ3340">
        <v>84.555537756659206</v>
      </c>
      <c r="AK3340">
        <v>0.61365696715345996</v>
      </c>
    </row>
    <row r="3341" spans="1:37" x14ac:dyDescent="0.2">
      <c r="A3341" t="str">
        <f>"20200111150710790"</f>
        <v>20200111150710790</v>
      </c>
      <c r="B3341" t="str">
        <f>"1578726430780457"</f>
        <v>1578726430780457</v>
      </c>
      <c r="C3341" t="s">
        <v>37</v>
      </c>
      <c r="D3341">
        <v>5.007288</v>
      </c>
      <c r="E3341">
        <v>0.46399999999999902</v>
      </c>
      <c r="F3341" t="s">
        <v>38</v>
      </c>
      <c r="G3341">
        <v>-162.3057</v>
      </c>
      <c r="H3341">
        <v>0.87797899999999995</v>
      </c>
      <c r="I3341">
        <v>145.5162</v>
      </c>
      <c r="J3341">
        <v>-162.8708</v>
      </c>
      <c r="K3341">
        <v>1.1039969999999999</v>
      </c>
      <c r="L3341">
        <v>145.81290000000001</v>
      </c>
      <c r="M3341">
        <v>0.90353779999999995</v>
      </c>
      <c r="N3341">
        <v>0</v>
      </c>
      <c r="O3341">
        <v>-0.42833939999999998</v>
      </c>
      <c r="P3341">
        <v>0.90068930000000003</v>
      </c>
      <c r="Q3341">
        <v>0.15573219999999999</v>
      </c>
      <c r="R3341">
        <v>-0.40559429999999902</v>
      </c>
      <c r="S3341">
        <v>2.8495330000000001</v>
      </c>
      <c r="T3341">
        <v>-1.110525</v>
      </c>
      <c r="U3341">
        <v>-1.49173</v>
      </c>
      <c r="V3341">
        <v>-1.9329160000000001E-2</v>
      </c>
      <c r="W3341">
        <v>0.16762650000000001</v>
      </c>
      <c r="X3341">
        <v>0.98566109999999896</v>
      </c>
      <c r="Y3341">
        <v>5.8607470000000002E-2</v>
      </c>
      <c r="Z3341">
        <v>0.13413269999999999</v>
      </c>
      <c r="AA3341">
        <v>0.98922880000000002</v>
      </c>
      <c r="AB3341">
        <v>1</v>
      </c>
      <c r="AC3341">
        <v>0.56510000000000005</v>
      </c>
      <c r="AD3341">
        <v>-0.226017999999999</v>
      </c>
      <c r="AE3341">
        <v>-0.29670000000001501</v>
      </c>
      <c r="AF3341">
        <v>2.3126844180836201E-2</v>
      </c>
      <c r="AG3341">
        <v>-0.226017999999999</v>
      </c>
      <c r="AH3341">
        <v>0.56666392242672403</v>
      </c>
      <c r="AI3341">
        <v>111.72854081830501</v>
      </c>
      <c r="AJ3341">
        <v>87.662925855486606</v>
      </c>
      <c r="AK3341">
        <v>0.61051370846673503</v>
      </c>
    </row>
    <row r="3342" spans="1:37" x14ac:dyDescent="0.2">
      <c r="A3342" t="str">
        <f>"20200111150710824"</f>
        <v>20200111150710824</v>
      </c>
      <c r="B3342" t="str">
        <f>"1578726430820473"</f>
        <v>1578726430820473</v>
      </c>
      <c r="C3342" t="s">
        <v>37</v>
      </c>
      <c r="D3342">
        <v>5.6695070000000003</v>
      </c>
      <c r="E3342">
        <v>0.462752</v>
      </c>
      <c r="F3342" t="s">
        <v>38</v>
      </c>
      <c r="G3342">
        <v>-162.23830000000001</v>
      </c>
      <c r="H3342">
        <v>0.92044709999999996</v>
      </c>
      <c r="I3342">
        <v>145.58170000000001</v>
      </c>
      <c r="J3342">
        <v>-162.85579999999999</v>
      </c>
      <c r="K3342">
        <v>1.1039859999999999</v>
      </c>
      <c r="L3342">
        <v>145.8058</v>
      </c>
      <c r="M3342">
        <v>0.90354899999999905</v>
      </c>
      <c r="N3342">
        <v>0</v>
      </c>
      <c r="O3342">
        <v>-0.42831570000000002</v>
      </c>
      <c r="P3342">
        <v>0.90136190000000005</v>
      </c>
      <c r="Q3342">
        <v>0.1572472</v>
      </c>
      <c r="R3342">
        <v>-0.40350989999999998</v>
      </c>
      <c r="S3342">
        <v>2.9891200000000002</v>
      </c>
      <c r="T3342">
        <v>-0.86736919999999995</v>
      </c>
      <c r="U3342">
        <v>-1.091782</v>
      </c>
      <c r="V3342">
        <v>-2.1474279999999998E-2</v>
      </c>
      <c r="W3342">
        <v>0.1691221</v>
      </c>
      <c r="X3342">
        <v>0.98536119999999905</v>
      </c>
      <c r="Y3342">
        <v>-7.5432269999999996E-2</v>
      </c>
      <c r="Z3342">
        <v>0.123438899999999</v>
      </c>
      <c r="AA3342">
        <v>0.9894811</v>
      </c>
      <c r="AB3342">
        <v>1</v>
      </c>
      <c r="AC3342">
        <v>0.61749999999997796</v>
      </c>
      <c r="AD3342">
        <v>-0.1835389</v>
      </c>
      <c r="AE3342">
        <v>-0.224099999999992</v>
      </c>
      <c r="AF3342">
        <v>-5.75143329929311E-2</v>
      </c>
      <c r="AG3342">
        <v>-0.1835389</v>
      </c>
      <c r="AH3342">
        <v>0.60661955952479896</v>
      </c>
      <c r="AI3342">
        <v>106.762793004747</v>
      </c>
      <c r="AJ3342">
        <v>95.416092050798895</v>
      </c>
      <c r="AK3342">
        <v>0.63638173788292596</v>
      </c>
    </row>
    <row r="3343" spans="1:37" x14ac:dyDescent="0.2">
      <c r="A3343" t="str">
        <f>"20200111150710857"</f>
        <v>20200111150710857</v>
      </c>
      <c r="B3343" t="str">
        <f>"1578726430850741"</f>
        <v>1578726430850741</v>
      </c>
      <c r="C3343" t="s">
        <v>37</v>
      </c>
      <c r="D3343">
        <v>5.8810000000000002</v>
      </c>
      <c r="E3343">
        <v>0.46049449999999997</v>
      </c>
      <c r="F3343" t="s">
        <v>38</v>
      </c>
      <c r="G3343">
        <v>-162.2159</v>
      </c>
      <c r="H3343">
        <v>0.92656589999999905</v>
      </c>
      <c r="I3343">
        <v>145.5762</v>
      </c>
      <c r="J3343">
        <v>-162.84100000000001</v>
      </c>
      <c r="K3343">
        <v>1.103958</v>
      </c>
      <c r="L3343">
        <v>145.7988</v>
      </c>
      <c r="M3343">
        <v>0.90355959999999902</v>
      </c>
      <c r="N3343">
        <v>0</v>
      </c>
      <c r="O3343">
        <v>-0.4282938</v>
      </c>
      <c r="P3343">
        <v>0.9038638</v>
      </c>
      <c r="Q3343">
        <v>0.15591569999999999</v>
      </c>
      <c r="R3343">
        <v>-0.398397</v>
      </c>
      <c r="S3343">
        <v>2.992645</v>
      </c>
      <c r="T3343">
        <v>-0.82974029999999999</v>
      </c>
      <c r="U3343">
        <v>-1.073105</v>
      </c>
      <c r="V3343">
        <v>-2.714198E-2</v>
      </c>
      <c r="W3343">
        <v>0.16777919999999999</v>
      </c>
      <c r="X3343">
        <v>0.98545090000000002</v>
      </c>
      <c r="Y3343">
        <v>-8.2424609999999995E-2</v>
      </c>
      <c r="Z3343">
        <v>0.1192083</v>
      </c>
      <c r="AA3343">
        <v>0.98944209999999999</v>
      </c>
      <c r="AB3343">
        <v>1</v>
      </c>
      <c r="AC3343">
        <v>0.62510000000000299</v>
      </c>
      <c r="AD3343">
        <v>-0.1773921</v>
      </c>
      <c r="AE3343">
        <v>-0.22259999999999899</v>
      </c>
      <c r="AF3343">
        <v>-6.2156613073657399E-2</v>
      </c>
      <c r="AG3343">
        <v>-0.1773921</v>
      </c>
      <c r="AH3343">
        <v>0.61616421502412</v>
      </c>
      <c r="AI3343">
        <v>105.98402602365501</v>
      </c>
      <c r="AJ3343">
        <v>95.760322716757997</v>
      </c>
      <c r="AK3343">
        <v>0.64419697419926503</v>
      </c>
    </row>
    <row r="3344" spans="1:37" x14ac:dyDescent="0.2">
      <c r="A3344" t="str">
        <f>"20200111150710889"</f>
        <v>20200111150710889</v>
      </c>
      <c r="B3344" t="str">
        <f>"1578726430880010"</f>
        <v>1578726430880010</v>
      </c>
      <c r="C3344" t="s">
        <v>37</v>
      </c>
      <c r="D3344">
        <v>5.4798549999999997</v>
      </c>
      <c r="E3344">
        <v>0.46033239999999997</v>
      </c>
      <c r="F3344" t="s">
        <v>38</v>
      </c>
      <c r="G3344">
        <v>-162.19059999999999</v>
      </c>
      <c r="H3344">
        <v>0.93539879999999997</v>
      </c>
      <c r="I3344">
        <v>145.57399999999899</v>
      </c>
      <c r="J3344">
        <v>-162.82640000000001</v>
      </c>
      <c r="K3344">
        <v>1.1039239999999999</v>
      </c>
      <c r="L3344">
        <v>145.7919</v>
      </c>
      <c r="M3344">
        <v>0.90356939999999997</v>
      </c>
      <c r="N3344">
        <v>0</v>
      </c>
      <c r="O3344">
        <v>-0.42827359999999998</v>
      </c>
      <c r="P3344">
        <v>0.90651669999999995</v>
      </c>
      <c r="Q3344">
        <v>0.1519325</v>
      </c>
      <c r="R3344">
        <v>-0.39388339999999999</v>
      </c>
      <c r="S3344">
        <v>2.9968569999999999</v>
      </c>
      <c r="T3344">
        <v>-0.77664730000000004</v>
      </c>
      <c r="U3344">
        <v>-1.0350189999999999</v>
      </c>
      <c r="V3344">
        <v>-3.2334330000000001E-2</v>
      </c>
      <c r="W3344">
        <v>0.1637921</v>
      </c>
      <c r="X3344">
        <v>0.98596479999999997</v>
      </c>
      <c r="Y3344">
        <v>-9.5549319999999993E-2</v>
      </c>
      <c r="Z3344">
        <v>0.1135746</v>
      </c>
      <c r="AA3344">
        <v>0.98892420000000003</v>
      </c>
      <c r="AB3344">
        <v>1</v>
      </c>
      <c r="AC3344">
        <v>0.63580000000001702</v>
      </c>
      <c r="AD3344">
        <v>-0.16852519999999899</v>
      </c>
      <c r="AE3344">
        <v>-0.217900000000014</v>
      </c>
      <c r="AF3344">
        <v>-7.0953043570500807E-2</v>
      </c>
      <c r="AG3344">
        <v>-0.16852519999999899</v>
      </c>
      <c r="AH3344">
        <v>0.62835247061191302</v>
      </c>
      <c r="AI3344">
        <v>104.922929110612</v>
      </c>
      <c r="AJ3344">
        <v>96.442502505432799</v>
      </c>
      <c r="AK3344">
        <v>0.65441722528601898</v>
      </c>
    </row>
    <row r="3345" spans="1:37" x14ac:dyDescent="0.2">
      <c r="A3345" t="str">
        <f>"20200111150710924"</f>
        <v>20200111150710924</v>
      </c>
      <c r="B3345" t="str">
        <f>"1578726430920025"</f>
        <v>1578726430920025</v>
      </c>
      <c r="C3345" t="s">
        <v>37</v>
      </c>
      <c r="D3345">
        <v>5.3555459999999897</v>
      </c>
      <c r="E3345">
        <v>0.44776539999999998</v>
      </c>
      <c r="F3345" t="s">
        <v>38</v>
      </c>
      <c r="G3345">
        <v>-162.1771</v>
      </c>
      <c r="H3345">
        <v>0.94153449999999905</v>
      </c>
      <c r="I3345">
        <v>145.5728</v>
      </c>
      <c r="J3345">
        <v>-162.8117</v>
      </c>
      <c r="K3345">
        <v>1.1039110000000001</v>
      </c>
      <c r="L3345">
        <v>145.785</v>
      </c>
      <c r="M3345">
        <v>0.90357849999999995</v>
      </c>
      <c r="N3345">
        <v>0</v>
      </c>
      <c r="O3345">
        <v>-0.42825439999999998</v>
      </c>
      <c r="P3345">
        <v>0.90885530000000003</v>
      </c>
      <c r="Q3345">
        <v>0.1506702</v>
      </c>
      <c r="R3345">
        <v>-0.38894849999999997</v>
      </c>
      <c r="S3345">
        <v>2.99554399999999</v>
      </c>
      <c r="T3345">
        <v>-0.74927929999999998</v>
      </c>
      <c r="U3345">
        <v>-1.0112920000000001</v>
      </c>
      <c r="V3345">
        <v>-3.7773899999999999E-2</v>
      </c>
      <c r="W3345">
        <v>0.16252230000000001</v>
      </c>
      <c r="X3345">
        <v>0.98598149999999996</v>
      </c>
      <c r="Y3345">
        <v>-0.1031305</v>
      </c>
      <c r="Z3345">
        <v>0.11080189999999999</v>
      </c>
      <c r="AA3345">
        <v>0.9884771</v>
      </c>
      <c r="AB3345">
        <v>1</v>
      </c>
      <c r="AC3345">
        <v>0.63460000000000505</v>
      </c>
      <c r="AD3345">
        <v>-0.16237650000000001</v>
      </c>
      <c r="AE3345">
        <v>-0.212199999999995</v>
      </c>
      <c r="AF3345">
        <v>-7.5585684811190698E-2</v>
      </c>
      <c r="AG3345">
        <v>-0.16237650000000001</v>
      </c>
      <c r="AH3345">
        <v>0.62738966694290099</v>
      </c>
      <c r="AI3345">
        <v>104.410663956303</v>
      </c>
      <c r="AJ3345">
        <v>96.869683396421806</v>
      </c>
      <c r="AK3345">
        <v>0.65245468630959402</v>
      </c>
    </row>
    <row r="3346" spans="1:37" x14ac:dyDescent="0.2">
      <c r="A3346" t="str">
        <f>"20200111150710959"</f>
        <v>20200111150710959</v>
      </c>
      <c r="B3346" t="str">
        <f>"1578726430950280"</f>
        <v>1578726430950280</v>
      </c>
      <c r="C3346" t="s">
        <v>37</v>
      </c>
      <c r="D3346">
        <v>7.7607200000000001</v>
      </c>
      <c r="E3346">
        <v>0.44531499999999902</v>
      </c>
      <c r="F3346" t="s">
        <v>39</v>
      </c>
      <c r="G3346">
        <v>-148.71510000000001</v>
      </c>
      <c r="H3346" s="1">
        <v>-1.1024579999999999E-6</v>
      </c>
      <c r="I3346">
        <v>141.7544</v>
      </c>
      <c r="J3346">
        <v>-162.79679999999999</v>
      </c>
      <c r="K3346">
        <v>1.1039129999999999</v>
      </c>
      <c r="L3346">
        <v>145.77799999999999</v>
      </c>
      <c r="M3346">
        <v>0.90358689999999997</v>
      </c>
      <c r="N3346">
        <v>0</v>
      </c>
      <c r="O3346">
        <v>-0.42823679999999997</v>
      </c>
      <c r="P3346">
        <v>0.91094679999999995</v>
      </c>
      <c r="Q3346">
        <v>0.1525523</v>
      </c>
      <c r="R3346">
        <v>-0.38328040000000002</v>
      </c>
      <c r="S3346">
        <v>2.9754179999999999</v>
      </c>
      <c r="T3346">
        <v>-0.23300660000000001</v>
      </c>
      <c r="U3346">
        <v>-0.85073849999999995</v>
      </c>
      <c r="V3346">
        <v>-4.3772199999999997E-2</v>
      </c>
      <c r="W3346">
        <v>0.16439179999999901</v>
      </c>
      <c r="X3346">
        <v>0.98542339999999995</v>
      </c>
      <c r="Y3346">
        <v>-0.16178679999999901</v>
      </c>
      <c r="Z3346">
        <v>3.7725519999999998E-2</v>
      </c>
      <c r="AA3346">
        <v>0.98610439999999999</v>
      </c>
      <c r="AB3346">
        <v>1</v>
      </c>
      <c r="AC3346">
        <v>14.0816999999999</v>
      </c>
      <c r="AD3346">
        <v>-1.1039141024579999</v>
      </c>
      <c r="AE3346">
        <v>-4.0235999999999796</v>
      </c>
      <c r="AF3346">
        <v>-2.3812726585671</v>
      </c>
      <c r="AG3346">
        <v>-1.1039141024579999</v>
      </c>
      <c r="AH3346">
        <v>14.3665074028382</v>
      </c>
      <c r="AI3346">
        <v>94.335024514304905</v>
      </c>
      <c r="AJ3346">
        <v>99.411306358835901</v>
      </c>
      <c r="AK3346">
        <v>14.6043014477191</v>
      </c>
    </row>
    <row r="3347" spans="1:37" x14ac:dyDescent="0.2">
      <c r="A3347" t="str">
        <f>"20200111150710991"</f>
        <v>20200111150710991</v>
      </c>
      <c r="B3347" t="str">
        <f>"1578726430980536"</f>
        <v>1578726430980536</v>
      </c>
      <c r="C3347" t="s">
        <v>37</v>
      </c>
      <c r="D3347">
        <v>5.4178600000000001</v>
      </c>
      <c r="E3347">
        <v>0.45460459999999903</v>
      </c>
      <c r="F3347" t="s">
        <v>39</v>
      </c>
      <c r="G3347">
        <v>-146.72409999999999</v>
      </c>
      <c r="H3347" s="1">
        <v>-1.864503E-6</v>
      </c>
      <c r="I3347">
        <v>141.4084</v>
      </c>
      <c r="J3347">
        <v>-162.78280000000001</v>
      </c>
      <c r="K3347">
        <v>1.103917</v>
      </c>
      <c r="L3347">
        <v>145.7714</v>
      </c>
      <c r="M3347">
        <v>0.90359409999999896</v>
      </c>
      <c r="N3347">
        <v>0</v>
      </c>
      <c r="O3347">
        <v>-0.42822169999999998</v>
      </c>
      <c r="P3347">
        <v>0.91258419999999896</v>
      </c>
      <c r="Q3347">
        <v>0.154782</v>
      </c>
      <c r="R3347">
        <v>-0.3784612</v>
      </c>
      <c r="S3347">
        <v>2.9860380000000002</v>
      </c>
      <c r="T3347">
        <v>-0.2050893</v>
      </c>
      <c r="U3347">
        <v>-0.81179809999999997</v>
      </c>
      <c r="V3347">
        <v>-4.8811979999999998E-2</v>
      </c>
      <c r="W3347">
        <v>0.1666096</v>
      </c>
      <c r="X3347">
        <v>0.98481399999999997</v>
      </c>
      <c r="Y3347">
        <v>-0.17494509999999999</v>
      </c>
      <c r="Z3347">
        <v>3.3621310000000001E-2</v>
      </c>
      <c r="AA3347">
        <v>0.98400399999999999</v>
      </c>
      <c r="AB3347">
        <v>1</v>
      </c>
      <c r="AC3347">
        <v>16.058700000000002</v>
      </c>
      <c r="AD3347">
        <v>-1.103918864503</v>
      </c>
      <c r="AE3347">
        <v>-4.3630000000000004</v>
      </c>
      <c r="AF3347">
        <v>-2.9216564773957301</v>
      </c>
      <c r="AG3347">
        <v>-1.103918864503</v>
      </c>
      <c r="AH3347">
        <v>16.308288050932401</v>
      </c>
      <c r="AI3347">
        <v>93.811975105433703</v>
      </c>
      <c r="AJ3347">
        <v>100.156884529427</v>
      </c>
      <c r="AK3347">
        <v>16.6046671927954</v>
      </c>
    </row>
    <row r="3348" spans="1:37" x14ac:dyDescent="0.2">
      <c r="A3348" t="str">
        <f>"20200111150711025"</f>
        <v>20200111150711025</v>
      </c>
      <c r="B3348" t="str">
        <f>"1578726431020553"</f>
        <v>1578726431020553</v>
      </c>
      <c r="C3348" t="s">
        <v>37</v>
      </c>
      <c r="D3348">
        <v>5.4743000000000004</v>
      </c>
      <c r="E3348">
        <v>0.45280690000000001</v>
      </c>
      <c r="F3348" t="s">
        <v>39</v>
      </c>
      <c r="G3348">
        <v>-153.68559999999999</v>
      </c>
      <c r="H3348" s="1">
        <v>-3.6144940000000001E-6</v>
      </c>
      <c r="I3348">
        <v>143.08629999999999</v>
      </c>
      <c r="J3348">
        <v>-162.76840000000001</v>
      </c>
      <c r="K3348">
        <v>1.1039289999999999</v>
      </c>
      <c r="L3348">
        <v>145.7647</v>
      </c>
      <c r="M3348">
        <v>0.9036016</v>
      </c>
      <c r="N3348">
        <v>0</v>
      </c>
      <c r="O3348">
        <v>-0.42820589999999997</v>
      </c>
      <c r="P3348">
        <v>0.91446119999999897</v>
      </c>
      <c r="Q3348">
        <v>0.15616429999999901</v>
      </c>
      <c r="R3348">
        <v>-0.37332759999999998</v>
      </c>
      <c r="S3348">
        <v>2.9836119999999999</v>
      </c>
      <c r="T3348">
        <v>-0.36205290000000001</v>
      </c>
      <c r="U3348">
        <v>-0.88061520000000004</v>
      </c>
      <c r="V3348">
        <v>-5.4237250000000001E-2</v>
      </c>
      <c r="W3348">
        <v>0.167982299999999</v>
      </c>
      <c r="X3348">
        <v>0.98429690000000003</v>
      </c>
      <c r="Y3348">
        <v>-0.15126339999999999</v>
      </c>
      <c r="Z3348">
        <v>5.7618799999999998E-2</v>
      </c>
      <c r="AA3348">
        <v>0.98681280000000005</v>
      </c>
      <c r="AB3348">
        <v>1</v>
      </c>
      <c r="AC3348">
        <v>9.0828000000000095</v>
      </c>
      <c r="AD3348">
        <v>-1.103932614494</v>
      </c>
      <c r="AE3348">
        <v>-2.6784000000000101</v>
      </c>
      <c r="AF3348">
        <v>-1.44950828477984</v>
      </c>
      <c r="AG3348">
        <v>-1.103932614494</v>
      </c>
      <c r="AH3348">
        <v>9.2293810723360696</v>
      </c>
      <c r="AI3348">
        <v>96.738951920415005</v>
      </c>
      <c r="AJ3348">
        <v>98.925603831280796</v>
      </c>
      <c r="AK3348">
        <v>9.4075085151906404</v>
      </c>
    </row>
    <row r="3349" spans="1:37" x14ac:dyDescent="0.2">
      <c r="A3349" t="str">
        <f>"20200111150711058"</f>
        <v>20200111150711058</v>
      </c>
      <c r="B3349" t="str">
        <f>"1578726431050811"</f>
        <v>1578726431050811</v>
      </c>
      <c r="C3349" t="s">
        <v>37</v>
      </c>
      <c r="D3349">
        <v>5.1600609999999998</v>
      </c>
      <c r="E3349">
        <v>0.45166040000000002</v>
      </c>
      <c r="F3349" t="s">
        <v>39</v>
      </c>
      <c r="G3349">
        <v>-145.24539999999999</v>
      </c>
      <c r="H3349" s="1">
        <v>-2.346803E-6</v>
      </c>
      <c r="I3349">
        <v>140.83680000000001</v>
      </c>
      <c r="J3349">
        <v>-162.7542</v>
      </c>
      <c r="K3349">
        <v>1.103942</v>
      </c>
      <c r="L3349">
        <v>145.75799999999899</v>
      </c>
      <c r="M3349">
        <v>0.90360910000000005</v>
      </c>
      <c r="N3349">
        <v>0</v>
      </c>
      <c r="O3349">
        <v>-0.42819040000000003</v>
      </c>
      <c r="P3349">
        <v>0.91515139999999995</v>
      </c>
      <c r="Q3349">
        <v>0.15862279999999901</v>
      </c>
      <c r="R3349">
        <v>-0.37059039999999999</v>
      </c>
      <c r="S3349">
        <v>2.9714659999999999</v>
      </c>
      <c r="T3349">
        <v>-0.18719859999999999</v>
      </c>
      <c r="U3349">
        <v>-0.83563229999999999</v>
      </c>
      <c r="V3349">
        <v>-5.6989850000000002E-2</v>
      </c>
      <c r="W3349">
        <v>0.17043129999999901</v>
      </c>
      <c r="X3349">
        <v>0.98372009999999899</v>
      </c>
      <c r="Y3349">
        <v>-0.1665681</v>
      </c>
      <c r="Z3349">
        <v>3.0534699999999901E-2</v>
      </c>
      <c r="AA3349">
        <v>0.98555700000000002</v>
      </c>
      <c r="AB3349">
        <v>1</v>
      </c>
      <c r="AC3349">
        <v>17.508800000000001</v>
      </c>
      <c r="AD3349">
        <v>-1.1039443468029999</v>
      </c>
      <c r="AE3349">
        <v>-4.9211999999999696</v>
      </c>
      <c r="AF3349">
        <v>-3.0392802186057599</v>
      </c>
      <c r="AG3349">
        <v>-1.1039443468029999</v>
      </c>
      <c r="AH3349">
        <v>17.863792452079402</v>
      </c>
      <c r="AI3349">
        <v>93.486288626906202</v>
      </c>
      <c r="AJ3349">
        <v>99.655637285721696</v>
      </c>
      <c r="AK3349">
        <v>18.154090396905499</v>
      </c>
    </row>
    <row r="3350" spans="1:37" x14ac:dyDescent="0.2">
      <c r="A3350" t="str">
        <f>"20200111150711090"</f>
        <v>20200111150711090</v>
      </c>
      <c r="B3350" t="str">
        <f>"1578726431080088"</f>
        <v>1578726431080088</v>
      </c>
      <c r="C3350" t="s">
        <v>37</v>
      </c>
      <c r="D3350">
        <v>5.1542680000000001</v>
      </c>
      <c r="E3350">
        <v>0.45322760000000001</v>
      </c>
      <c r="F3350" t="s">
        <v>55</v>
      </c>
      <c r="G3350">
        <v>-45.365020000000001</v>
      </c>
      <c r="H3350">
        <v>-0.1</v>
      </c>
      <c r="I3350">
        <v>113.88079999999999</v>
      </c>
      <c r="J3350">
        <v>-162.74019999999999</v>
      </c>
      <c r="K3350">
        <v>1.1039540000000001</v>
      </c>
      <c r="L3350">
        <v>145.75139999999999</v>
      </c>
      <c r="M3350">
        <v>0.90361669999999905</v>
      </c>
      <c r="N3350">
        <v>0</v>
      </c>
      <c r="O3350">
        <v>-0.42817429999999901</v>
      </c>
      <c r="P3350">
        <v>0.91490680000000002</v>
      </c>
      <c r="Q3350">
        <v>0.16151579999999999</v>
      </c>
      <c r="R3350">
        <v>-0.36994379999999999</v>
      </c>
      <c r="S3350">
        <v>2.9581300000000001</v>
      </c>
      <c r="T3350">
        <v>-3.0338529999999999E-2</v>
      </c>
      <c r="U3350">
        <v>-0.80328369999999905</v>
      </c>
      <c r="V3350">
        <v>-5.7452080000000003E-2</v>
      </c>
      <c r="W3350">
        <v>0.173316</v>
      </c>
      <c r="X3350">
        <v>0.98318909999999904</v>
      </c>
      <c r="Y3350">
        <v>-0.17639260000000001</v>
      </c>
      <c r="Z3350">
        <v>5.0331229999999996E-3</v>
      </c>
      <c r="AA3350">
        <v>0.98430709999999999</v>
      </c>
      <c r="AB3350">
        <v>1</v>
      </c>
      <c r="AC3350">
        <v>117.37518</v>
      </c>
      <c r="AD3350">
        <v>-1.203954</v>
      </c>
      <c r="AE3350">
        <v>-31.8706</v>
      </c>
      <c r="AF3350">
        <v>-21.4576677095653</v>
      </c>
      <c r="AG3350">
        <v>-1.203954</v>
      </c>
      <c r="AH3350">
        <v>119.705212653572</v>
      </c>
      <c r="AI3350">
        <v>90.567201847904897</v>
      </c>
      <c r="AJ3350">
        <v>100.16258078222199</v>
      </c>
      <c r="AK3350">
        <v>121.619155338315</v>
      </c>
    </row>
    <row r="3351" spans="1:37" x14ac:dyDescent="0.2">
      <c r="A3351" t="str">
        <f>"20200111150711126"</f>
        <v>20200111150711126</v>
      </c>
      <c r="B3351" t="str">
        <f>"1578726431120105"</f>
        <v>1578726431120105</v>
      </c>
      <c r="C3351" t="s">
        <v>37</v>
      </c>
      <c r="D3351">
        <v>5.4285449999999997</v>
      </c>
      <c r="E3351">
        <v>0.45540009999999997</v>
      </c>
      <c r="F3351" t="s">
        <v>116</v>
      </c>
      <c r="G3351">
        <v>-60.000069999999901</v>
      </c>
      <c r="H3351">
        <v>2.4153389999999999</v>
      </c>
      <c r="I3351">
        <v>117.566</v>
      </c>
      <c r="J3351">
        <v>-162.7259</v>
      </c>
      <c r="K3351">
        <v>1.1039570000000001</v>
      </c>
      <c r="L3351">
        <v>145.74459999999999</v>
      </c>
      <c r="M3351">
        <v>0.90362450000000005</v>
      </c>
      <c r="N3351">
        <v>0</v>
      </c>
      <c r="O3351">
        <v>-0.42815789999999998</v>
      </c>
      <c r="P3351">
        <v>0.91440379999999999</v>
      </c>
      <c r="Q3351">
        <v>0.162545</v>
      </c>
      <c r="R3351">
        <v>-0.3707357</v>
      </c>
      <c r="S3351">
        <v>2.9456180000000001</v>
      </c>
      <c r="T3351">
        <v>3.759825E-2</v>
      </c>
      <c r="U3351">
        <v>-0.80809019999999898</v>
      </c>
      <c r="V3351">
        <v>-5.6503070000000002E-2</v>
      </c>
      <c r="W3351">
        <v>0.174342</v>
      </c>
      <c r="X3351">
        <v>0.98306269999999996</v>
      </c>
      <c r="Y3351">
        <v>-0.17380770000000001</v>
      </c>
      <c r="Z3351">
        <v>-6.2445640000000002E-3</v>
      </c>
      <c r="AA3351">
        <v>0.98475979999999996</v>
      </c>
      <c r="AB3351">
        <v>1</v>
      </c>
      <c r="AC3351">
        <v>102.72583</v>
      </c>
      <c r="AD3351">
        <v>1.3113819999999901</v>
      </c>
      <c r="AE3351">
        <v>-28.1785999999999</v>
      </c>
      <c r="AF3351">
        <v>-18.518525254215302</v>
      </c>
      <c r="AG3351">
        <v>1.3113819999999901</v>
      </c>
      <c r="AH3351">
        <v>104.88210145604501</v>
      </c>
      <c r="AI3351">
        <v>89.294556424958898</v>
      </c>
      <c r="AJ3351">
        <v>100.013234753058</v>
      </c>
      <c r="AK3351">
        <v>106.51249084580201</v>
      </c>
    </row>
    <row r="3352" spans="1:37" x14ac:dyDescent="0.2">
      <c r="A3352" t="str">
        <f>"20200111150711159"</f>
        <v>20200111150711159</v>
      </c>
      <c r="B3352" t="str">
        <f>"1578726431150360"</f>
        <v>1578726431150360</v>
      </c>
      <c r="C3352" t="s">
        <v>37</v>
      </c>
      <c r="D3352">
        <v>5.898396</v>
      </c>
      <c r="E3352">
        <v>0.45749519999999999</v>
      </c>
      <c r="F3352" t="s">
        <v>39</v>
      </c>
      <c r="G3352">
        <v>-105.82510000000001</v>
      </c>
      <c r="H3352">
        <v>3.4117050000000003E-2</v>
      </c>
      <c r="I3352">
        <v>129.6163</v>
      </c>
      <c r="J3352">
        <v>-162.7122</v>
      </c>
      <c r="K3352">
        <v>1.103945</v>
      </c>
      <c r="L3352">
        <v>145.73820000000001</v>
      </c>
      <c r="M3352">
        <v>0.9036322</v>
      </c>
      <c r="N3352">
        <v>0</v>
      </c>
      <c r="O3352">
        <v>-0.42814189999999902</v>
      </c>
      <c r="P3352">
        <v>0.91372880000000001</v>
      </c>
      <c r="Q3352">
        <v>0.16240499999999999</v>
      </c>
      <c r="R3352">
        <v>-0.37245800000000001</v>
      </c>
      <c r="S3352">
        <v>2.951508</v>
      </c>
      <c r="T3352">
        <v>-5.5493830000000001E-2</v>
      </c>
      <c r="U3352">
        <v>-0.83659359999999905</v>
      </c>
      <c r="V3352">
        <v>-5.4640080000000001E-2</v>
      </c>
      <c r="W3352">
        <v>0.17420250000000001</v>
      </c>
      <c r="X3352">
        <v>0.98319269999999903</v>
      </c>
      <c r="Y3352">
        <v>-0.16541229999999901</v>
      </c>
      <c r="Z3352">
        <v>9.1058589999999991E-3</v>
      </c>
      <c r="AA3352">
        <v>0.98618249999999996</v>
      </c>
      <c r="AB3352">
        <v>1</v>
      </c>
      <c r="AC3352">
        <v>56.887099999999897</v>
      </c>
      <c r="AD3352">
        <v>-1.0698279500000001</v>
      </c>
      <c r="AE3352">
        <v>-16.1219</v>
      </c>
      <c r="AF3352">
        <v>-9.7849813733798197</v>
      </c>
      <c r="AG3352">
        <v>-1.0698279500000001</v>
      </c>
      <c r="AH3352">
        <v>58.292572472400003</v>
      </c>
      <c r="AI3352">
        <v>91.036912256428494</v>
      </c>
      <c r="AJ3352">
        <v>99.528824944320107</v>
      </c>
      <c r="AK3352">
        <v>59.117801022788399</v>
      </c>
    </row>
    <row r="3353" spans="1:37" x14ac:dyDescent="0.2">
      <c r="A3353" t="str">
        <f>"20200111150711192"</f>
        <v>20200111150711192</v>
      </c>
      <c r="B3353" t="str">
        <f>"1578726431180618"</f>
        <v>1578726431180618</v>
      </c>
      <c r="C3353" t="s">
        <v>37</v>
      </c>
      <c r="D3353">
        <v>5.4378390000000003</v>
      </c>
      <c r="E3353">
        <v>0.40418119999999902</v>
      </c>
      <c r="F3353" t="s">
        <v>39</v>
      </c>
      <c r="G3353">
        <v>-125.15049999999999</v>
      </c>
      <c r="H3353" s="1">
        <v>-2.9248860000000002E-6</v>
      </c>
      <c r="I3353">
        <v>134.77350000000001</v>
      </c>
      <c r="J3353">
        <v>-162.6985</v>
      </c>
      <c r="K3353">
        <v>1.1039379999999901</v>
      </c>
      <c r="L3353">
        <v>145.73169999999999</v>
      </c>
      <c r="M3353">
        <v>0.90363959999999999</v>
      </c>
      <c r="N3353">
        <v>0</v>
      </c>
      <c r="O3353">
        <v>-0.4281258</v>
      </c>
      <c r="P3353">
        <v>0.91312559999999998</v>
      </c>
      <c r="Q3353">
        <v>0.16019149999999999</v>
      </c>
      <c r="R3353">
        <v>-0.37488680000000002</v>
      </c>
      <c r="S3353">
        <v>2.9478909999999998</v>
      </c>
      <c r="T3353">
        <v>-8.6639289999999994E-2</v>
      </c>
      <c r="U3353">
        <v>-0.86051939999999905</v>
      </c>
      <c r="V3353">
        <v>-5.2169609999999998E-2</v>
      </c>
      <c r="W3353">
        <v>0.17199429999999999</v>
      </c>
      <c r="X3353">
        <v>0.98371549999999996</v>
      </c>
      <c r="Y3353">
        <v>-0.1575539</v>
      </c>
      <c r="Z3353">
        <v>1.4097429999999999E-2</v>
      </c>
      <c r="AA3353">
        <v>0.9874098</v>
      </c>
      <c r="AB3353">
        <v>1</v>
      </c>
      <c r="AC3353">
        <v>37.548000000000002</v>
      </c>
      <c r="AD3353">
        <v>-1.1039409248859999</v>
      </c>
      <c r="AE3353">
        <v>-10.9581999999999</v>
      </c>
      <c r="AF3353">
        <v>-6.1685342646227097</v>
      </c>
      <c r="AG3353">
        <v>-1.1039409248859999</v>
      </c>
      <c r="AH3353">
        <v>38.5933825197503</v>
      </c>
      <c r="AI3353">
        <v>91.617939955928193</v>
      </c>
      <c r="AJ3353">
        <v>99.081002355208</v>
      </c>
      <c r="AK3353">
        <v>39.098832141833</v>
      </c>
    </row>
    <row r="3354" spans="1:37" x14ac:dyDescent="0.2">
      <c r="A3354" t="str">
        <f>"20200111150711226"</f>
        <v>20200111150711226</v>
      </c>
      <c r="B3354" t="str">
        <f>"1578726431220633"</f>
        <v>1578726431220633</v>
      </c>
      <c r="C3354" t="s">
        <v>37</v>
      </c>
      <c r="D3354">
        <v>5.3429880000000001</v>
      </c>
      <c r="E3354">
        <v>0.49848700000000001</v>
      </c>
      <c r="F3354" t="s">
        <v>53</v>
      </c>
      <c r="G3354">
        <v>0</v>
      </c>
      <c r="H3354">
        <v>0</v>
      </c>
      <c r="I3354">
        <v>0</v>
      </c>
      <c r="J3354">
        <v>-162.68469999999999</v>
      </c>
      <c r="K3354">
        <v>1.1039299999999901</v>
      </c>
      <c r="L3354">
        <v>145.7252</v>
      </c>
      <c r="M3354">
        <v>0.90364719999999998</v>
      </c>
      <c r="N3354">
        <v>0</v>
      </c>
      <c r="O3354">
        <v>-0.4281104</v>
      </c>
      <c r="P3354">
        <v>0.91291080000000002</v>
      </c>
      <c r="Q3354">
        <v>0.15762870000000001</v>
      </c>
      <c r="R3354">
        <v>-0.37649369999999999</v>
      </c>
      <c r="S3354">
        <v>2.9844819999999999</v>
      </c>
      <c r="T3354">
        <v>0.81487080000000001</v>
      </c>
      <c r="U3354">
        <v>-0.38485720000000001</v>
      </c>
      <c r="V3354">
        <v>-5.0608239999999999E-2</v>
      </c>
      <c r="W3354">
        <v>0.16943649999999999</v>
      </c>
      <c r="X3354">
        <v>0.98424089999999997</v>
      </c>
      <c r="Y3354">
        <v>-0.2845202</v>
      </c>
      <c r="Z3354">
        <v>-0.14864530000000001</v>
      </c>
      <c r="AA3354">
        <v>0.94707600000000003</v>
      </c>
      <c r="AB3354">
        <v>1</v>
      </c>
      <c r="AC3354">
        <v>2.9844819999999999</v>
      </c>
      <c r="AD3354">
        <v>0.81487080000000001</v>
      </c>
      <c r="AE3354">
        <v>-0.38485720000000001</v>
      </c>
      <c r="AF3354">
        <v>-0.86644360277235899</v>
      </c>
      <c r="AG3354">
        <v>0.81487080000000001</v>
      </c>
      <c r="AH3354">
        <v>2.6663627754316002</v>
      </c>
      <c r="AI3354">
        <v>73.793450790465201</v>
      </c>
      <c r="AJ3354">
        <v>108.00174575583701</v>
      </c>
      <c r="AK3354">
        <v>2.9196282961509099</v>
      </c>
    </row>
    <row r="3355" spans="1:37" x14ac:dyDescent="0.2">
      <c r="A3355" t="str">
        <f>"20200111150711260"</f>
        <v>20200111150711260</v>
      </c>
      <c r="B3355" t="str">
        <f>"1578726431250889"</f>
        <v>1578726431250889</v>
      </c>
      <c r="C3355" t="s">
        <v>37</v>
      </c>
      <c r="D3355">
        <v>5.4867800000000004</v>
      </c>
      <c r="E3355">
        <v>0.53842609999999902</v>
      </c>
      <c r="F3355" t="s">
        <v>115</v>
      </c>
      <c r="G3355">
        <v>-95.70317</v>
      </c>
      <c r="H3355">
        <v>18.84808</v>
      </c>
      <c r="I3355">
        <v>118.675</v>
      </c>
      <c r="J3355">
        <v>-162.6711</v>
      </c>
      <c r="K3355">
        <v>1.103918</v>
      </c>
      <c r="L3355">
        <v>145.71879999999999</v>
      </c>
      <c r="M3355">
        <v>0.90365439999999997</v>
      </c>
      <c r="N3355">
        <v>0</v>
      </c>
      <c r="O3355">
        <v>-0.4280949</v>
      </c>
      <c r="P3355">
        <v>0.91234459999999995</v>
      </c>
      <c r="Q3355">
        <v>0.1555945</v>
      </c>
      <c r="R3355">
        <v>-0.37870559999999998</v>
      </c>
      <c r="S3355">
        <v>2.7107239999999999</v>
      </c>
      <c r="T3355">
        <v>0.71810010000000002</v>
      </c>
      <c r="U3355">
        <v>-1.094711</v>
      </c>
      <c r="V3355">
        <v>-4.8350299999999999E-2</v>
      </c>
      <c r="W3355">
        <v>0.16740739999999901</v>
      </c>
      <c r="X3355">
        <v>0.98470149999999901</v>
      </c>
      <c r="Y3355">
        <v>-4.5698199999999897E-2</v>
      </c>
      <c r="Z3355">
        <v>-0.1083532</v>
      </c>
      <c r="AA3355">
        <v>0.99306149999999904</v>
      </c>
      <c r="AB3355">
        <v>1</v>
      </c>
      <c r="AC3355">
        <v>66.967929999999996</v>
      </c>
      <c r="AD3355">
        <v>17.744161999999999</v>
      </c>
      <c r="AE3355">
        <v>-27.043799999999901</v>
      </c>
      <c r="AF3355">
        <v>-3.989846674966</v>
      </c>
      <c r="AG3355">
        <v>17.744161999999999</v>
      </c>
      <c r="AH3355">
        <v>67.994056060737805</v>
      </c>
      <c r="AI3355">
        <v>75.397974559424497</v>
      </c>
      <c r="AJ3355">
        <v>93.358227923588402</v>
      </c>
      <c r="AK3355">
        <v>70.384414618313997</v>
      </c>
    </row>
    <row r="3356" spans="1:37" x14ac:dyDescent="0.2">
      <c r="A3356" t="str">
        <f>"20200111150711308"</f>
        <v>20200111150711308</v>
      </c>
      <c r="B3356" t="str">
        <f>"1578726431300665"</f>
        <v>1578726431300665</v>
      </c>
      <c r="C3356" t="s">
        <v>37</v>
      </c>
      <c r="D3356">
        <v>5.5477699999999999</v>
      </c>
      <c r="E3356">
        <v>0.55355690000000002</v>
      </c>
      <c r="F3356" t="s">
        <v>115</v>
      </c>
      <c r="G3356">
        <v>-101.5985</v>
      </c>
      <c r="H3356">
        <v>4.7109489999999896</v>
      </c>
      <c r="I3356">
        <v>112.4502</v>
      </c>
      <c r="J3356">
        <v>-162.65209999999999</v>
      </c>
      <c r="K3356">
        <v>1.1039190000000001</v>
      </c>
      <c r="L3356">
        <v>145.7098</v>
      </c>
      <c r="M3356">
        <v>0.90366480000000005</v>
      </c>
      <c r="N3356">
        <v>0</v>
      </c>
      <c r="O3356">
        <v>-0.42807299999999998</v>
      </c>
      <c r="P3356">
        <v>0.91165130000000005</v>
      </c>
      <c r="Q3356">
        <v>0.1561331</v>
      </c>
      <c r="R3356">
        <v>-0.38015090000000001</v>
      </c>
      <c r="S3356">
        <v>2.6599729999999999</v>
      </c>
      <c r="T3356">
        <v>0.15710160000000001</v>
      </c>
      <c r="U3356">
        <v>-1.44899</v>
      </c>
      <c r="V3356">
        <v>-4.6723630000000002E-2</v>
      </c>
      <c r="W3356">
        <v>0.1679457</v>
      </c>
      <c r="X3356">
        <v>0.98468829999999996</v>
      </c>
      <c r="Y3356">
        <v>5.6815459999999998E-2</v>
      </c>
      <c r="Z3356">
        <v>-2.085441E-2</v>
      </c>
      <c r="AA3356">
        <v>0.99816689999999997</v>
      </c>
      <c r="AB3356">
        <v>1</v>
      </c>
      <c r="AC3356">
        <v>61.053599999999904</v>
      </c>
      <c r="AD3356">
        <v>3.6070299999999902</v>
      </c>
      <c r="AE3356">
        <v>-33.259599999999999</v>
      </c>
      <c r="AF3356">
        <v>3.9098892539591898</v>
      </c>
      <c r="AG3356">
        <v>3.6070299999999902</v>
      </c>
      <c r="AH3356">
        <v>69.228167564619497</v>
      </c>
      <c r="AI3356">
        <v>87.022123370656502</v>
      </c>
      <c r="AJ3356">
        <v>86.767465870027294</v>
      </c>
      <c r="AK3356">
        <v>69.432248154255802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TxtToExcel_Tem_Txt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吕泽众</dc:creator>
  <cp:lastModifiedBy>吕泽众</cp:lastModifiedBy>
  <dcterms:created xsi:type="dcterms:W3CDTF">2020-07-09T10:52:21Z</dcterms:created>
  <dcterms:modified xsi:type="dcterms:W3CDTF">2020-07-09T10:52:21Z</dcterms:modified>
</cp:coreProperties>
</file>