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coleman/tom/PIM/Data/Misc/"/>
    </mc:Choice>
  </mc:AlternateContent>
  <xr:revisionPtr revIDLastSave="0" documentId="13_ncr:1_{DBCDB25F-6987-F64D-8CF5-D46AB46E8ACD}" xr6:coauthVersionLast="47" xr6:coauthVersionMax="47" xr10:uidLastSave="{00000000-0000-0000-0000-000000000000}"/>
  <bookViews>
    <workbookView xWindow="-1840" yWindow="-27900" windowWidth="22280" windowHeight="26540" tabRatio="2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5" i="1"/>
  <c r="C5" i="1" s="1"/>
  <c r="A8" i="1"/>
  <c r="A18" i="1" s="1"/>
  <c r="B13" i="1"/>
  <c r="B10" i="1"/>
  <c r="B9" i="1"/>
  <c r="A12" i="1"/>
  <c r="C10" i="1"/>
  <c r="C9" i="1"/>
  <c r="B6" i="1"/>
  <c r="D6" i="1" s="1"/>
  <c r="C6" i="1"/>
  <c r="B7" i="1"/>
  <c r="D7" i="1" s="1"/>
  <c r="C7" i="1"/>
  <c r="C13" i="1"/>
  <c r="C36" i="1" s="1"/>
  <c r="B14" i="1"/>
  <c r="D14" i="1" s="1"/>
  <c r="C14" i="1"/>
  <c r="A15" i="1"/>
  <c r="B27" i="1"/>
  <c r="C27" i="1"/>
  <c r="A47" i="1"/>
  <c r="H52" i="1"/>
  <c r="H56" i="1"/>
  <c r="D17" i="1" l="1"/>
  <c r="D12" i="1" s="1"/>
  <c r="D16" i="1"/>
  <c r="B36" i="1"/>
  <c r="D13" i="1"/>
  <c r="D36" i="1" s="1"/>
  <c r="B5" i="1"/>
  <c r="D5" i="1" s="1"/>
  <c r="C38" i="1"/>
  <c r="A49" i="1"/>
  <c r="A50" i="1" s="1"/>
  <c r="A51" i="1" s="1"/>
  <c r="A52" i="1" s="1"/>
  <c r="B47" i="1"/>
  <c r="C15" i="1"/>
  <c r="B15" i="1"/>
  <c r="C12" i="1"/>
  <c r="C8" i="1"/>
  <c r="C18" i="1" s="1"/>
  <c r="C37" i="1" s="1"/>
  <c r="B8" i="1"/>
  <c r="A16" i="1"/>
  <c r="C47" i="1"/>
  <c r="B18" i="1" l="1"/>
  <c r="B37" i="1" s="1"/>
  <c r="D8" i="1"/>
  <c r="D18" i="1" s="1"/>
  <c r="D49" i="1" s="1"/>
  <c r="G52" i="1" s="1"/>
  <c r="C39" i="1"/>
  <c r="C40" i="1" s="1"/>
  <c r="C42" i="1" s="1"/>
  <c r="A53" i="1"/>
  <c r="A54" i="1" s="1"/>
  <c r="A55" i="1" s="1"/>
  <c r="A56" i="1" s="1"/>
  <c r="A19" i="1" s="1"/>
  <c r="A24" i="1"/>
  <c r="A30" i="1" s="1"/>
  <c r="C49" i="1"/>
  <c r="C50" i="1" s="1"/>
  <c r="B16" i="1"/>
  <c r="C16" i="1"/>
  <c r="A20" i="1"/>
  <c r="B12" i="1"/>
  <c r="B38" i="1"/>
  <c r="D37" i="1" l="1"/>
  <c r="D50" i="1"/>
  <c r="D51" i="1" s="1"/>
  <c r="D52" i="1" s="1"/>
  <c r="D53" i="1"/>
  <c r="A26" i="1"/>
  <c r="A31" i="1" s="1"/>
  <c r="A25" i="1"/>
  <c r="A32" i="1" s="1"/>
  <c r="C51" i="1"/>
  <c r="C52" i="1" s="1"/>
  <c r="C20" i="1" s="1"/>
  <c r="B20" i="1" s="1"/>
  <c r="A28" i="1"/>
  <c r="A21" i="1"/>
  <c r="A29" i="1" s="1"/>
  <c r="B40" i="1"/>
  <c r="B39" i="1"/>
  <c r="A22" i="1"/>
  <c r="A33" i="1"/>
  <c r="D54" i="1" l="1"/>
  <c r="D55" i="1" s="1"/>
  <c r="D56" i="1" s="1"/>
  <c r="D19" i="1" s="1"/>
  <c r="G56" i="1"/>
  <c r="D20" i="1"/>
  <c r="D22" i="1"/>
  <c r="C19" i="1"/>
  <c r="C28" i="1" s="1"/>
  <c r="B46" i="1"/>
  <c r="B41" i="1"/>
  <c r="B45" i="1"/>
  <c r="B53" i="1" s="1"/>
  <c r="A34" i="1"/>
  <c r="A23" i="1"/>
  <c r="C22" i="1"/>
  <c r="B22" i="1" s="1"/>
  <c r="D21" i="1" l="1"/>
  <c r="C33" i="1"/>
  <c r="C21" i="1"/>
  <c r="C29" i="1" s="1"/>
  <c r="C34" i="1"/>
  <c r="C23" i="1"/>
  <c r="B54" i="1"/>
  <c r="B55" i="1" s="1"/>
  <c r="B56" i="1" s="1"/>
  <c r="B43" i="1"/>
  <c r="B44" i="1"/>
  <c r="B49" i="1" l="1"/>
  <c r="B50" i="1" s="1"/>
  <c r="B51" i="1" s="1"/>
  <c r="B52" i="1" s="1"/>
  <c r="B19" i="1" s="1"/>
  <c r="B28" i="1" l="1"/>
  <c r="B21" i="1"/>
  <c r="B29" i="1" s="1"/>
  <c r="B23" i="1" l="1"/>
</calcChain>
</file>

<file path=xl/sharedStrings.xml><?xml version="1.0" encoding="utf-8"?>
<sst xmlns="http://schemas.openxmlformats.org/spreadsheetml/2006/main" count="56" uniqueCount="55">
  <si>
    <t>Today</t>
  </si>
  <si>
    <t>Years (if empty will use date below)</t>
  </si>
  <si>
    <t>Date (if years empty)</t>
  </si>
  <si>
    <t>Expires</t>
  </si>
  <si>
    <t>Fwd</t>
  </si>
  <si>
    <t>Strike</t>
  </si>
  <si>
    <t>Vol input</t>
  </si>
  <si>
    <t>Vol used - input if not zero, ow approx conversion</t>
  </si>
  <si>
    <t>Short rate (sab)</t>
  </si>
  <si>
    <t>Underlier T</t>
  </si>
  <si>
    <t>T</t>
  </si>
  <si>
    <t>Payer's (call on rates, put on bond)</t>
  </si>
  <si>
    <t>Receiver's (put on rates, call on bond)</t>
  </si>
  <si>
    <t>Straddle</t>
  </si>
  <si>
    <t>C/P Theta (bp per 100 day)</t>
  </si>
  <si>
    <t>C/P Vega (bp per 1)</t>
  </si>
  <si>
    <t>C/P Gamma (Chg PV01/1pt move)</t>
  </si>
  <si>
    <t>Notl? (mn)</t>
  </si>
  <si>
    <t>Put (Payer's) k</t>
  </si>
  <si>
    <t>Call (Receiver's) k</t>
  </si>
  <si>
    <t>C/P Theta per day – check</t>
  </si>
  <si>
    <t>C/P Gamma-ChgPV01/bp – check</t>
  </si>
  <si>
    <t>C/P dollar vega (per .01 vol pt) – check</t>
  </si>
  <si>
    <t>PV01 on payer's (sens to 1bp fall in fwd rate, includes effect of changing FVAnn, no change in short rate)</t>
  </si>
  <si>
    <t>PV01 on receiver's (sens to 1bp fall in fwd rate, includes effect of changing FVAnn, no change in short rate)</t>
  </si>
  <si>
    <t>r (cc)</t>
  </si>
  <si>
    <t>exp(rt)</t>
  </si>
  <si>
    <t>Approx vol</t>
  </si>
  <si>
    <t>y / v</t>
  </si>
  <si>
    <t>z / h1</t>
  </si>
  <si>
    <t>h4 / h2</t>
  </si>
  <si>
    <t>h0 / phi(h1)</t>
  </si>
  <si>
    <t>q4 part 1 / phi(h2)</t>
  </si>
  <si>
    <t>q4 part 2</t>
  </si>
  <si>
    <t>q0 part 1</t>
  </si>
  <si>
    <t>q0 part 2</t>
  </si>
  <si>
    <t>Deriv of FV Ann</t>
  </si>
  <si>
    <t>d1 / q4 / h1</t>
  </si>
  <si>
    <t>k</t>
  </si>
  <si>
    <t>Nd1</t>
  </si>
  <si>
    <t>d2 / q0 / h2</t>
  </si>
  <si>
    <t>Nd2</t>
  </si>
  <si>
    <t>Date entered (if empty will use date above)</t>
  </si>
  <si>
    <t>Date used</t>
  </si>
  <si>
    <t>LN yield</t>
  </si>
  <si>
    <t>Sqrt yield</t>
  </si>
  <si>
    <t>Normal yield</t>
  </si>
  <si>
    <t>LN price</t>
  </si>
  <si>
    <t>FV Annuity (coupon for LNP)</t>
  </si>
  <si>
    <t xml:space="preserve">  Delta (% fwd underlier) (check for LNP)</t>
  </si>
  <si>
    <t xml:space="preserve">  Delta (% fwd underlier, excludes effect of changing FVAnn) (check for LNP)</t>
  </si>
  <si>
    <t>PV01 (fwd BPV for fwd bond for LNP)</t>
  </si>
  <si>
    <t>PV01 (fwd BPV for fwd strike for LNP)</t>
  </si>
  <si>
    <t>Thomas Coleman</t>
  </si>
  <si>
    <t>tscoleman@uchicago.edu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</si>
</sst>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TT.&quot;mm&quot;.JJJJ&quot;"/>
    <numFmt numFmtId="165" formatCode="0.000"/>
    <numFmt numFmtId="166" formatCode="0.000%"/>
    <numFmt numFmtId="167" formatCode="0.0%"/>
    <numFmt numFmtId="168" formatCode="0.0000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sz val="10"/>
      <color rgb="FF0432FF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horizontal="center"/>
    </xf>
    <xf numFmtId="15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65" fontId="1" fillId="0" borderId="0" xfId="0" applyNumberFormat="1" applyFont="1" applyProtection="1">
      <protection locked="0"/>
    </xf>
    <xf numFmtId="165" fontId="0" fillId="0" borderId="0" xfId="0" applyNumberFormat="1"/>
    <xf numFmtId="165" fontId="0" fillId="0" borderId="0" xfId="0" applyNumberFormat="1" applyProtection="1">
      <protection locked="0"/>
    </xf>
    <xf numFmtId="1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67" fontId="1" fillId="0" borderId="0" xfId="0" applyNumberFormat="1" applyFont="1" applyProtection="1">
      <protection locked="0"/>
    </xf>
    <xf numFmtId="167" fontId="0" fillId="0" borderId="0" xfId="0" applyNumberFormat="1"/>
    <xf numFmtId="10" fontId="1" fillId="0" borderId="0" xfId="0" applyNumberFormat="1" applyFont="1" applyProtection="1">
      <protection locked="0"/>
    </xf>
    <xf numFmtId="10" fontId="0" fillId="0" borderId="0" xfId="0" applyNumberFormat="1"/>
    <xf numFmtId="2" fontId="0" fillId="0" borderId="0" xfId="0" applyNumberFormat="1"/>
    <xf numFmtId="165" fontId="2" fillId="0" borderId="0" xfId="0" applyNumberFormat="1" applyFont="1"/>
    <xf numFmtId="167" fontId="3" fillId="0" borderId="0" xfId="0" applyNumberFormat="1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4" fontId="0" fillId="0" borderId="0" xfId="0" applyNumberFormat="1"/>
    <xf numFmtId="1" fontId="0" fillId="0" borderId="0" xfId="0" applyNumberFormat="1"/>
    <xf numFmtId="168" fontId="0" fillId="0" borderId="0" xfId="0" applyNumberForma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165" fontId="2" fillId="0" borderId="0" xfId="0" quotePrefix="1" applyNumberFormat="1" applyFont="1"/>
    <xf numFmtId="0" fontId="5" fillId="0" borderId="0" xfId="0" applyFont="1" applyProtection="1">
      <protection locked="0"/>
    </xf>
    <xf numFmtId="0" fontId="4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scoleman@uchicago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2" zoomScale="125" zoomScaleNormal="125" workbookViewId="0">
      <selection activeCell="A16" sqref="A16"/>
    </sheetView>
  </sheetViews>
  <sheetFormatPr baseColWidth="10" defaultColWidth="8.5" defaultRowHeight="13" x14ac:dyDescent="0.15"/>
  <cols>
    <col min="1" max="4" width="10.1640625" customWidth="1"/>
    <col min="5" max="5" width="3.6640625" customWidth="1"/>
    <col min="6" max="6" width="69.1640625" customWidth="1"/>
    <col min="7" max="8" width="11.5" customWidth="1"/>
    <col min="9" max="9" width="11.6640625" customWidth="1"/>
  </cols>
  <sheetData>
    <row r="1" spans="1:6" x14ac:dyDescent="0.15">
      <c r="A1" s="28" t="s">
        <v>53</v>
      </c>
      <c r="C1" s="29" t="s">
        <v>54</v>
      </c>
    </row>
    <row r="2" spans="1:6" x14ac:dyDescent="0.15">
      <c r="A2" s="24" t="s">
        <v>44</v>
      </c>
      <c r="B2" s="24" t="s">
        <v>45</v>
      </c>
      <c r="C2" s="24" t="s">
        <v>46</v>
      </c>
      <c r="D2" s="24" t="s">
        <v>47</v>
      </c>
    </row>
    <row r="3" spans="1:6" x14ac:dyDescent="0.15">
      <c r="A3" s="2">
        <f ca="1">TODAY()</f>
        <v>45471</v>
      </c>
      <c r="B3" s="1"/>
      <c r="C3" s="1"/>
      <c r="D3" s="1"/>
      <c r="F3" t="s">
        <v>0</v>
      </c>
    </row>
    <row r="4" spans="1:6" x14ac:dyDescent="0.15">
      <c r="A4" s="8">
        <v>42419</v>
      </c>
      <c r="B4" s="1"/>
      <c r="C4" s="1"/>
      <c r="D4" s="1"/>
      <c r="F4" t="s">
        <v>42</v>
      </c>
    </row>
    <row r="5" spans="1:6" x14ac:dyDescent="0.15">
      <c r="A5" s="2">
        <f>IF(A4&gt;0,A4,A3)</f>
        <v>42419</v>
      </c>
      <c r="B5" s="2">
        <f t="shared" ref="B5:B10" si="0">A5</f>
        <v>42419</v>
      </c>
      <c r="C5" s="2">
        <f t="shared" ref="C5:D10" si="1">A5</f>
        <v>42419</v>
      </c>
      <c r="D5" s="2">
        <f t="shared" si="1"/>
        <v>42419</v>
      </c>
      <c r="E5" s="3"/>
      <c r="F5" s="4" t="s">
        <v>43</v>
      </c>
    </row>
    <row r="6" spans="1:6" x14ac:dyDescent="0.15">
      <c r="A6" s="5"/>
      <c r="B6" s="6">
        <f t="shared" si="0"/>
        <v>0</v>
      </c>
      <c r="C6" s="6">
        <f t="shared" si="1"/>
        <v>0</v>
      </c>
      <c r="D6" s="6">
        <f t="shared" si="1"/>
        <v>0</v>
      </c>
      <c r="E6" s="7"/>
      <c r="F6" s="4" t="s">
        <v>1</v>
      </c>
    </row>
    <row r="7" spans="1:6" x14ac:dyDescent="0.15">
      <c r="A7" s="8">
        <v>43344</v>
      </c>
      <c r="B7" s="2">
        <f t="shared" si="0"/>
        <v>43344</v>
      </c>
      <c r="C7" s="2">
        <f t="shared" si="1"/>
        <v>43344</v>
      </c>
      <c r="D7" s="2">
        <f t="shared" si="1"/>
        <v>43344</v>
      </c>
      <c r="E7" s="7"/>
      <c r="F7" s="4" t="s">
        <v>2</v>
      </c>
    </row>
    <row r="8" spans="1:6" x14ac:dyDescent="0.15">
      <c r="A8" s="2">
        <f>IF(A6&gt;0,A5+A6*365,A7)</f>
        <v>43344</v>
      </c>
      <c r="B8" s="2">
        <f t="shared" si="0"/>
        <v>43344</v>
      </c>
      <c r="C8" s="2">
        <f t="shared" si="1"/>
        <v>43344</v>
      </c>
      <c r="D8" s="2">
        <f t="shared" si="1"/>
        <v>43344</v>
      </c>
      <c r="E8" s="3"/>
      <c r="F8" s="4" t="s">
        <v>3</v>
      </c>
    </row>
    <row r="9" spans="1:6" x14ac:dyDescent="0.15">
      <c r="A9" s="9">
        <v>4.972E-2</v>
      </c>
      <c r="B9" s="10">
        <f t="shared" si="0"/>
        <v>4.972E-2</v>
      </c>
      <c r="C9" s="10">
        <f t="shared" si="1"/>
        <v>4.972E-2</v>
      </c>
      <c r="D9" s="19">
        <v>95.98</v>
      </c>
      <c r="E9" s="11"/>
      <c r="F9" s="4" t="s">
        <v>4</v>
      </c>
    </row>
    <row r="10" spans="1:6" x14ac:dyDescent="0.15">
      <c r="A10" s="9">
        <v>4.7E-2</v>
      </c>
      <c r="B10" s="10">
        <f t="shared" si="0"/>
        <v>4.7E-2</v>
      </c>
      <c r="C10" s="10">
        <f t="shared" si="1"/>
        <v>4.7E-2</v>
      </c>
      <c r="D10" s="19">
        <v>100</v>
      </c>
      <c r="E10" s="11"/>
      <c r="F10" s="4" t="s">
        <v>5</v>
      </c>
    </row>
    <row r="11" spans="1:6" x14ac:dyDescent="0.15">
      <c r="A11" s="12">
        <v>0.185</v>
      </c>
      <c r="B11" s="9"/>
      <c r="C11" s="9"/>
      <c r="D11" s="9"/>
      <c r="E11" s="11"/>
      <c r="F11" s="4" t="s">
        <v>6</v>
      </c>
    </row>
    <row r="12" spans="1:6" x14ac:dyDescent="0.15">
      <c r="A12" s="13">
        <f>A11</f>
        <v>0.185</v>
      </c>
      <c r="B12" s="10">
        <f>IF(B11&gt;0,B11,A$12*SQRT(((B$9+B$10)/2)/SQRT(B$37)))</f>
        <v>3.9437632251167393E-2</v>
      </c>
      <c r="C12" s="10">
        <f>IF(C11&gt;0,C11,A$12*((C$9+C$10)/2))</f>
        <v>8.9466000000000007E-3</v>
      </c>
      <c r="D12" s="10">
        <f>IF(D11&gt;0,D11,100*A12*(((A9/D9)*D16)+((A10/D10)*D17))/2)</f>
        <v>0.13486080025697186</v>
      </c>
      <c r="E12" s="11"/>
      <c r="F12" s="4" t="s">
        <v>7</v>
      </c>
    </row>
    <row r="13" spans="1:6" x14ac:dyDescent="0.15">
      <c r="A13" s="14">
        <v>4.972E-2</v>
      </c>
      <c r="B13" s="15">
        <f>A13</f>
        <v>4.972E-2</v>
      </c>
      <c r="C13" s="15">
        <f>A13</f>
        <v>4.972E-2</v>
      </c>
      <c r="D13" s="15">
        <f>B13</f>
        <v>4.972E-2</v>
      </c>
      <c r="E13" s="11"/>
      <c r="F13" s="4" t="s">
        <v>8</v>
      </c>
    </row>
    <row r="14" spans="1:6" x14ac:dyDescent="0.15">
      <c r="A14" s="5">
        <v>27</v>
      </c>
      <c r="B14" s="6">
        <f>A14</f>
        <v>27</v>
      </c>
      <c r="C14" s="6">
        <f>A14</f>
        <v>27</v>
      </c>
      <c r="D14" s="6">
        <f>B14</f>
        <v>27</v>
      </c>
      <c r="E14" s="11"/>
      <c r="F14" s="4" t="s">
        <v>9</v>
      </c>
    </row>
    <row r="15" spans="1:6" x14ac:dyDescent="0.15">
      <c r="A15" s="6">
        <f>PV(A9/2,2*A14,-0.5)</f>
        <v>14.772110628208457</v>
      </c>
      <c r="B15" s="6">
        <f>PV(B9/2,2*B14,-0.5)</f>
        <v>14.772110628208457</v>
      </c>
      <c r="C15" s="6">
        <f>PV(C9/2,2*C14,-0.5)</f>
        <v>14.772110628208457</v>
      </c>
      <c r="D15" s="27">
        <v>4.7</v>
      </c>
      <c r="E15" s="7"/>
      <c r="F15" s="25" t="s">
        <v>48</v>
      </c>
    </row>
    <row r="16" spans="1:6" x14ac:dyDescent="0.15">
      <c r="A16" s="6">
        <f>A15/((1+A13/2)^((A8-A5)/182.625))</f>
        <v>13.044468407639295</v>
      </c>
      <c r="B16" s="6">
        <f>B15/((1+B13/2)^((B8-B5)/182.625))</f>
        <v>13.044468407639295</v>
      </c>
      <c r="C16" s="6">
        <f>C15/((1+C13/2)^((C8-C5)/182.625))</f>
        <v>13.044468407639295</v>
      </c>
      <c r="D16" s="6">
        <f>(PV((A9+0.0005)/2,2*D$14,D$15/2,100) - PV((A9-0.0005)/2,2*D$14,D$15/2,100))/0.1</f>
        <v>14.346985339950749</v>
      </c>
      <c r="F16" s="25" t="s">
        <v>51</v>
      </c>
    </row>
    <row r="17" spans="1:9" x14ac:dyDescent="0.15">
      <c r="A17" s="6"/>
      <c r="B17" s="6"/>
      <c r="C17" s="6"/>
      <c r="D17" s="6">
        <f>(PV((A10+0.0005)/2,2*D$14,D$15/2,100) - PV((A10-0.0005)/2,2*D$14,D$15/2,100))/0.1</f>
        <v>15.207350632798864</v>
      </c>
      <c r="F17" s="25" t="s">
        <v>52</v>
      </c>
    </row>
    <row r="18" spans="1:9" x14ac:dyDescent="0.15">
      <c r="A18" s="16">
        <f>(A8-A5)/365.25</f>
        <v>2.5325119780971939</v>
      </c>
      <c r="B18" s="16">
        <f>(B8-B5)/365.25</f>
        <v>2.5325119780971939</v>
      </c>
      <c r="C18" s="16">
        <f>(C8-C5)/365.25</f>
        <v>2.5325119780971939</v>
      </c>
      <c r="D18" s="16">
        <f>(D8-D5)/365.25</f>
        <v>2.5325119780971939</v>
      </c>
      <c r="E18" s="16"/>
      <c r="F18" s="4" t="s">
        <v>10</v>
      </c>
    </row>
    <row r="19" spans="1:9" x14ac:dyDescent="0.15">
      <c r="A19" s="17">
        <f>A16*(A9*A52-A10*A56)*100</f>
        <v>9.289161838557316</v>
      </c>
      <c r="B19" s="17">
        <f>B16*(B9*B52-B10*B56)*100</f>
        <v>9.3078242772395452</v>
      </c>
      <c r="C19" s="17">
        <f>((C9-C10)*C52+C39*C42)*100*C16</f>
        <v>9.318054367310376</v>
      </c>
      <c r="D19" s="26">
        <f>(D10*(1-D56)-D9*(1-D52))/D37</f>
        <v>9.3025024993219603</v>
      </c>
      <c r="F19" s="4" t="s">
        <v>11</v>
      </c>
    </row>
    <row r="20" spans="1:9" x14ac:dyDescent="0.15">
      <c r="A20" s="13">
        <f>A52</f>
        <v>0.63242603361984273</v>
      </c>
      <c r="B20" s="18">
        <f>(A20+C20)/2</f>
        <v>0.60409384137867017</v>
      </c>
      <c r="C20" s="13">
        <f>C52</f>
        <v>0.57576164913749761</v>
      </c>
      <c r="D20" s="13">
        <f>(1-D52)/D37</f>
        <v>0.47104503461718844</v>
      </c>
      <c r="E20" s="13"/>
      <c r="F20" s="25" t="s">
        <v>50</v>
      </c>
    </row>
    <row r="21" spans="1:9" x14ac:dyDescent="0.15">
      <c r="A21" s="17">
        <f>A19-A16*(A9-A10)*100</f>
        <v>5.7410664316794273</v>
      </c>
      <c r="B21" s="17">
        <f>B19-B16*(B9-B10)*100</f>
        <v>5.7597288703616565</v>
      </c>
      <c r="C21" s="17">
        <f>C19-C16*(C9-C10)*100</f>
        <v>5.7699589604324872</v>
      </c>
      <c r="D21" s="26">
        <f>(D9*D52-D10*D56)/D37</f>
        <v>5.7526534412886319</v>
      </c>
      <c r="F21" s="4" t="s">
        <v>12</v>
      </c>
    </row>
    <row r="22" spans="1:9" x14ac:dyDescent="0.15">
      <c r="A22" s="13">
        <f>1-A20</f>
        <v>0.36757396638015727</v>
      </c>
      <c r="B22" s="18">
        <f>(A22+C22)/2</f>
        <v>0.39590615862132983</v>
      </c>
      <c r="C22" s="13">
        <f>1-C20</f>
        <v>0.42423835086250239</v>
      </c>
      <c r="D22" s="13">
        <f>D52/D37</f>
        <v>0.41200199474433702</v>
      </c>
      <c r="E22" s="13"/>
      <c r="F22" s="25" t="s">
        <v>49</v>
      </c>
    </row>
    <row r="23" spans="1:9" x14ac:dyDescent="0.15">
      <c r="A23" s="6">
        <f>A19+A21</f>
        <v>15.030228270236744</v>
      </c>
      <c r="B23" s="6">
        <f>B19+B21</f>
        <v>15.067553147601203</v>
      </c>
      <c r="C23" s="6">
        <f>C19+C21</f>
        <v>15.088013327742864</v>
      </c>
      <c r="D23" s="6"/>
      <c r="F23" s="4" t="s">
        <v>13</v>
      </c>
    </row>
    <row r="24" spans="1:9" x14ac:dyDescent="0.15">
      <c r="A24" s="16">
        <f>10000*(A16*A9*A12*1/SQRT(2*PI())*EXP((-0.5)*A49*A49)/(2*SQRT(A18))/365.25)</f>
        <v>0.38885861930113796</v>
      </c>
      <c r="B24" s="16"/>
      <c r="C24" s="16"/>
      <c r="D24" s="16"/>
      <c r="E24" s="16"/>
      <c r="F24" s="4" t="s">
        <v>14</v>
      </c>
    </row>
    <row r="25" spans="1:9" x14ac:dyDescent="0.15">
      <c r="A25" s="16">
        <f>2*A24*A18/A12*365.25/100</f>
        <v>38.885861930113798</v>
      </c>
      <c r="B25" s="16"/>
      <c r="C25" s="16"/>
      <c r="D25" s="16"/>
      <c r="E25" s="16"/>
      <c r="F25" s="4" t="s">
        <v>15</v>
      </c>
    </row>
    <row r="26" spans="1:9" x14ac:dyDescent="0.15">
      <c r="A26" s="16">
        <f>A24/(1000000*0.5*(A9*A12/SQRT(365))^2)</f>
        <v>3.3551264533004992</v>
      </c>
      <c r="B26" s="16"/>
      <c r="C26" s="16"/>
      <c r="D26" s="16"/>
      <c r="E26" s="16"/>
      <c r="F26" s="4" t="s">
        <v>16</v>
      </c>
    </row>
    <row r="27" spans="1:9" x14ac:dyDescent="0.15">
      <c r="A27" s="19">
        <v>20</v>
      </c>
      <c r="B27">
        <f>A27</f>
        <v>20</v>
      </c>
      <c r="C27">
        <f>A27</f>
        <v>20</v>
      </c>
      <c r="E27" s="20"/>
      <c r="F27" s="4" t="s">
        <v>17</v>
      </c>
    </row>
    <row r="28" spans="1:9" x14ac:dyDescent="0.15">
      <c r="A28" s="6">
        <f>A$27*A19*10</f>
        <v>1857.8323677114633</v>
      </c>
      <c r="B28" s="6">
        <f>B$27*B19*10</f>
        <v>1861.5648554479092</v>
      </c>
      <c r="C28" s="6">
        <f>C$27*C19*10</f>
        <v>1863.6108734620752</v>
      </c>
      <c r="D28" s="6"/>
      <c r="F28" s="4" t="s">
        <v>18</v>
      </c>
    </row>
    <row r="29" spans="1:9" x14ac:dyDescent="0.15">
      <c r="A29" s="6">
        <f>A$27*A21*10</f>
        <v>1148.2132863358854</v>
      </c>
      <c r="B29" s="6">
        <f>B$27*B21*10</f>
        <v>1151.9457740723312</v>
      </c>
      <c r="C29" s="6">
        <f>C$27*C21*10</f>
        <v>1153.9917920864973</v>
      </c>
      <c r="D29" s="6"/>
      <c r="F29" s="4" t="s">
        <v>19</v>
      </c>
    </row>
    <row r="30" spans="1:9" x14ac:dyDescent="0.15">
      <c r="A30">
        <f>(-A27)*10000*A24/10000</f>
        <v>-7.7771723860227588</v>
      </c>
      <c r="F30" s="4" t="s">
        <v>20</v>
      </c>
    </row>
    <row r="31" spans="1:9" x14ac:dyDescent="0.15">
      <c r="A31">
        <f>A27*A26</f>
        <v>67.102529066009978</v>
      </c>
      <c r="F31" s="4" t="s">
        <v>21</v>
      </c>
      <c r="I31" s="6"/>
    </row>
    <row r="32" spans="1:9" x14ac:dyDescent="0.15">
      <c r="A32">
        <f>A25/10000*A27*10000</f>
        <v>777.71723860227598</v>
      </c>
      <c r="F32" s="4" t="s">
        <v>22</v>
      </c>
      <c r="I32" s="6"/>
    </row>
    <row r="33" spans="1:6" x14ac:dyDescent="0.15">
      <c r="A33" s="21">
        <f>A27*100*((-A16)*A20+A47*A19/A15)</f>
        <v>-16978.247060549005</v>
      </c>
      <c r="B33" s="21"/>
      <c r="C33" s="21">
        <f>C27*100*((-C16)*C20+C47*C19/C15)</f>
        <v>-15501.423135275307</v>
      </c>
      <c r="D33" s="21"/>
      <c r="F33" s="4" t="s">
        <v>23</v>
      </c>
    </row>
    <row r="34" spans="1:6" x14ac:dyDescent="0.15">
      <c r="A34" s="21">
        <f>A27*100*(A16*A22+A47*A21/A15)</f>
        <v>9293.6200219655366</v>
      </c>
      <c r="B34" s="21"/>
      <c r="C34" s="21">
        <f>C27*100*(C16*C22+C47*C21/C15)</f>
        <v>10770.443947239233</v>
      </c>
      <c r="D34" s="21"/>
      <c r="F34" s="4" t="s">
        <v>24</v>
      </c>
    </row>
    <row r="35" spans="1:6" x14ac:dyDescent="0.15">
      <c r="A35" s="22"/>
      <c r="B35" s="22"/>
      <c r="C35" s="22"/>
      <c r="D35" s="22"/>
      <c r="E35" s="22"/>
    </row>
    <row r="36" spans="1:6" x14ac:dyDescent="0.15">
      <c r="A36" s="22"/>
      <c r="B36" s="15">
        <f>2*LN(1+B13/2)</f>
        <v>4.9112035791774832E-2</v>
      </c>
      <c r="C36" s="15">
        <f>2*LN(1+C13/2)</f>
        <v>4.9112035791774832E-2</v>
      </c>
      <c r="D36" s="15">
        <f>2*LN(1+D13/2)</f>
        <v>4.9112035791774832E-2</v>
      </c>
      <c r="E36" s="15"/>
      <c r="F36" s="4" t="s">
        <v>25</v>
      </c>
    </row>
    <row r="37" spans="1:6" x14ac:dyDescent="0.15">
      <c r="A37" s="22"/>
      <c r="B37" s="23">
        <f>EXP(B36*B18)</f>
        <v>1.1324425163663545</v>
      </c>
      <c r="C37" s="23">
        <f>EXP(C36*C18)</f>
        <v>1.1324425163663545</v>
      </c>
      <c r="D37" s="23">
        <f>EXP(D36*D18)</f>
        <v>1.1324425163663545</v>
      </c>
      <c r="E37" s="23"/>
      <c r="F37" s="4" t="s">
        <v>26</v>
      </c>
    </row>
    <row r="38" spans="1:6" x14ac:dyDescent="0.15">
      <c r="A38" s="22"/>
      <c r="B38" s="10">
        <f>A$12*SQRT(((B$9+B$10)/2)/SQRT(B$37))</f>
        <v>3.9437632251167393E-2</v>
      </c>
      <c r="C38" s="10">
        <f>A$12*((C$9+C$10)/2)</f>
        <v>8.9466000000000007E-3</v>
      </c>
      <c r="D38" s="10"/>
      <c r="E38" s="23"/>
      <c r="F38" s="4" t="s">
        <v>27</v>
      </c>
    </row>
    <row r="39" spans="1:6" x14ac:dyDescent="0.15">
      <c r="A39" s="22"/>
      <c r="B39" s="6">
        <f>4*B$36*B9/(B$12*B$12*(B$37-1))</f>
        <v>47.416550747179706</v>
      </c>
      <c r="C39" s="23">
        <f>C12*SQRT(C18)</f>
        <v>1.4237501231690271E-2</v>
      </c>
      <c r="D39" s="23"/>
      <c r="E39" s="23"/>
      <c r="F39" s="4" t="s">
        <v>28</v>
      </c>
    </row>
    <row r="40" spans="1:6" x14ac:dyDescent="0.15">
      <c r="A40" s="22"/>
      <c r="B40" s="6">
        <f>4*B$36*B10/(B$12*B$12*(B$37-1))</f>
        <v>44.822564061091036</v>
      </c>
      <c r="C40" s="23">
        <f>(C9-C10)/(C$39)</f>
        <v>0.19104475959206521</v>
      </c>
      <c r="D40" s="6"/>
      <c r="F40" s="4" t="s">
        <v>29</v>
      </c>
    </row>
    <row r="41" spans="1:6" x14ac:dyDescent="0.15">
      <c r="A41" s="22"/>
      <c r="B41" s="6">
        <f>1-2*((4+B39)*(4+3*B39)/((4+2*B39)^2))/3</f>
        <v>0.48678224400493131</v>
      </c>
      <c r="C41" s="6"/>
      <c r="D41" s="6"/>
      <c r="F41" s="4" t="s">
        <v>30</v>
      </c>
    </row>
    <row r="42" spans="1:6" x14ac:dyDescent="0.15">
      <c r="A42" s="22"/>
      <c r="B42" s="6">
        <v>0.5</v>
      </c>
      <c r="C42" s="23">
        <f>EXP(-0.5*((C40)^2))/(SQRT(2*PI()))</f>
        <v>0.39172798993207059</v>
      </c>
      <c r="D42" s="23"/>
      <c r="E42" s="23"/>
      <c r="F42" s="4" t="s">
        <v>31</v>
      </c>
    </row>
    <row r="43" spans="1:6" x14ac:dyDescent="0.15">
      <c r="A43" s="22"/>
      <c r="B43" s="23">
        <f>((1+B41*(B41-1)*((4+2*B39)/((4+B39)^2))-B41*(B41-1)*(2-B41)*(1-3*B41)*((4+2*B39)^2/(2*(4+B39)^4))-(B40/(4+B39))^B41))</f>
        <v>5.516587869089562E-2</v>
      </c>
      <c r="C43" s="23"/>
      <c r="D43" s="23"/>
      <c r="E43" s="23"/>
      <c r="F43" s="4" t="s">
        <v>32</v>
      </c>
    </row>
    <row r="44" spans="1:6" x14ac:dyDescent="0.15">
      <c r="A44" s="22"/>
      <c r="B44" s="23">
        <f>SQRT((2*(B41^2)*((4+2*B39)/((4+B39)^2))*(1-(1-B41)*(1-3*B41)*((4+2*B39)/((4+B39)^2)))))</f>
        <v>0.1336926495458832</v>
      </c>
      <c r="C44" s="22"/>
      <c r="D44" s="22"/>
      <c r="E44" s="22"/>
      <c r="F44" s="4" t="s">
        <v>33</v>
      </c>
    </row>
    <row r="45" spans="1:6" x14ac:dyDescent="0.15">
      <c r="A45" s="22"/>
      <c r="B45" s="23">
        <f>((1+B42*(B42-1)*((2*B39)/((B39)^2))-B42*(B42-1)*(2-B42)*(1-3*B42)*((2*B39)^2/(2*(B39)^4))-(B40/(B39))^B42))</f>
        <v>1.7026240823373562E-2</v>
      </c>
      <c r="C45" s="22"/>
      <c r="D45" s="22"/>
      <c r="E45" s="22"/>
      <c r="F45" s="4" t="s">
        <v>34</v>
      </c>
    </row>
    <row r="46" spans="1:6" x14ac:dyDescent="0.15">
      <c r="B46" s="23">
        <f>SQRT((2*(B42^2)*((2*B39)/((B39)^2))*(1-(1-B42)*(1-3*B42)*((2*B39)/((B39)^2)))))</f>
        <v>0.14598653993824284</v>
      </c>
      <c r="C46" s="22"/>
      <c r="D46" s="22"/>
      <c r="E46" s="22"/>
      <c r="F46" s="4" t="s">
        <v>35</v>
      </c>
    </row>
    <row r="47" spans="1:6" x14ac:dyDescent="0.15">
      <c r="A47" s="6">
        <f>(PV(-0.5,(A9+0.001)/2,2*A14)-PV(-0.5,(A9-0.001)/2,2*A14))/0.2</f>
        <v>-0.38080516939016484</v>
      </c>
      <c r="B47" s="6">
        <f>(PV(-0.5,(B9+0.001)/2,2*B14)-PV(-0.5,(B9-0.001)/2,2*B14))/0.2</f>
        <v>-0.38080516939016484</v>
      </c>
      <c r="C47" s="6">
        <f>(PV(-0.5,(C9+0.001)/2,2*C14)-PV(-0.5,(C9-0.001)/2,2*C14))/0.2</f>
        <v>-0.38080516939016484</v>
      </c>
      <c r="D47" s="6"/>
      <c r="E47" s="22"/>
      <c r="F47" s="4" t="s">
        <v>36</v>
      </c>
    </row>
    <row r="48" spans="1:6" x14ac:dyDescent="0.15">
      <c r="A48" s="22"/>
      <c r="B48" s="22"/>
      <c r="C48" s="22"/>
      <c r="D48" s="22"/>
      <c r="E48" s="22"/>
    </row>
    <row r="49" spans="1:8" x14ac:dyDescent="0.15">
      <c r="A49" s="23">
        <f>(LN(A9/A10)+0.5*A12^2*A18)/(A12*SQRT(A18))</f>
        <v>0.33829842727336884</v>
      </c>
      <c r="B49" s="23">
        <f>B43/B44</f>
        <v>0.41263209965752634</v>
      </c>
      <c r="C49" s="23">
        <f>C40</f>
        <v>0.19104475959206521</v>
      </c>
      <c r="D49" s="23">
        <f>(LN(D9/D10)+0.5*D12^2*D18)/(D12*SQRT(D18))</f>
        <v>-8.3872711130904359E-2</v>
      </c>
      <c r="F49" s="4" t="s">
        <v>37</v>
      </c>
      <c r="H49" s="6"/>
    </row>
    <row r="50" spans="1:8" x14ac:dyDescent="0.15">
      <c r="A50" s="23">
        <f>1/(1+0.33267*ABS(A49))</f>
        <v>0.89884268250153621</v>
      </c>
      <c r="B50" s="23">
        <f>1/(1+0.33267*ABS(B49))</f>
        <v>0.87929842350806731</v>
      </c>
      <c r="C50" s="23">
        <f>1/(1+0.33267*ABS(C49))</f>
        <v>0.94024298834652975</v>
      </c>
      <c r="D50" s="23">
        <f>1/(1+0.33267*ABS(D49))</f>
        <v>0.97285545063496404</v>
      </c>
      <c r="F50" s="4" t="s">
        <v>38</v>
      </c>
    </row>
    <row r="51" spans="1:8" x14ac:dyDescent="0.15">
      <c r="A51" s="23">
        <f>1-1/SQRT(2*PI())*EXP((-0.5)*A49*A49)*(0.4361836*A50-0.1201676*A50^2+0.937298*A50^3)</f>
        <v>0.63242603361984273</v>
      </c>
      <c r="B51" s="23">
        <f>1-1/SQRT(2*PI())*EXP((-0.5)*B49*B49)*(0.4361836*B50-0.1201676*B50^2+0.937298*B50^3)</f>
        <v>0.66005282565038714</v>
      </c>
      <c r="C51" s="23">
        <f>1-1/SQRT(2*PI())*EXP((-0.5)*C49*C49)*(0.4361836*C50-0.1201676*C50^2+0.937298*C50^3)</f>
        <v>0.57576164913749761</v>
      </c>
      <c r="D51" s="23">
        <f>1-1/SQRT(2*PI())*EXP((-0.5)*D49*D49)*(0.4361836*D50-0.1201676*D50^2+0.937298*D50^3)</f>
        <v>0.53343142432376545</v>
      </c>
    </row>
    <row r="52" spans="1:8" x14ac:dyDescent="0.15">
      <c r="A52" s="23">
        <f>IF(A49&gt;0,A51,1-A51)</f>
        <v>0.63242603361984273</v>
      </c>
      <c r="B52" s="23">
        <f>IF(B49&gt;0,B51,1-B51)</f>
        <v>0.66005282565038714</v>
      </c>
      <c r="C52" s="23">
        <f>IF(C49&gt;0,C51,1-C51)</f>
        <v>0.57576164913749761</v>
      </c>
      <c r="D52" s="23">
        <f>IF(D49&gt;0,D51,1-D51)</f>
        <v>0.46656857567623455</v>
      </c>
      <c r="F52" s="4" t="s">
        <v>39</v>
      </c>
      <c r="G52">
        <f>_xlfn.NORM.S.DIST(D49,TRUE)</f>
        <v>0.46657881822761132</v>
      </c>
      <c r="H52" s="6">
        <f>IF(H49&gt;0,H51,1-H51)</f>
        <v>1</v>
      </c>
    </row>
    <row r="53" spans="1:8" x14ac:dyDescent="0.15">
      <c r="A53" s="23">
        <f>A49-A12*SQRT(A18)</f>
        <v>4.3891867478284663E-2</v>
      </c>
      <c r="B53" s="23">
        <f>B45/B46</f>
        <v>0.1166288401011232</v>
      </c>
      <c r="C53" s="23"/>
      <c r="D53" s="23">
        <f>D49-D12*SQRT(D18)</f>
        <v>-0.29848840980586155</v>
      </c>
      <c r="F53" s="4" t="s">
        <v>40</v>
      </c>
    </row>
    <row r="54" spans="1:8" x14ac:dyDescent="0.15">
      <c r="A54" s="23">
        <f>1/(1+0.33267*ABS(A53))</f>
        <v>0.98560862817048023</v>
      </c>
      <c r="B54" s="23">
        <f>1/(1+0.33267*ABS(B53))</f>
        <v>0.96265021494534408</v>
      </c>
      <c r="C54" s="23"/>
      <c r="D54" s="23">
        <f>1/(1+0.33267*ABS(D53))</f>
        <v>0.90967132960468866</v>
      </c>
      <c r="F54" s="4" t="s">
        <v>38</v>
      </c>
    </row>
    <row r="55" spans="1:8" x14ac:dyDescent="0.15">
      <c r="A55" s="23">
        <f>1-1/SQRT(2*PI())*EXP((-0.5)*A53*A53)*(0.4361836*A54-0.1201676*A54^2+0.937298*A54^3)</f>
        <v>0.51751217498110635</v>
      </c>
      <c r="B55" s="23">
        <f>1-1/SQRT(2*PI())*EXP((-0.5)*B53*B53)*(0.4361836*B54-0.1201676*B54^2+0.937298*B54^3)</f>
        <v>0.54643339447362016</v>
      </c>
      <c r="C55" s="23"/>
      <c r="D55" s="23">
        <f>1-1/SQRT(2*PI())*EXP((-0.5)*D53*D53)*(0.4361836*D54-0.1201676*D54^2+0.937298*D54^3)</f>
        <v>0.61733297445431479</v>
      </c>
    </row>
    <row r="56" spans="1:8" x14ac:dyDescent="0.15">
      <c r="A56" s="23">
        <f>IF(A53&gt;0,A55,1-A55)</f>
        <v>0.51751217498110635</v>
      </c>
      <c r="B56" s="23">
        <f>IF(B53&gt;0,B55,1-B55)</f>
        <v>0.54643339447362016</v>
      </c>
      <c r="C56" s="23"/>
      <c r="D56" s="23">
        <f>IF(D53&gt;0,D55,1-D55)</f>
        <v>0.38266702554568521</v>
      </c>
      <c r="F56" s="4" t="s">
        <v>41</v>
      </c>
      <c r="G56">
        <f>_xlfn.NORM.S.DIST(D53,TRUE)</f>
        <v>0.38266521040843982</v>
      </c>
      <c r="H56" s="6">
        <f>IF(H53&gt;0,H55,1-H55)</f>
        <v>1</v>
      </c>
    </row>
  </sheetData>
  <phoneticPr fontId="0" type="noConversion"/>
  <hyperlinks>
    <hyperlink ref="C1" r:id="rId1" xr:uid="{27BAAAC9-710E-DD44-8418-73912F971521}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S. Coleman</cp:lastModifiedBy>
  <dcterms:created xsi:type="dcterms:W3CDTF">2024-02-22T17:35:10Z</dcterms:created>
  <dcterms:modified xsi:type="dcterms:W3CDTF">2024-06-28T23:51:00Z</dcterms:modified>
</cp:coreProperties>
</file>