
<file path=[Content_Types].xml><?xml version="1.0" encoding="utf-8"?>
<Types xmlns="http://schemas.openxmlformats.org/package/2006/content-types">
  <Override PartName="/xl/charts/chart189.xml" ContentType="application/vnd.openxmlformats-officedocument.drawingml.char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178.xml" ContentType="application/vnd.openxmlformats-officedocument.drawingml.chart+xml"/>
  <Override PartName="/xl/charts/chart109.xml" ContentType="application/vnd.openxmlformats-officedocument.drawingml.chart+xml"/>
  <Override PartName="/xl/charts/chart156.xml" ContentType="application/vnd.openxmlformats-officedocument.drawingml.chart+xml"/>
  <Override PartName="/xl/charts/chart167.xml" ContentType="application/vnd.openxmlformats-officedocument.drawingml.chart+xml"/>
  <Default Extension="xml" ContentType="application/xml"/>
  <Override PartName="/xl/charts/chart49.xml" ContentType="application/vnd.openxmlformats-officedocument.drawingml.chart+xml"/>
  <Override PartName="/xl/charts/chart96.xml" ContentType="application/vnd.openxmlformats-officedocument.drawingml.chart+xml"/>
  <Override PartName="/xl/drawings/drawing2.xml" ContentType="application/vnd.openxmlformats-officedocument.drawing+xml"/>
  <Override PartName="/xl/charts/chart145.xml" ContentType="application/vnd.openxmlformats-officedocument.drawingml.chart+xml"/>
  <Override PartName="/xl/charts/chart192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34.xml" ContentType="application/vnd.openxmlformats-officedocument.drawingml.chart+xml"/>
  <Override PartName="/xl/charts/chart181.xml" ContentType="application/vnd.openxmlformats-officedocument.drawingml.chart+xml"/>
  <Override PartName="/xl/charts/chart16.xml" ContentType="application/vnd.openxmlformats-officedocument.drawingml.chart+xml"/>
  <Override PartName="/xl/charts/chart63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charts/chart170.xml" ContentType="application/vnd.openxmlformats-officedocument.drawingml.chart+xml"/>
  <Override PartName="/xl/charts/chart52.xml" ContentType="application/vnd.openxmlformats-officedocument.drawingml.chart+xml"/>
  <Override PartName="/xl/charts/chart101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224.xml" ContentType="application/vnd.openxmlformats-officedocument.drawingml.chart+xml"/>
  <Override PartName="/xl/charts/chart213.xml" ContentType="application/vnd.openxmlformats-officedocument.drawingml.chart+xml"/>
  <Override PartName="/xl/charts/chart139.xml" ContentType="application/vnd.openxmlformats-officedocument.drawingml.chart+xml"/>
  <Override PartName="/xl/charts/chart186.xml" ContentType="application/vnd.openxmlformats-officedocument.drawingml.chart+xml"/>
  <Override PartName="/xl/charts/chart197.xml" ContentType="application/vnd.openxmlformats-officedocument.drawingml.chart+xml"/>
  <Override PartName="/xl/charts/chart202.xml" ContentType="application/vnd.openxmlformats-officedocument.drawingml.char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charts/chart157.xml" ContentType="application/vnd.openxmlformats-officedocument.drawingml.chart+xml"/>
  <Override PartName="/xl/charts/chart175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xl/charts/chart135.xml" ContentType="application/vnd.openxmlformats-officedocument.drawingml.chart+xml"/>
  <Override PartName="/xl/charts/chart146.xml" ContentType="application/vnd.openxmlformats-officedocument.drawingml.chart+xml"/>
  <Override PartName="/xl/charts/chart164.xml" ContentType="application/vnd.openxmlformats-officedocument.drawingml.chart+xml"/>
  <Override PartName="/xl/charts/chart182.xml" ContentType="application/vnd.openxmlformats-officedocument.drawingml.chart+xml"/>
  <Override PartName="/xl/charts/chart193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24.xml" ContentType="application/vnd.openxmlformats-officedocument.drawingml.chart+xml"/>
  <Override PartName="/xl/charts/chart142.xml" ContentType="application/vnd.openxmlformats-officedocument.drawingml.chart+xml"/>
  <Override PartName="/xl/charts/chart153.xml" ContentType="application/vnd.openxmlformats-officedocument.drawingml.chart+xml"/>
  <Override PartName="/xl/charts/chart171.xml" ContentType="application/vnd.openxmlformats-officedocument.drawingml.chart+xml"/>
  <Override PartName="/xl/charts/chart17.xml" ContentType="application/vnd.openxmlformats-officedocument.drawingml.chart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82.xml" ContentType="application/vnd.openxmlformats-officedocument.drawingml.chart+xml"/>
  <Override PartName="/xl/charts/chart113.xml" ContentType="application/vnd.openxmlformats-officedocument.drawingml.chart+xml"/>
  <Override PartName="/xl/charts/chart131.xml" ContentType="application/vnd.openxmlformats-officedocument.drawingml.chart+xml"/>
  <Override PartName="/xl/charts/chart160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charts/chart102.xml" ContentType="application/vnd.openxmlformats-officedocument.drawingml.chart+xml"/>
  <Override PartName="/xl/charts/chart120.xml" ContentType="application/vnd.openxmlformats-officedocument.drawingml.chart+xml"/>
  <Override PartName="/xl/charts/chart207.xml" ContentType="application/vnd.openxmlformats-officedocument.drawingml.chart+xml"/>
  <Override PartName="/xl/charts/chart218.xml" ContentType="application/vnd.openxmlformats-officedocument.drawingml.chart+xml"/>
  <Override PartName="/xl/charts/chart31.xml" ContentType="application/vnd.openxmlformats-officedocument.drawingml.chart+xml"/>
  <Override PartName="/xl/charts/chart60.xml" ContentType="application/vnd.openxmlformats-officedocument.drawingml.chart+xml"/>
  <Override PartName="/xl/charts/chart225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chart198.xml" ContentType="application/vnd.openxmlformats-officedocument.drawingml.chart+xml"/>
  <Override PartName="/xl/charts/chart203.xml" ContentType="application/vnd.openxmlformats-officedocument.drawingml.chart+xml"/>
  <Override PartName="/xl/charts/chart214.xml" ContentType="application/vnd.openxmlformats-officedocument.drawingml.chart+xml"/>
  <Override PartName="/xl/theme/theme1.xml" ContentType="application/vnd.openxmlformats-officedocument.theme+xml"/>
  <Override PartName="/xl/charts/chart158.xml" ContentType="application/vnd.openxmlformats-officedocument.drawingml.chart+xml"/>
  <Override PartName="/xl/charts/chart169.xml" ContentType="application/vnd.openxmlformats-officedocument.drawingml.chart+xml"/>
  <Override PartName="/xl/charts/chart187.xml" ContentType="application/vnd.openxmlformats-officedocument.drawingml.chart+xml"/>
  <Override PartName="/xl/charts/chart210.xml" ContentType="application/vnd.openxmlformats-officedocument.drawingml.chart+xml"/>
  <Override PartName="/xl/charts/chart221.xml" ContentType="application/vnd.openxmlformats-officedocument.drawingml.chart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Override PartName="/xl/charts/chart147.xml" ContentType="application/vnd.openxmlformats-officedocument.drawingml.chart+xml"/>
  <Override PartName="/xl/charts/chart165.xml" ContentType="application/vnd.openxmlformats-officedocument.drawingml.chart+xml"/>
  <Override PartName="/xl/charts/chart176.xml" ContentType="application/vnd.openxmlformats-officedocument.drawingml.chart+xml"/>
  <Override PartName="/xl/charts/chart194.xml" ContentType="application/vnd.openxmlformats-officedocument.drawingml.chart+xml"/>
  <Default Extension="rels" ContentType="application/vnd.openxmlformats-package.relationships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54.xml" ContentType="application/vnd.openxmlformats-officedocument.drawingml.chart+xml"/>
  <Override PartName="/xl/charts/chart183.xml" ContentType="application/vnd.openxmlformats-officedocument.drawingml.chart+xml"/>
  <Override PartName="/xl/externalLinks/externalLink3.xml" ContentType="application/vnd.openxmlformats-officedocument.spreadsheetml.externalLink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charts/chart161.xml" ContentType="application/vnd.openxmlformats-officedocument.drawingml.chart+xml"/>
  <Override PartName="/xl/charts/chart172.xml" ContentType="application/vnd.openxmlformats-officedocument.drawingml.chart+xml"/>
  <Override PartName="/xl/charts/chart190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32.xml" ContentType="application/vnd.openxmlformats-officedocument.drawingml.chart+xml"/>
  <Override PartName="/xl/charts/chart150.xml" ContentType="application/vnd.openxmlformats-officedocument.drawingml.chart+xml"/>
  <Override PartName="/xl/charts/chart219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08.xml" ContentType="application/vnd.openxmlformats-officedocument.drawingml.chart+xml"/>
  <Override PartName="/xl/charts/chart226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215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188.xml" ContentType="application/vnd.openxmlformats-officedocument.drawingml.chart+xml"/>
  <Override PartName="/xl/charts/chart199.xml" ContentType="application/vnd.openxmlformats-officedocument.drawingml.chart+xml"/>
  <Override PartName="/xl/charts/chart204.xml" ContentType="application/vnd.openxmlformats-officedocument.drawingml.chart+xml"/>
  <Override PartName="/xl/charts/chart222.xml" ContentType="application/vnd.openxmlformats-officedocument.drawingml.chart+xml"/>
  <Override PartName="/xl/charts/chart99.xml" ContentType="application/vnd.openxmlformats-officedocument.drawingml.chart+xml"/>
  <Override PartName="/xl/charts/chart159.xml" ContentType="application/vnd.openxmlformats-officedocument.drawingml.chart+xml"/>
  <Override PartName="/xl/charts/chart177.xml" ContentType="application/vnd.openxmlformats-officedocument.drawingml.chart+xml"/>
  <Override PartName="/xl/charts/chart211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  <Override PartName="/xl/charts/chart148.xml" ContentType="application/vnd.openxmlformats-officedocument.drawingml.chart+xml"/>
  <Override PartName="/xl/charts/chart166.xml" ContentType="application/vnd.openxmlformats-officedocument.drawingml.chart+xml"/>
  <Override PartName="/xl/charts/chart184.xml" ContentType="application/vnd.openxmlformats-officedocument.drawingml.chart+xml"/>
  <Override PartName="/xl/charts/chart195.xml" ContentType="application/vnd.openxmlformats-officedocument.drawingml.chart+xml"/>
  <Override PartName="/xl/charts/chart200.xml" ContentType="application/vnd.openxmlformats-officedocument.drawingml.chart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charts/chart155.xml" ContentType="application/vnd.openxmlformats-officedocument.drawingml.chart+xml"/>
  <Override PartName="/xl/charts/chart173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  <Override PartName="/xl/charts/chart133.xml" ContentType="application/vnd.openxmlformats-officedocument.drawingml.chart+xml"/>
  <Override PartName="/xl/charts/chart144.xml" ContentType="application/vnd.openxmlformats-officedocument.drawingml.chart+xml"/>
  <Override PartName="/xl/charts/chart162.xml" ContentType="application/vnd.openxmlformats-officedocument.drawingml.chart+xml"/>
  <Override PartName="/xl/charts/chart180.xml" ContentType="application/vnd.openxmlformats-officedocument.drawingml.chart+xml"/>
  <Override PartName="/xl/charts/chart191.xml" ContentType="application/vnd.openxmlformats-officedocument.drawingml.chart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22.xml" ContentType="application/vnd.openxmlformats-officedocument.drawingml.chart+xml"/>
  <Override PartName="/xl/charts/chart140.xml" ContentType="application/vnd.openxmlformats-officedocument.drawingml.chart+xml"/>
  <Override PartName="/xl/charts/chart151.xml" ContentType="application/vnd.openxmlformats-officedocument.drawingml.chart+xml"/>
  <Override PartName="/xl/charts/chart209.xml" ContentType="application/vnd.openxmlformats-officedocument.drawingml.char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  <Override PartName="/xl/charts/chart227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/chart205.xml" ContentType="application/vnd.openxmlformats-officedocument.drawingml.chart+xml"/>
  <Override PartName="/xl/charts/chart216.xml" ContentType="application/vnd.openxmlformats-officedocument.drawingml.chart+xml"/>
  <Override PartName="/xl/charts/chart223.xml" ContentType="application/vnd.openxmlformats-officedocument.drawingml.chart+xml"/>
  <Override PartName="/xl/charts/chart149.xml" ContentType="application/vnd.openxmlformats-officedocument.drawingml.chart+xml"/>
  <Override PartName="/xl/charts/chart196.xml" ContentType="application/vnd.openxmlformats-officedocument.drawingml.chart+xml"/>
  <Override PartName="/xl/charts/chart201.xml" ContentType="application/vnd.openxmlformats-officedocument.drawingml.chart+xml"/>
  <Override PartName="/xl/charts/chart212.xml" ContentType="application/vnd.openxmlformats-officedocument.drawingml.char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38.xml" ContentType="application/vnd.openxmlformats-officedocument.drawingml.chart+xml"/>
  <Override PartName="/xl/charts/chart185.xml" ContentType="application/vnd.openxmlformats-officedocument.drawingml.chart+xml"/>
  <Override PartName="/xl/charts/chart67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charts/chart163.xml" ContentType="application/vnd.openxmlformats-officedocument.drawingml.chart+xml"/>
  <Override PartName="/xl/charts/chart174.xml" ContentType="application/vnd.openxmlformats-officedocument.drawingml.chart+xml"/>
  <Override PartName="/xl/charts/chart56.xml" ContentType="application/vnd.openxmlformats-officedocument.drawingml.chart+xml"/>
  <Override PartName="/xl/charts/chart105.xml" ContentType="application/vnd.openxmlformats-officedocument.drawingml.chart+xml"/>
  <Override PartName="/xl/charts/chart152.xml" ContentType="application/vnd.openxmlformats-officedocument.drawingml.chart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41.xml" ContentType="application/vnd.openxmlformats-officedocument.drawingml.chart+xml"/>
  <Override PartName="/xl/charts/chart228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charts/chart130.xml" ContentType="application/vnd.openxmlformats-officedocument.drawingml.chart+xml"/>
  <Override PartName="/xl/charts/chart217.xml" ContentType="application/vnd.openxmlformats-officedocument.drawingml.chart+xml"/>
  <Override PartName="/xl/charts/chart12.xml" ContentType="application/vnd.openxmlformats-officedocument.drawingml.chart+xml"/>
  <Override PartName="/xl/charts/chart206.xml" ContentType="application/vnd.openxmlformats-officedocument.drawingml.chart+xml"/>
  <Default Extension="bin" ContentType="application/vnd.openxmlformats-officedocument.spreadsheetml.printerSettings"/>
  <Override PartName="/xl/charts/chart179.xml" ContentType="application/vnd.openxmlformats-officedocument.drawingml.chart+xml"/>
  <Override PartName="/xl/charts/chart5.xml" ContentType="application/vnd.openxmlformats-officedocument.drawingml.chart+xml"/>
  <Override PartName="/xl/charts/chart168.xml" ContentType="application/vnd.openxmlformats-officedocument.drawingml.chart+xml"/>
  <Override PartName="/xl/charts/chart2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30" yWindow="-315" windowWidth="18840" windowHeight="12090" firstSheet="1" activeTab="1"/>
  </bookViews>
  <sheets>
    <sheet name="苏安" sheetId="4667" state="hidden" r:id="rId1"/>
    <sheet name="发退货表" sheetId="1" r:id="rId2"/>
    <sheet name="升州店" sheetId="4658" state="hidden" r:id="rId3"/>
    <sheet name="江宁突破" sheetId="4663" state="hidden" r:id="rId4"/>
  </sheets>
  <externalReferences>
    <externalReference r:id="rId5"/>
    <externalReference r:id="rId6"/>
    <externalReference r:id="rId7"/>
  </externalReferences>
  <calcPr calcId="124519" concurrentCalc="0"/>
</workbook>
</file>

<file path=xl/calcChain.xml><?xml version="1.0" encoding="utf-8"?>
<calcChain xmlns="http://schemas.openxmlformats.org/spreadsheetml/2006/main">
  <c r="Y34" i="1"/>
  <c r="T34"/>
  <c r="R34"/>
  <c r="Q34"/>
  <c r="O34"/>
  <c r="H34"/>
  <c r="B34"/>
  <c r="AA34"/>
  <c r="Y33"/>
  <c r="B33"/>
  <c r="R33"/>
  <c r="O33"/>
  <c r="Q33"/>
  <c r="Y32"/>
  <c r="V32"/>
  <c r="T32"/>
  <c r="B32"/>
  <c r="B31"/>
  <c r="Y31"/>
  <c r="V31"/>
  <c r="T31"/>
  <c r="Q31"/>
  <c r="Y30"/>
  <c r="T30"/>
  <c r="Q30"/>
  <c r="O30"/>
  <c r="B30"/>
  <c r="Z39" i="4663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7"/>
  <c r="Y37"/>
  <c r="X37"/>
  <c r="M37"/>
  <c r="L37"/>
  <c r="Z36"/>
  <c r="Y36"/>
  <c r="X36"/>
  <c r="M36"/>
  <c r="L36"/>
  <c r="Z35"/>
  <c r="Y35"/>
  <c r="X35"/>
  <c r="M35"/>
  <c r="L35"/>
  <c r="Z34"/>
  <c r="Y34"/>
  <c r="X34"/>
  <c r="M34"/>
  <c r="L34"/>
  <c r="Z33"/>
  <c r="Y33"/>
  <c r="X33"/>
  <c r="M33"/>
  <c r="L33"/>
  <c r="Z32"/>
  <c r="Y32"/>
  <c r="X32"/>
  <c r="M32"/>
  <c r="L32"/>
  <c r="Z31"/>
  <c r="Y31"/>
  <c r="X31"/>
  <c r="M31"/>
  <c r="L31"/>
  <c r="Z30"/>
  <c r="Y30"/>
  <c r="X30"/>
  <c r="M30"/>
  <c r="L30"/>
  <c r="Z29"/>
  <c r="Y29"/>
  <c r="X29"/>
  <c r="M29"/>
  <c r="L29"/>
  <c r="Z28"/>
  <c r="Y28"/>
  <c r="X28"/>
  <c r="M28"/>
  <c r="L28"/>
  <c r="Z27"/>
  <c r="Y27"/>
  <c r="X27"/>
  <c r="M27"/>
  <c r="L27"/>
  <c r="Z26"/>
  <c r="Y26"/>
  <c r="X26"/>
  <c r="M26"/>
  <c r="L26"/>
  <c r="Z25"/>
  <c r="Y25"/>
  <c r="X25"/>
  <c r="M25"/>
  <c r="L25"/>
  <c r="Z24"/>
  <c r="Y24"/>
  <c r="X24"/>
  <c r="M24"/>
  <c r="L24"/>
  <c r="Z23"/>
  <c r="Y23"/>
  <c r="X23"/>
  <c r="M23"/>
  <c r="L23"/>
  <c r="Z22"/>
  <c r="Y22"/>
  <c r="X22"/>
  <c r="M22"/>
  <c r="L22"/>
  <c r="Z21"/>
  <c r="Y21"/>
  <c r="X21"/>
  <c r="M21"/>
  <c r="L21"/>
  <c r="Z20"/>
  <c r="Y20"/>
  <c r="X20"/>
  <c r="M20"/>
  <c r="L20"/>
  <c r="Z19"/>
  <c r="Y19"/>
  <c r="X19"/>
  <c r="M19"/>
  <c r="L19"/>
  <c r="Z18"/>
  <c r="Y18"/>
  <c r="X18"/>
  <c r="M18"/>
  <c r="L18"/>
  <c r="Z17"/>
  <c r="Y17"/>
  <c r="X17"/>
  <c r="M17"/>
  <c r="L17"/>
  <c r="Z16"/>
  <c r="Y16"/>
  <c r="X16"/>
  <c r="M16"/>
  <c r="L16"/>
  <c r="Z15"/>
  <c r="Y15"/>
  <c r="X15"/>
  <c r="M15"/>
  <c r="L15"/>
  <c r="Z14"/>
  <c r="Y14"/>
  <c r="X14"/>
  <c r="M14"/>
  <c r="L14"/>
  <c r="Z13"/>
  <c r="Y13"/>
  <c r="X13"/>
  <c r="M13"/>
  <c r="L13"/>
  <c r="Z12"/>
  <c r="Y12"/>
  <c r="X12"/>
  <c r="M12"/>
  <c r="L12"/>
  <c r="Z11"/>
  <c r="Y11"/>
  <c r="X11"/>
  <c r="M11"/>
  <c r="L11"/>
  <c r="Z10"/>
  <c r="Y10"/>
  <c r="X10"/>
  <c r="M10"/>
  <c r="L10"/>
  <c r="Z9"/>
  <c r="Y9"/>
  <c r="X9"/>
  <c r="M9"/>
  <c r="L9"/>
  <c r="Z8"/>
  <c r="Y8"/>
  <c r="X8"/>
  <c r="M8"/>
  <c r="L8"/>
  <c r="Z7"/>
  <c r="Y7"/>
  <c r="X7"/>
  <c r="M7"/>
  <c r="L7"/>
  <c r="Z39" i="4658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Z37"/>
  <c r="Y37"/>
  <c r="X37"/>
  <c r="M37"/>
  <c r="L37"/>
  <c r="Z36"/>
  <c r="Y36"/>
  <c r="X36"/>
  <c r="M36"/>
  <c r="L36"/>
  <c r="Z35"/>
  <c r="Y35"/>
  <c r="X35"/>
  <c r="M35"/>
  <c r="L35"/>
  <c r="Z34"/>
  <c r="Y34"/>
  <c r="X34"/>
  <c r="M34"/>
  <c r="L34"/>
  <c r="Z33"/>
  <c r="Y33"/>
  <c r="X33"/>
  <c r="M33"/>
  <c r="L33"/>
  <c r="Z32"/>
  <c r="Y32"/>
  <c r="X32"/>
  <c r="M32"/>
  <c r="L32"/>
  <c r="Z31"/>
  <c r="Y31"/>
  <c r="X31"/>
  <c r="M31"/>
  <c r="L31"/>
  <c r="Z30"/>
  <c r="Y30"/>
  <c r="X30"/>
  <c r="M30"/>
  <c r="L30"/>
  <c r="Z29"/>
  <c r="Y29"/>
  <c r="X29"/>
  <c r="M29"/>
  <c r="L29"/>
  <c r="Z28"/>
  <c r="Y28"/>
  <c r="X28"/>
  <c r="M28"/>
  <c r="L28"/>
  <c r="Z27"/>
  <c r="Y27"/>
  <c r="X27"/>
  <c r="M27"/>
  <c r="L27"/>
  <c r="Z26"/>
  <c r="Y26"/>
  <c r="X26"/>
  <c r="M26"/>
  <c r="L26"/>
  <c r="Z25"/>
  <c r="Y25"/>
  <c r="X25"/>
  <c r="M25"/>
  <c r="L25"/>
  <c r="Z24"/>
  <c r="Y24"/>
  <c r="X24"/>
  <c r="M24"/>
  <c r="L24"/>
  <c r="Z23"/>
  <c r="Y23"/>
  <c r="X23"/>
  <c r="M23"/>
  <c r="L23"/>
  <c r="Z22"/>
  <c r="Y22"/>
  <c r="X22"/>
  <c r="M22"/>
  <c r="L22"/>
  <c r="Z21"/>
  <c r="Y21"/>
  <c r="X21"/>
  <c r="M21"/>
  <c r="L21"/>
  <c r="Z20"/>
  <c r="Y20"/>
  <c r="X20"/>
  <c r="M20"/>
  <c r="L20"/>
  <c r="Z19"/>
  <c r="Y19"/>
  <c r="X19"/>
  <c r="M19"/>
  <c r="L19"/>
  <c r="Z18"/>
  <c r="Y18"/>
  <c r="X18"/>
  <c r="M18"/>
  <c r="L18"/>
  <c r="Z17"/>
  <c r="Y17"/>
  <c r="X17"/>
  <c r="M17"/>
  <c r="L17"/>
  <c r="Z16"/>
  <c r="Y16"/>
  <c r="X16"/>
  <c r="M16"/>
  <c r="L16"/>
  <c r="Z15"/>
  <c r="Y15"/>
  <c r="X15"/>
  <c r="M15"/>
  <c r="L15"/>
  <c r="Z14"/>
  <c r="Y14"/>
  <c r="X14"/>
  <c r="M14"/>
  <c r="L14"/>
  <c r="Z13"/>
  <c r="Y13"/>
  <c r="X13"/>
  <c r="M13"/>
  <c r="L13"/>
  <c r="Z12"/>
  <c r="Y12"/>
  <c r="X12"/>
  <c r="M12"/>
  <c r="L12"/>
  <c r="Z11"/>
  <c r="Y11"/>
  <c r="X11"/>
  <c r="M11"/>
  <c r="L11"/>
  <c r="Z10"/>
  <c r="Y10"/>
  <c r="X10"/>
  <c r="M10"/>
  <c r="L10"/>
  <c r="Z9"/>
  <c r="Y9"/>
  <c r="X9"/>
  <c r="M9"/>
  <c r="L9"/>
  <c r="Z8"/>
  <c r="Y8"/>
  <c r="X8"/>
  <c r="M8"/>
  <c r="L8"/>
  <c r="Z7"/>
  <c r="Y7"/>
  <c r="X7"/>
  <c r="M7"/>
  <c r="L7"/>
  <c r="AG37" i="1"/>
  <c r="AF37"/>
  <c r="AE37"/>
  <c r="AD37"/>
  <c r="AC37"/>
  <c r="AB37"/>
  <c r="B36"/>
  <c r="C36"/>
  <c r="G36"/>
  <c r="H36"/>
  <c r="N36"/>
  <c r="O36"/>
  <c r="Q36"/>
  <c r="R36"/>
  <c r="S36"/>
  <c r="T36"/>
  <c r="U36"/>
  <c r="V36"/>
  <c r="W36"/>
  <c r="Y36"/>
  <c r="L36"/>
  <c r="AA36"/>
  <c r="C37"/>
  <c r="G37"/>
  <c r="H37"/>
  <c r="L37"/>
  <c r="N37"/>
  <c r="O37"/>
  <c r="Q37"/>
  <c r="S37"/>
  <c r="T37"/>
  <c r="U37"/>
  <c r="V37"/>
  <c r="Y37"/>
  <c r="R37"/>
  <c r="W37"/>
  <c r="Z36"/>
  <c r="B37"/>
  <c r="AA37"/>
  <c r="Z37"/>
  <c r="X37"/>
  <c r="P37"/>
  <c r="M37"/>
  <c r="K37"/>
  <c r="J37"/>
  <c r="I37"/>
  <c r="F37"/>
  <c r="E37"/>
  <c r="D37"/>
  <c r="AH36"/>
  <c r="AG36"/>
  <c r="AF36"/>
  <c r="AE36"/>
  <c r="AD36"/>
  <c r="AC36"/>
  <c r="AB36"/>
  <c r="X36"/>
  <c r="P36"/>
  <c r="M36"/>
  <c r="K36"/>
  <c r="J36"/>
  <c r="I36"/>
  <c r="F36"/>
  <c r="E36"/>
  <c r="D36"/>
  <c r="AH35"/>
  <c r="AG35"/>
  <c r="AA35"/>
  <c r="Z35"/>
  <c r="AA33"/>
  <c r="Z33"/>
  <c r="AA32"/>
  <c r="Z32"/>
  <c r="AA31"/>
  <c r="Z31"/>
  <c r="AA30"/>
  <c r="Z30"/>
  <c r="AH29"/>
  <c r="AG29"/>
  <c r="AA29"/>
  <c r="Z29"/>
  <c r="Y29"/>
  <c r="V29"/>
  <c r="T29"/>
  <c r="R29"/>
  <c r="Q29"/>
  <c r="O29"/>
  <c r="H29"/>
  <c r="B29"/>
  <c r="AA28"/>
  <c r="Z28"/>
  <c r="Y28"/>
  <c r="T28"/>
  <c r="O28"/>
  <c r="B28"/>
  <c r="AH27"/>
  <c r="AG27"/>
  <c r="AA27"/>
  <c r="Z27"/>
  <c r="Y27"/>
  <c r="V27"/>
  <c r="T27"/>
  <c r="R27"/>
  <c r="Q27"/>
  <c r="O27"/>
  <c r="G27"/>
  <c r="B27"/>
  <c r="AH26"/>
  <c r="AG26"/>
  <c r="AA26"/>
  <c r="Z26"/>
  <c r="Y26"/>
  <c r="V26"/>
  <c r="T26"/>
  <c r="Q26"/>
  <c r="B26"/>
  <c r="AH25"/>
  <c r="AG25"/>
  <c r="AA25"/>
  <c r="Z25"/>
  <c r="Y25"/>
  <c r="V25"/>
  <c r="T25"/>
  <c r="Q25"/>
  <c r="G25"/>
  <c r="B25"/>
  <c r="AH24"/>
  <c r="AG24"/>
  <c r="AA24"/>
  <c r="Z24"/>
  <c r="Y24"/>
  <c r="V24"/>
  <c r="T24"/>
  <c r="S24"/>
  <c r="R24"/>
  <c r="Q24"/>
  <c r="O24"/>
  <c r="B24"/>
  <c r="AH23"/>
  <c r="AG23"/>
  <c r="AA23"/>
  <c r="Z23"/>
  <c r="Y23"/>
  <c r="V23"/>
  <c r="T23"/>
  <c r="S23"/>
  <c r="R23"/>
  <c r="Q23"/>
  <c r="O23"/>
  <c r="H23"/>
  <c r="B23"/>
  <c r="AH22"/>
  <c r="AG22"/>
  <c r="AA22"/>
  <c r="Z22"/>
  <c r="Y22"/>
  <c r="V22"/>
  <c r="U22"/>
  <c r="T22"/>
  <c r="R22"/>
  <c r="Q22"/>
  <c r="O22"/>
  <c r="B22"/>
  <c r="AH21"/>
  <c r="AG21"/>
  <c r="AA21"/>
  <c r="Z21"/>
  <c r="Y21"/>
  <c r="V21"/>
  <c r="T21"/>
  <c r="Q21"/>
  <c r="B21"/>
  <c r="AH20"/>
  <c r="AG20"/>
  <c r="AA20"/>
  <c r="Z20"/>
  <c r="Y20"/>
  <c r="V20"/>
  <c r="T20"/>
  <c r="R20"/>
  <c r="Q20"/>
  <c r="O20"/>
  <c r="H20"/>
  <c r="G20"/>
  <c r="B20"/>
  <c r="AH19"/>
  <c r="AG19"/>
  <c r="AA19"/>
  <c r="Z19"/>
  <c r="Y19"/>
  <c r="T19"/>
  <c r="R19"/>
  <c r="O19"/>
  <c r="B19"/>
  <c r="AH18"/>
  <c r="AG18"/>
  <c r="AA18"/>
  <c r="Z18"/>
  <c r="Y18"/>
  <c r="B18"/>
  <c r="AH17"/>
  <c r="AG17"/>
  <c r="AA17"/>
  <c r="Z17"/>
  <c r="Y17"/>
  <c r="T17"/>
  <c r="B17"/>
  <c r="AH16"/>
  <c r="AG16"/>
  <c r="AA16"/>
  <c r="Z16"/>
  <c r="Y16"/>
  <c r="B16"/>
  <c r="AH15"/>
  <c r="AG15"/>
  <c r="AA15"/>
  <c r="Z15"/>
  <c r="Y15"/>
  <c r="V15"/>
  <c r="T15"/>
  <c r="Q15"/>
  <c r="B15"/>
  <c r="AH14"/>
  <c r="AG14"/>
  <c r="AA14"/>
  <c r="Z14"/>
  <c r="Y14"/>
  <c r="V14"/>
  <c r="T14"/>
  <c r="Q14"/>
  <c r="AH13"/>
  <c r="AG13"/>
  <c r="AA13"/>
  <c r="Z13"/>
  <c r="Y13"/>
  <c r="T13"/>
  <c r="R13"/>
  <c r="Q13"/>
  <c r="O13"/>
  <c r="B13"/>
  <c r="AH12"/>
  <c r="AG12"/>
  <c r="AA12"/>
  <c r="Z12"/>
  <c r="Y12"/>
  <c r="V12"/>
  <c r="Q12"/>
  <c r="B12"/>
  <c r="AH11"/>
  <c r="AG11"/>
  <c r="AA11"/>
  <c r="Z11"/>
  <c r="Y11"/>
  <c r="V11"/>
  <c r="T11"/>
  <c r="Q11"/>
  <c r="G11"/>
  <c r="B11"/>
  <c r="AH10"/>
  <c r="AG10"/>
  <c r="AA10"/>
  <c r="Z10"/>
  <c r="Y10"/>
  <c r="AH9"/>
  <c r="AG9"/>
  <c r="AA9"/>
  <c r="Z9"/>
  <c r="AH8"/>
  <c r="AG8"/>
  <c r="AA8"/>
  <c r="Z8"/>
  <c r="Y8"/>
  <c r="V8"/>
  <c r="T8"/>
  <c r="Q8"/>
  <c r="O8"/>
  <c r="H8"/>
  <c r="B8"/>
  <c r="AA7"/>
  <c r="Z7"/>
  <c r="Y7"/>
  <c r="V7"/>
  <c r="T7"/>
  <c r="Q7"/>
  <c r="B7"/>
  <c r="AH6"/>
  <c r="AG6"/>
  <c r="AA6"/>
  <c r="Z6"/>
  <c r="Y6"/>
  <c r="V6"/>
  <c r="T6"/>
  <c r="R6"/>
  <c r="Q6"/>
  <c r="O6"/>
  <c r="B6"/>
  <c r="AH5"/>
  <c r="AG5"/>
  <c r="AA5"/>
  <c r="Z5"/>
  <c r="Y5"/>
  <c r="T5"/>
  <c r="Q5"/>
  <c r="B5"/>
  <c r="K39" i="4667"/>
  <c r="J39"/>
  <c r="I39"/>
  <c r="H39"/>
  <c r="G39"/>
  <c r="F39"/>
  <c r="E39"/>
  <c r="D39"/>
  <c r="C39"/>
  <c r="B39"/>
  <c r="K38"/>
  <c r="J38"/>
  <c r="I38"/>
  <c r="H38"/>
  <c r="G38"/>
  <c r="F38"/>
  <c r="E38"/>
  <c r="D38"/>
  <c r="C38"/>
  <c r="B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</calcChain>
</file>

<file path=xl/sharedStrings.xml><?xml version="1.0" encoding="utf-8"?>
<sst xmlns="http://schemas.openxmlformats.org/spreadsheetml/2006/main" count="138" uniqueCount="71">
  <si>
    <r>
      <t>苏州地区每日发</t>
    </r>
    <r>
      <rPr>
        <sz val="18"/>
        <rFont val="Times New Roman"/>
        <family val="1"/>
      </rPr>
      <t>/</t>
    </r>
    <r>
      <rPr>
        <sz val="18"/>
        <rFont val="宋体"/>
        <family val="3"/>
        <charset val="134"/>
      </rPr>
      <t>退货统计表（外送）</t>
    </r>
  </si>
  <si>
    <t>苏安分公司</t>
  </si>
  <si>
    <t>日期</t>
  </si>
  <si>
    <r>
      <t>退</t>
    </r>
    <r>
      <rPr>
        <b/>
        <sz val="11"/>
        <rFont val="Times New Roman"/>
        <family val="1"/>
      </rPr>
      <t xml:space="preserve">     </t>
    </r>
    <r>
      <rPr>
        <b/>
        <sz val="11"/>
        <rFont val="宋体"/>
        <family val="3"/>
        <charset val="134"/>
      </rPr>
      <t>货</t>
    </r>
    <r>
      <rPr>
        <b/>
        <sz val="11"/>
        <rFont val="Times New Roman"/>
        <family val="1"/>
      </rPr>
      <t xml:space="preserve">     </t>
    </r>
    <r>
      <rPr>
        <b/>
        <sz val="11"/>
        <rFont val="宋体"/>
        <family val="3"/>
        <charset val="134"/>
      </rPr>
      <t>统</t>
    </r>
    <r>
      <rPr>
        <b/>
        <sz val="11"/>
        <rFont val="Times New Roman"/>
        <family val="1"/>
      </rPr>
      <t xml:space="preserve">    </t>
    </r>
    <r>
      <rPr>
        <b/>
        <sz val="11"/>
        <rFont val="宋体"/>
        <family val="3"/>
        <charset val="134"/>
      </rPr>
      <t>计</t>
    </r>
    <r>
      <rPr>
        <b/>
        <sz val="11"/>
        <rFont val="Times New Roman"/>
        <family val="1"/>
      </rPr>
      <t xml:space="preserve">    </t>
    </r>
    <r>
      <rPr>
        <b/>
        <sz val="11"/>
        <rFont val="宋体"/>
        <family val="3"/>
        <charset val="134"/>
      </rPr>
      <t>表</t>
    </r>
  </si>
  <si>
    <t>金额</t>
  </si>
  <si>
    <r>
      <t>米</t>
    </r>
    <r>
      <rPr>
        <b/>
        <sz val="11"/>
        <rFont val="Times New Roman"/>
        <family val="1"/>
      </rPr>
      <t xml:space="preserve">  </t>
    </r>
    <r>
      <rPr>
        <b/>
        <sz val="11"/>
        <rFont val="宋体"/>
        <family val="3"/>
        <charset val="134"/>
      </rPr>
      <t>饭</t>
    </r>
    <r>
      <rPr>
        <b/>
        <sz val="11"/>
        <rFont val="Times New Roman"/>
        <family val="1"/>
      </rPr>
      <t xml:space="preserve">      </t>
    </r>
    <r>
      <rPr>
        <b/>
        <sz val="8"/>
        <rFont val="Times New Roman"/>
        <family val="1"/>
      </rPr>
      <t>2</t>
    </r>
    <r>
      <rPr>
        <b/>
        <sz val="8"/>
        <rFont val="宋体"/>
        <family val="3"/>
        <charset val="134"/>
      </rPr>
      <t>元</t>
    </r>
  </si>
  <si>
    <t>工作餐
6元</t>
  </si>
  <si>
    <t>标准餐
8元</t>
  </si>
  <si>
    <t>标准餐
10元</t>
  </si>
  <si>
    <r>
      <t xml:space="preserve">标准餐
</t>
    </r>
    <r>
      <rPr>
        <b/>
        <sz val="10"/>
        <rFont val="Times New Roman"/>
        <family val="1"/>
      </rPr>
      <t>15</t>
    </r>
    <r>
      <rPr>
        <b/>
        <sz val="10"/>
        <rFont val="宋体"/>
        <family val="3"/>
        <charset val="134"/>
      </rPr>
      <t>元</t>
    </r>
  </si>
  <si>
    <r>
      <t xml:space="preserve">标准餐
</t>
    </r>
    <r>
      <rPr>
        <b/>
        <sz val="10"/>
        <rFont val="Times New Roman"/>
        <family val="1"/>
      </rPr>
      <t>20</t>
    </r>
    <r>
      <rPr>
        <b/>
        <sz val="10"/>
        <rFont val="宋体"/>
        <family val="3"/>
        <charset val="134"/>
      </rPr>
      <t>元</t>
    </r>
  </si>
  <si>
    <t>标准餐
7元</t>
  </si>
  <si>
    <t>米饭
1元</t>
  </si>
  <si>
    <t>份数合计</t>
  </si>
  <si>
    <t>（元）</t>
  </si>
  <si>
    <t>合计</t>
  </si>
  <si>
    <t>份数比</t>
  </si>
  <si>
    <t>圆融分公司</t>
  </si>
  <si>
    <r>
      <t>发</t>
    </r>
    <r>
      <rPr>
        <b/>
        <sz val="11"/>
        <rFont val="Times New Roman"/>
        <family val="1"/>
      </rPr>
      <t xml:space="preserve">     </t>
    </r>
    <r>
      <rPr>
        <b/>
        <sz val="11"/>
        <rFont val="宋体"/>
        <family val="3"/>
        <charset val="134"/>
      </rPr>
      <t>货</t>
    </r>
    <r>
      <rPr>
        <b/>
        <sz val="11"/>
        <rFont val="Times New Roman"/>
        <family val="1"/>
      </rPr>
      <t xml:space="preserve">     </t>
    </r>
    <r>
      <rPr>
        <b/>
        <sz val="11"/>
        <rFont val="宋体"/>
        <family val="3"/>
        <charset val="134"/>
      </rPr>
      <t>统</t>
    </r>
    <r>
      <rPr>
        <b/>
        <sz val="11"/>
        <rFont val="Times New Roman"/>
        <family val="1"/>
      </rPr>
      <t xml:space="preserve">    </t>
    </r>
    <r>
      <rPr>
        <b/>
        <sz val="11"/>
        <rFont val="宋体"/>
        <family val="3"/>
        <charset val="134"/>
      </rPr>
      <t>计</t>
    </r>
    <r>
      <rPr>
        <b/>
        <sz val="11"/>
        <rFont val="Times New Roman"/>
        <family val="1"/>
      </rPr>
      <t xml:space="preserve">    </t>
    </r>
    <r>
      <rPr>
        <b/>
        <sz val="11"/>
        <rFont val="宋体"/>
        <family val="3"/>
        <charset val="134"/>
      </rPr>
      <t>表</t>
    </r>
  </si>
  <si>
    <t>退货统计表</t>
  </si>
  <si>
    <t>2元</t>
  </si>
  <si>
    <t>5元</t>
  </si>
  <si>
    <t>6元</t>
  </si>
  <si>
    <t>10元</t>
  </si>
  <si>
    <t>11元</t>
  </si>
  <si>
    <t>12元</t>
  </si>
  <si>
    <t>15元</t>
  </si>
  <si>
    <t>18元</t>
  </si>
  <si>
    <t xml:space="preserve">20元 </t>
  </si>
  <si>
    <t>25元</t>
  </si>
  <si>
    <t>30元</t>
  </si>
  <si>
    <t>总金额</t>
  </si>
  <si>
    <t>月份：1月份</t>
  </si>
  <si>
    <r>
      <t>南京地区每日发</t>
    </r>
    <r>
      <rPr>
        <sz val="18"/>
        <rFont val="Times New Roman"/>
        <family val="1"/>
      </rPr>
      <t>/</t>
    </r>
    <r>
      <rPr>
        <sz val="18"/>
        <rFont val="宋体"/>
        <family val="3"/>
        <charset val="134"/>
      </rPr>
      <t>退货统计表</t>
    </r>
  </si>
  <si>
    <t>升州分公司</t>
  </si>
  <si>
    <t>单位：份</t>
  </si>
  <si>
    <r>
      <t>退</t>
    </r>
    <r>
      <rPr>
        <b/>
        <sz val="11"/>
        <rFont val="Times New Roman"/>
        <family val="1"/>
      </rPr>
      <t xml:space="preserve">         </t>
    </r>
    <r>
      <rPr>
        <b/>
        <sz val="11"/>
        <rFont val="宋体"/>
        <family val="3"/>
        <charset val="134"/>
      </rPr>
      <t>货</t>
    </r>
    <r>
      <rPr>
        <b/>
        <sz val="11"/>
        <rFont val="Times New Roman"/>
        <family val="1"/>
      </rPr>
      <t xml:space="preserve">       </t>
    </r>
    <r>
      <rPr>
        <b/>
        <sz val="11"/>
        <rFont val="宋体"/>
        <family val="3"/>
        <charset val="134"/>
      </rPr>
      <t>统</t>
    </r>
    <r>
      <rPr>
        <b/>
        <sz val="11"/>
        <rFont val="Times New Roman"/>
        <family val="1"/>
      </rPr>
      <t xml:space="preserve">      </t>
    </r>
    <r>
      <rPr>
        <b/>
        <sz val="11"/>
        <rFont val="宋体"/>
        <family val="3"/>
        <charset val="134"/>
      </rPr>
      <t>计</t>
    </r>
    <r>
      <rPr>
        <b/>
        <sz val="11"/>
        <rFont val="Times New Roman"/>
        <family val="1"/>
      </rPr>
      <t xml:space="preserve">      </t>
    </r>
    <r>
      <rPr>
        <b/>
        <sz val="11"/>
        <rFont val="宋体"/>
        <family val="3"/>
        <charset val="134"/>
      </rPr>
      <t>表</t>
    </r>
  </si>
  <si>
    <t>实际金额</t>
  </si>
  <si>
    <r>
      <t>2</t>
    </r>
    <r>
      <rPr>
        <b/>
        <sz val="11"/>
        <rFont val="宋体"/>
        <family val="3"/>
        <charset val="134"/>
      </rPr>
      <t>元</t>
    </r>
  </si>
  <si>
    <r>
      <t>5</t>
    </r>
    <r>
      <rPr>
        <b/>
        <sz val="11"/>
        <rFont val="宋体"/>
        <family val="3"/>
        <charset val="134"/>
      </rPr>
      <t>元</t>
    </r>
  </si>
  <si>
    <r>
      <t>6</t>
    </r>
    <r>
      <rPr>
        <b/>
        <sz val="11"/>
        <rFont val="宋体"/>
        <family val="3"/>
        <charset val="134"/>
      </rPr>
      <t>元</t>
    </r>
  </si>
  <si>
    <r>
      <t>8</t>
    </r>
    <r>
      <rPr>
        <b/>
        <sz val="11"/>
        <rFont val="宋体"/>
        <family val="3"/>
        <charset val="134"/>
      </rPr>
      <t>元</t>
    </r>
  </si>
  <si>
    <r>
      <t>10</t>
    </r>
    <r>
      <rPr>
        <b/>
        <sz val="11"/>
        <rFont val="宋体"/>
        <family val="3"/>
        <charset val="134"/>
      </rPr>
      <t>元</t>
    </r>
  </si>
  <si>
    <t>7.5元</t>
  </si>
  <si>
    <t>砂锅</t>
  </si>
  <si>
    <r>
      <t>15</t>
    </r>
    <r>
      <rPr>
        <b/>
        <sz val="11"/>
        <rFont val="宋体"/>
        <family val="3"/>
        <charset val="134"/>
      </rPr>
      <t>元</t>
    </r>
  </si>
  <si>
    <r>
      <t>20</t>
    </r>
    <r>
      <rPr>
        <b/>
        <sz val="11"/>
        <rFont val="宋体"/>
        <family val="3"/>
        <charset val="134"/>
      </rPr>
      <t>元</t>
    </r>
  </si>
  <si>
    <r>
      <t>1</t>
    </r>
    <r>
      <rPr>
        <b/>
        <sz val="11"/>
        <rFont val="宋体"/>
        <family val="3"/>
        <charset val="134"/>
      </rPr>
      <t>元</t>
    </r>
  </si>
  <si>
    <t xml:space="preserve"> </t>
  </si>
  <si>
    <t>光华分公司</t>
  </si>
  <si>
    <t>7元</t>
  </si>
  <si>
    <t>50元</t>
    <phoneticPr fontId="11" type="noConversion"/>
  </si>
  <si>
    <t>其他</t>
    <phoneticPr fontId="11" type="noConversion"/>
  </si>
  <si>
    <t>2元送餐费</t>
    <phoneticPr fontId="11" type="noConversion"/>
  </si>
  <si>
    <t>13元</t>
    <phoneticPr fontId="11" type="noConversion"/>
  </si>
  <si>
    <t>3元送餐费</t>
  </si>
  <si>
    <t>35元</t>
    <phoneticPr fontId="11" type="noConversion"/>
  </si>
  <si>
    <t>5元送餐费</t>
    <phoneticPr fontId="11" type="noConversion"/>
  </si>
  <si>
    <t>14元</t>
  </si>
  <si>
    <t>其他</t>
    <phoneticPr fontId="11" type="noConversion"/>
  </si>
  <si>
    <t>17元</t>
    <phoneticPr fontId="11" type="noConversion"/>
  </si>
  <si>
    <t>1元</t>
    <phoneticPr fontId="11" type="noConversion"/>
  </si>
  <si>
    <t>7元</t>
    <phoneticPr fontId="11" type="noConversion"/>
  </si>
  <si>
    <t>8元</t>
    <phoneticPr fontId="11" type="noConversion"/>
  </si>
  <si>
    <t>2019年8份</t>
    <phoneticPr fontId="11" type="noConversion"/>
  </si>
  <si>
    <r>
      <t>散打1</t>
    </r>
    <r>
      <rPr>
        <sz val="11"/>
        <rFont val="宋体"/>
        <family val="3"/>
        <charset val="134"/>
      </rPr>
      <t>5元   212份</t>
    </r>
    <phoneticPr fontId="11" type="noConversion"/>
  </si>
  <si>
    <r>
      <t>散打2</t>
    </r>
    <r>
      <rPr>
        <sz val="11"/>
        <rFont val="宋体"/>
        <family val="3"/>
        <charset val="134"/>
      </rPr>
      <t>0元   2688</t>
    </r>
    <phoneticPr fontId="11" type="noConversion"/>
  </si>
  <si>
    <t>35云结存</t>
    <phoneticPr fontId="11" type="noConversion"/>
  </si>
  <si>
    <t>15元结存   730</t>
    <phoneticPr fontId="11" type="noConversion"/>
  </si>
  <si>
    <t>20元结存    850</t>
    <phoneticPr fontId="11" type="noConversion"/>
  </si>
  <si>
    <t>30元结存     165</t>
    <phoneticPr fontId="1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</si>
</sst>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_);[Red]\(0\)"/>
    <numFmt numFmtId="178" formatCode="#,##0.00_);[Red]\(#,##0.00\)"/>
    <numFmt numFmtId="179" formatCode="0_ "/>
  </numFmts>
  <fonts count="16">
    <font>
      <sz val="12"/>
      <name val="宋体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8"/>
      <name val="Times New Roman"/>
      <family val="1"/>
    </font>
    <font>
      <b/>
      <sz val="8"/>
      <name val="Times New Roman"/>
      <family val="1"/>
    </font>
    <font>
      <b/>
      <sz val="8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92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58" fontId="0" fillId="3" borderId="3" xfId="0" applyNumberFormat="1" applyFont="1" applyFill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Fill="1" applyBorder="1"/>
    <xf numFmtId="0" fontId="6" fillId="0" borderId="5" xfId="0" applyFont="1" applyFill="1" applyBorder="1"/>
    <xf numFmtId="0" fontId="2" fillId="0" borderId="5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/>
    </xf>
    <xf numFmtId="0" fontId="2" fillId="0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2" fillId="4" borderId="9" xfId="0" applyFont="1" applyFill="1" applyBorder="1"/>
    <xf numFmtId="10" fontId="2" fillId="4" borderId="2" xfId="0" applyNumberFormat="1" applyFont="1" applyFill="1" applyBorder="1"/>
    <xf numFmtId="0" fontId="4" fillId="0" borderId="0" xfId="0" applyFont="1" applyFill="1" applyBorder="1"/>
    <xf numFmtId="0" fontId="4" fillId="4" borderId="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12" xfId="0" applyFont="1" applyFill="1" applyBorder="1"/>
    <xf numFmtId="0" fontId="2" fillId="5" borderId="12" xfId="0" applyFont="1" applyFill="1" applyBorder="1"/>
    <xf numFmtId="0" fontId="2" fillId="6" borderId="13" xfId="0" applyFont="1" applyFill="1" applyBorder="1"/>
    <xf numFmtId="0" fontId="2" fillId="0" borderId="14" xfId="0" applyFont="1" applyFill="1" applyBorder="1"/>
    <xf numFmtId="0" fontId="2" fillId="6" borderId="12" xfId="0" applyFont="1" applyFill="1" applyBorder="1"/>
    <xf numFmtId="0" fontId="4" fillId="4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5" borderId="7" xfId="0" applyFont="1" applyFill="1" applyBorder="1"/>
    <xf numFmtId="0" fontId="2" fillId="4" borderId="17" xfId="0" applyFont="1" applyFill="1" applyBorder="1"/>
    <xf numFmtId="176" fontId="2" fillId="2" borderId="8" xfId="0" applyNumberFormat="1" applyFont="1" applyFill="1" applyBorder="1"/>
    <xf numFmtId="58" fontId="7" fillId="3" borderId="3" xfId="0" applyNumberFormat="1" applyFont="1" applyFill="1" applyBorder="1" applyAlignment="1">
      <alignment horizontal="center"/>
    </xf>
    <xf numFmtId="0" fontId="2" fillId="0" borderId="18" xfId="0" applyFont="1" applyFill="1" applyBorder="1"/>
    <xf numFmtId="0" fontId="0" fillId="0" borderId="5" xfId="0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0" fontId="9" fillId="2" borderId="5" xfId="0" applyFont="1" applyFill="1" applyBorder="1"/>
    <xf numFmtId="0" fontId="2" fillId="6" borderId="5" xfId="0" applyFont="1" applyFill="1" applyBorder="1"/>
    <xf numFmtId="10" fontId="9" fillId="6" borderId="5" xfId="0" applyNumberFormat="1" applyFont="1" applyFill="1" applyBorder="1"/>
    <xf numFmtId="0" fontId="4" fillId="6" borderId="5" xfId="0" applyFont="1" applyFill="1" applyBorder="1" applyAlignment="1"/>
    <xf numFmtId="0" fontId="4" fillId="4" borderId="5" xfId="0" applyFont="1" applyFill="1" applyBorder="1" applyAlignment="1">
      <alignment horizontal="center"/>
    </xf>
    <xf numFmtId="177" fontId="2" fillId="4" borderId="5" xfId="0" applyNumberFormat="1" applyFont="1" applyFill="1" applyBorder="1"/>
    <xf numFmtId="178" fontId="2" fillId="4" borderId="5" xfId="0" applyNumberFormat="1" applyFont="1" applyFill="1" applyBorder="1"/>
    <xf numFmtId="0" fontId="2" fillId="2" borderId="5" xfId="0" applyFont="1" applyFill="1" applyBorder="1"/>
    <xf numFmtId="0" fontId="2" fillId="0" borderId="0" xfId="0" applyFont="1" applyFill="1" applyBorder="1"/>
    <xf numFmtId="0" fontId="10" fillId="2" borderId="5" xfId="0" applyFont="1" applyFill="1" applyBorder="1" applyAlignment="1">
      <alignment horizontal="center" wrapText="1"/>
    </xf>
    <xf numFmtId="179" fontId="2" fillId="6" borderId="5" xfId="0" applyNumberFormat="1" applyFont="1" applyFill="1" applyBorder="1"/>
    <xf numFmtId="0" fontId="4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58" fontId="0" fillId="8" borderId="3" xfId="0" applyNumberFormat="1" applyFont="1" applyFill="1" applyBorder="1" applyAlignment="1">
      <alignment horizontal="center"/>
    </xf>
    <xf numFmtId="0" fontId="2" fillId="0" borderId="4" xfId="1" applyFont="1" applyFill="1" applyBorder="1"/>
    <xf numFmtId="0" fontId="11" fillId="0" borderId="5" xfId="0" applyFont="1" applyFill="1" applyBorder="1" applyAlignment="1">
      <alignment horizontal="center"/>
    </xf>
    <xf numFmtId="0" fontId="2" fillId="0" borderId="5" xfId="1" applyFont="1" applyFill="1" applyBorder="1"/>
    <xf numFmtId="0" fontId="2" fillId="7" borderId="12" xfId="0" applyFont="1" applyFill="1" applyBorder="1"/>
    <xf numFmtId="0" fontId="2" fillId="6" borderId="9" xfId="0" applyFont="1" applyFill="1" applyBorder="1"/>
    <xf numFmtId="10" fontId="2" fillId="6" borderId="2" xfId="0" applyNumberFormat="1" applyFont="1" applyFill="1" applyBorder="1"/>
    <xf numFmtId="0" fontId="4" fillId="6" borderId="7" xfId="0" applyFont="1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5" xfId="0" applyBorder="1"/>
    <xf numFmtId="0" fontId="0" fillId="0" borderId="5" xfId="0" applyFill="1" applyBorder="1"/>
    <xf numFmtId="0" fontId="0" fillId="0" borderId="0" xfId="0" applyBorder="1"/>
    <xf numFmtId="58" fontId="0" fillId="8" borderId="5" xfId="0" applyNumberFormat="1" applyFill="1" applyBorder="1" applyAlignment="1">
      <alignment horizontal="center"/>
    </xf>
    <xf numFmtId="0" fontId="9" fillId="2" borderId="5" xfId="0" applyFont="1" applyFill="1" applyBorder="1"/>
    <xf numFmtId="0" fontId="4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5" xfId="0" applyBorder="1"/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</cellXfs>
  <cellStyles count="2">
    <cellStyle name="常规" xfId="0" builtinId="0"/>
    <cellStyle name="常规_玉山路退饭" xfId="1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26014208"/>
        <c:axId val="126016896"/>
      </c:lineChart>
      <c:catAx>
        <c:axId val="12601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6016896"/>
        <c:crosses val="autoZero"/>
        <c:auto val="1"/>
        <c:lblAlgn val="ctr"/>
        <c:lblOffset val="100"/>
        <c:tickLblSkip val="3"/>
        <c:tickMarkSkip val="1"/>
      </c:catAx>
      <c:valAx>
        <c:axId val="126016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601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8563840"/>
        <c:axId val="128463616"/>
      </c:lineChart>
      <c:catAx>
        <c:axId val="128563840"/>
        <c:scaling>
          <c:orientation val="minMax"/>
        </c:scaling>
        <c:delete val="1"/>
        <c:axPos val="b"/>
        <c:numFmt formatCode="General" sourceLinked="1"/>
        <c:tickLblPos val="none"/>
        <c:crossAx val="128463616"/>
        <c:crosses val="autoZero"/>
        <c:auto val="1"/>
        <c:lblAlgn val="ctr"/>
        <c:lblOffset val="100"/>
      </c:catAx>
      <c:valAx>
        <c:axId val="128463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563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61325056"/>
        <c:axId val="161326976"/>
      </c:lineChart>
      <c:catAx>
        <c:axId val="1613250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326976"/>
        <c:crosses val="autoZero"/>
        <c:auto val="1"/>
        <c:lblAlgn val="ctr"/>
        <c:lblOffset val="100"/>
        <c:tickLblSkip val="1"/>
        <c:tickMarkSkip val="1"/>
      </c:catAx>
      <c:valAx>
        <c:axId val="16132697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32505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1348992"/>
        <c:axId val="161359360"/>
      </c:lineChart>
      <c:catAx>
        <c:axId val="161348992"/>
        <c:scaling>
          <c:orientation val="minMax"/>
        </c:scaling>
        <c:delete val="1"/>
        <c:axPos val="b"/>
        <c:numFmt formatCode="General" sourceLinked="1"/>
        <c:tickLblPos val="none"/>
        <c:crossAx val="161359360"/>
        <c:crosses val="autoZero"/>
        <c:auto val="1"/>
        <c:lblAlgn val="ctr"/>
        <c:lblOffset val="100"/>
      </c:catAx>
      <c:valAx>
        <c:axId val="161359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348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1613696"/>
        <c:axId val="161615232"/>
      </c:lineChart>
      <c:catAx>
        <c:axId val="161613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615232"/>
        <c:crosses val="autoZero"/>
        <c:auto val="1"/>
        <c:lblAlgn val="ctr"/>
        <c:lblOffset val="100"/>
        <c:tickLblSkip val="1"/>
        <c:tickMarkSkip val="1"/>
      </c:catAx>
      <c:valAx>
        <c:axId val="16161523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613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61669888"/>
        <c:axId val="161672192"/>
      </c:lineChart>
      <c:catAx>
        <c:axId val="16166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672192"/>
        <c:crosses val="autoZero"/>
        <c:auto val="1"/>
        <c:lblAlgn val="ctr"/>
        <c:lblOffset val="100"/>
        <c:tickLblSkip val="20"/>
        <c:tickMarkSkip val="1"/>
      </c:catAx>
      <c:valAx>
        <c:axId val="161672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66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1711232"/>
        <c:axId val="161713152"/>
      </c:lineChart>
      <c:catAx>
        <c:axId val="161711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713152"/>
        <c:crosses val="autoZero"/>
        <c:auto val="1"/>
        <c:lblAlgn val="ctr"/>
        <c:lblOffset val="100"/>
        <c:tickLblSkip val="31"/>
        <c:tickMarkSkip val="1"/>
      </c:catAx>
      <c:valAx>
        <c:axId val="161713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711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1825536"/>
        <c:axId val="161827456"/>
      </c:lineChart>
      <c:catAx>
        <c:axId val="1618255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827456"/>
        <c:crosses val="autoZero"/>
        <c:auto val="1"/>
        <c:lblAlgn val="ctr"/>
        <c:lblOffset val="100"/>
        <c:tickLblSkip val="31"/>
        <c:tickMarkSkip val="1"/>
      </c:catAx>
      <c:valAx>
        <c:axId val="161827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825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1755904"/>
        <c:axId val="161757440"/>
      </c:lineChart>
      <c:catAx>
        <c:axId val="161755904"/>
        <c:scaling>
          <c:orientation val="minMax"/>
        </c:scaling>
        <c:delete val="1"/>
        <c:axPos val="b"/>
        <c:numFmt formatCode="General" sourceLinked="1"/>
        <c:tickLblPos val="none"/>
        <c:crossAx val="161757440"/>
        <c:crosses val="autoZero"/>
        <c:auto val="1"/>
        <c:lblAlgn val="ctr"/>
        <c:lblOffset val="100"/>
      </c:catAx>
      <c:valAx>
        <c:axId val="16175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755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2011776"/>
        <c:axId val="162029952"/>
      </c:lineChart>
      <c:catAx>
        <c:axId val="162011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029952"/>
        <c:crosses val="autoZero"/>
        <c:auto val="1"/>
        <c:lblAlgn val="ctr"/>
        <c:lblOffset val="100"/>
        <c:tickLblSkip val="1"/>
        <c:tickMarkSkip val="1"/>
      </c:catAx>
      <c:valAx>
        <c:axId val="16202995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01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62036736"/>
        <c:axId val="162051200"/>
      </c:lineChart>
      <c:catAx>
        <c:axId val="1620367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051200"/>
        <c:crosses val="autoZero"/>
        <c:auto val="1"/>
        <c:lblAlgn val="ctr"/>
        <c:lblOffset val="100"/>
        <c:tickLblSkip val="1"/>
        <c:tickMarkSkip val="1"/>
      </c:catAx>
      <c:valAx>
        <c:axId val="162051200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03673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62146944"/>
        <c:axId val="162174080"/>
      </c:lineChart>
      <c:catAx>
        <c:axId val="16214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174080"/>
        <c:crosses val="autoZero"/>
        <c:auto val="1"/>
        <c:lblAlgn val="ctr"/>
        <c:lblOffset val="100"/>
        <c:tickLblSkip val="20"/>
        <c:tickMarkSkip val="1"/>
      </c:catAx>
      <c:valAx>
        <c:axId val="162174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14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28644224"/>
        <c:axId val="128645760"/>
      </c:lineChart>
      <c:catAx>
        <c:axId val="1286442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645760"/>
        <c:crosses val="autoZero"/>
        <c:auto val="1"/>
        <c:lblAlgn val="ctr"/>
        <c:lblOffset val="100"/>
        <c:tickLblSkip val="1"/>
        <c:tickMarkSkip val="1"/>
      </c:catAx>
      <c:valAx>
        <c:axId val="12864576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644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2094080"/>
        <c:axId val="162100352"/>
      </c:lineChart>
      <c:catAx>
        <c:axId val="1620940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100352"/>
        <c:crosses val="autoZero"/>
        <c:auto val="1"/>
        <c:lblAlgn val="ctr"/>
        <c:lblOffset val="100"/>
        <c:tickLblSkip val="31"/>
        <c:tickMarkSkip val="1"/>
      </c:catAx>
      <c:valAx>
        <c:axId val="162100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09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2269824"/>
        <c:axId val="162292480"/>
      </c:lineChart>
      <c:catAx>
        <c:axId val="162269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292480"/>
        <c:crosses val="autoZero"/>
        <c:auto val="1"/>
        <c:lblAlgn val="ctr"/>
        <c:lblOffset val="100"/>
        <c:tickLblSkip val="31"/>
        <c:tickMarkSkip val="1"/>
      </c:catAx>
      <c:valAx>
        <c:axId val="162292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269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2318592"/>
        <c:axId val="162324864"/>
      </c:lineChart>
      <c:catAx>
        <c:axId val="162318592"/>
        <c:scaling>
          <c:orientation val="minMax"/>
        </c:scaling>
        <c:delete val="1"/>
        <c:axPos val="b"/>
        <c:numFmt formatCode="General" sourceLinked="1"/>
        <c:tickLblPos val="none"/>
        <c:crossAx val="162324864"/>
        <c:crosses val="autoZero"/>
        <c:auto val="1"/>
        <c:lblAlgn val="ctr"/>
        <c:lblOffset val="100"/>
      </c:catAx>
      <c:valAx>
        <c:axId val="162324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318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2460416"/>
        <c:axId val="162461952"/>
      </c:lineChart>
      <c:catAx>
        <c:axId val="162460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461952"/>
        <c:crosses val="autoZero"/>
        <c:auto val="1"/>
        <c:lblAlgn val="ctr"/>
        <c:lblOffset val="100"/>
        <c:tickLblSkip val="1"/>
        <c:tickMarkSkip val="1"/>
      </c:catAx>
      <c:valAx>
        <c:axId val="16246195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460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62567296"/>
        <c:axId val="162569216"/>
      </c:lineChart>
      <c:catAx>
        <c:axId val="1625672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569216"/>
        <c:crosses val="autoZero"/>
        <c:auto val="1"/>
        <c:lblAlgn val="ctr"/>
        <c:lblOffset val="100"/>
        <c:tickLblSkip val="1"/>
        <c:tickMarkSkip val="1"/>
      </c:catAx>
      <c:valAx>
        <c:axId val="16256921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56729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62611968"/>
        <c:axId val="162614272"/>
      </c:lineChart>
      <c:catAx>
        <c:axId val="16261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614272"/>
        <c:crosses val="autoZero"/>
        <c:auto val="1"/>
        <c:lblAlgn val="ctr"/>
        <c:lblOffset val="100"/>
        <c:tickLblSkip val="20"/>
        <c:tickMarkSkip val="1"/>
      </c:catAx>
      <c:valAx>
        <c:axId val="162614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611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2654080"/>
        <c:axId val="162655616"/>
      </c:lineChart>
      <c:catAx>
        <c:axId val="1626540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655616"/>
        <c:crosses val="autoZero"/>
        <c:auto val="1"/>
        <c:lblAlgn val="ctr"/>
        <c:lblOffset val="100"/>
        <c:tickLblSkip val="31"/>
        <c:tickMarkSkip val="1"/>
      </c:catAx>
      <c:valAx>
        <c:axId val="162655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65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3429632"/>
        <c:axId val="123431552"/>
      </c:lineChart>
      <c:catAx>
        <c:axId val="1234296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3431552"/>
        <c:crosses val="autoZero"/>
        <c:auto val="1"/>
        <c:lblAlgn val="ctr"/>
        <c:lblOffset val="100"/>
        <c:tickLblSkip val="31"/>
        <c:tickMarkSkip val="1"/>
      </c:catAx>
      <c:valAx>
        <c:axId val="123431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3429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2677120"/>
        <c:axId val="162679040"/>
      </c:lineChart>
      <c:catAx>
        <c:axId val="162677120"/>
        <c:scaling>
          <c:orientation val="minMax"/>
        </c:scaling>
        <c:delete val="1"/>
        <c:axPos val="b"/>
        <c:numFmt formatCode="General" sourceLinked="1"/>
        <c:tickLblPos val="none"/>
        <c:crossAx val="162679040"/>
        <c:crosses val="autoZero"/>
        <c:auto val="1"/>
        <c:lblAlgn val="ctr"/>
        <c:lblOffset val="100"/>
      </c:catAx>
      <c:valAx>
        <c:axId val="162679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677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2785920"/>
        <c:axId val="162877824"/>
      </c:lineChart>
      <c:catAx>
        <c:axId val="1627859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877824"/>
        <c:crosses val="autoZero"/>
        <c:auto val="1"/>
        <c:lblAlgn val="ctr"/>
        <c:lblOffset val="100"/>
        <c:tickLblSkip val="1"/>
        <c:tickMarkSkip val="1"/>
      </c:catAx>
      <c:valAx>
        <c:axId val="16287782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785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29783296"/>
        <c:axId val="129785216"/>
      </c:lineChart>
      <c:catAx>
        <c:axId val="1297832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9785216"/>
        <c:crosses val="autoZero"/>
        <c:auto val="1"/>
        <c:lblAlgn val="ctr"/>
        <c:lblOffset val="100"/>
        <c:tickLblSkip val="1"/>
        <c:tickMarkSkip val="1"/>
      </c:catAx>
      <c:valAx>
        <c:axId val="12978521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978329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62900992"/>
        <c:axId val="162903168"/>
      </c:lineChart>
      <c:catAx>
        <c:axId val="1629009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903168"/>
        <c:crosses val="autoZero"/>
        <c:auto val="1"/>
        <c:lblAlgn val="ctr"/>
        <c:lblOffset val="100"/>
        <c:tickLblSkip val="1"/>
        <c:tickMarkSkip val="1"/>
      </c:catAx>
      <c:valAx>
        <c:axId val="162903168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90099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62998912"/>
        <c:axId val="163009664"/>
      </c:lineChart>
      <c:catAx>
        <c:axId val="16299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009664"/>
        <c:crosses val="autoZero"/>
        <c:auto val="1"/>
        <c:lblAlgn val="ctr"/>
        <c:lblOffset val="100"/>
        <c:tickLblSkip val="20"/>
        <c:tickMarkSkip val="1"/>
      </c:catAx>
      <c:valAx>
        <c:axId val="163009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99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2938880"/>
        <c:axId val="162940416"/>
      </c:lineChart>
      <c:catAx>
        <c:axId val="1629388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940416"/>
        <c:crosses val="autoZero"/>
        <c:auto val="1"/>
        <c:lblAlgn val="ctr"/>
        <c:lblOffset val="100"/>
        <c:tickLblSkip val="31"/>
        <c:tickMarkSkip val="1"/>
      </c:catAx>
      <c:valAx>
        <c:axId val="162940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93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2966144"/>
        <c:axId val="162972416"/>
      </c:lineChart>
      <c:catAx>
        <c:axId val="1629661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972416"/>
        <c:crosses val="autoZero"/>
        <c:auto val="1"/>
        <c:lblAlgn val="ctr"/>
        <c:lblOffset val="100"/>
        <c:tickLblSkip val="31"/>
        <c:tickMarkSkip val="1"/>
      </c:catAx>
      <c:valAx>
        <c:axId val="162972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966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3100928"/>
        <c:axId val="163111296"/>
      </c:lineChart>
      <c:catAx>
        <c:axId val="163100928"/>
        <c:scaling>
          <c:orientation val="minMax"/>
        </c:scaling>
        <c:delete val="1"/>
        <c:axPos val="b"/>
        <c:numFmt formatCode="General" sourceLinked="1"/>
        <c:tickLblPos val="none"/>
        <c:crossAx val="163111296"/>
        <c:crosses val="autoZero"/>
        <c:auto val="1"/>
        <c:lblAlgn val="ctr"/>
        <c:lblOffset val="100"/>
      </c:catAx>
      <c:valAx>
        <c:axId val="163111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10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3304192"/>
        <c:axId val="163305728"/>
      </c:lineChart>
      <c:catAx>
        <c:axId val="163304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305728"/>
        <c:crosses val="autoZero"/>
        <c:auto val="1"/>
        <c:lblAlgn val="ctr"/>
        <c:lblOffset val="100"/>
        <c:tickLblSkip val="1"/>
        <c:tickMarkSkip val="1"/>
      </c:catAx>
      <c:valAx>
        <c:axId val="16330572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304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63406976"/>
        <c:axId val="163408896"/>
      </c:lineChart>
      <c:catAx>
        <c:axId val="163406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408896"/>
        <c:crosses val="autoZero"/>
        <c:auto val="1"/>
        <c:lblAlgn val="ctr"/>
        <c:lblOffset val="100"/>
        <c:tickLblSkip val="1"/>
        <c:tickMarkSkip val="1"/>
      </c:catAx>
      <c:valAx>
        <c:axId val="16340889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40697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63830400"/>
        <c:axId val="163832960"/>
      </c:lineChart>
      <c:catAx>
        <c:axId val="16383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832960"/>
        <c:crosses val="autoZero"/>
        <c:auto val="1"/>
        <c:lblAlgn val="ctr"/>
        <c:lblOffset val="100"/>
        <c:tickLblSkip val="6"/>
        <c:tickMarkSkip val="1"/>
      </c:catAx>
      <c:valAx>
        <c:axId val="163832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83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3744768"/>
        <c:axId val="163755136"/>
      </c:lineChart>
      <c:catAx>
        <c:axId val="163744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755136"/>
        <c:crosses val="autoZero"/>
        <c:auto val="1"/>
        <c:lblAlgn val="ctr"/>
        <c:lblOffset val="100"/>
        <c:tickLblSkip val="23"/>
        <c:tickMarkSkip val="1"/>
      </c:catAx>
      <c:valAx>
        <c:axId val="163755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74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3818112"/>
        <c:axId val="163861248"/>
      </c:lineChart>
      <c:catAx>
        <c:axId val="1638181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861248"/>
        <c:crosses val="autoZero"/>
        <c:auto val="1"/>
        <c:lblAlgn val="ctr"/>
        <c:lblOffset val="100"/>
        <c:tickLblSkip val="23"/>
        <c:tickMarkSkip val="1"/>
      </c:catAx>
      <c:valAx>
        <c:axId val="163861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818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29905792"/>
        <c:axId val="129908096"/>
      </c:lineChart>
      <c:catAx>
        <c:axId val="12990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9908096"/>
        <c:crosses val="autoZero"/>
        <c:auto val="1"/>
        <c:lblAlgn val="ctr"/>
        <c:lblOffset val="100"/>
        <c:tickLblSkip val="3"/>
        <c:tickMarkSkip val="1"/>
      </c:catAx>
      <c:valAx>
        <c:axId val="129908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990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3899648"/>
        <c:axId val="163910016"/>
      </c:lineChart>
      <c:catAx>
        <c:axId val="163899648"/>
        <c:scaling>
          <c:orientation val="minMax"/>
        </c:scaling>
        <c:delete val="1"/>
        <c:axPos val="b"/>
        <c:numFmt formatCode="General" sourceLinked="1"/>
        <c:tickLblPos val="none"/>
        <c:crossAx val="163910016"/>
        <c:crosses val="autoZero"/>
        <c:auto val="1"/>
        <c:lblAlgn val="ctr"/>
        <c:lblOffset val="100"/>
      </c:catAx>
      <c:valAx>
        <c:axId val="163910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899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4135680"/>
        <c:axId val="164137216"/>
      </c:lineChart>
      <c:catAx>
        <c:axId val="164135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137216"/>
        <c:crosses val="autoZero"/>
        <c:auto val="1"/>
        <c:lblAlgn val="ctr"/>
        <c:lblOffset val="100"/>
        <c:tickLblSkip val="1"/>
        <c:tickMarkSkip val="1"/>
      </c:catAx>
      <c:valAx>
        <c:axId val="16413721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135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64045952"/>
        <c:axId val="164047872"/>
      </c:lineChart>
      <c:catAx>
        <c:axId val="1640459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047872"/>
        <c:crosses val="autoZero"/>
        <c:auto val="1"/>
        <c:lblAlgn val="ctr"/>
        <c:lblOffset val="100"/>
        <c:tickLblSkip val="1"/>
        <c:tickMarkSkip val="1"/>
      </c:catAx>
      <c:valAx>
        <c:axId val="164047872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04595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64217600"/>
        <c:axId val="164219904"/>
      </c:lineChart>
      <c:catAx>
        <c:axId val="16421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219904"/>
        <c:crosses val="autoZero"/>
        <c:auto val="1"/>
        <c:lblAlgn val="ctr"/>
        <c:lblOffset val="100"/>
        <c:tickLblSkip val="6"/>
        <c:tickMarkSkip val="1"/>
      </c:catAx>
      <c:valAx>
        <c:axId val="164219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21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4246656"/>
        <c:axId val="164248576"/>
      </c:lineChart>
      <c:catAx>
        <c:axId val="164246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248576"/>
        <c:crosses val="autoZero"/>
        <c:auto val="1"/>
        <c:lblAlgn val="ctr"/>
        <c:lblOffset val="100"/>
        <c:tickLblSkip val="23"/>
        <c:tickMarkSkip val="1"/>
      </c:catAx>
      <c:valAx>
        <c:axId val="16424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24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4446976"/>
        <c:axId val="164448896"/>
      </c:lineChart>
      <c:catAx>
        <c:axId val="164446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448896"/>
        <c:crosses val="autoZero"/>
        <c:auto val="1"/>
        <c:lblAlgn val="ctr"/>
        <c:lblOffset val="100"/>
        <c:tickLblSkip val="23"/>
        <c:tickMarkSkip val="1"/>
      </c:catAx>
      <c:valAx>
        <c:axId val="164448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446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4369152"/>
        <c:axId val="164370688"/>
      </c:lineChart>
      <c:catAx>
        <c:axId val="164369152"/>
        <c:scaling>
          <c:orientation val="minMax"/>
        </c:scaling>
        <c:delete val="1"/>
        <c:axPos val="b"/>
        <c:numFmt formatCode="General" sourceLinked="1"/>
        <c:tickLblPos val="none"/>
        <c:crossAx val="164370688"/>
        <c:crosses val="autoZero"/>
        <c:auto val="1"/>
        <c:lblAlgn val="ctr"/>
        <c:lblOffset val="100"/>
      </c:catAx>
      <c:valAx>
        <c:axId val="164370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369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4653696"/>
        <c:axId val="164659584"/>
      </c:lineChart>
      <c:catAx>
        <c:axId val="164653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659584"/>
        <c:crosses val="autoZero"/>
        <c:auto val="1"/>
        <c:lblAlgn val="ctr"/>
        <c:lblOffset val="100"/>
        <c:tickLblSkip val="1"/>
        <c:tickMarkSkip val="1"/>
      </c:catAx>
      <c:valAx>
        <c:axId val="16465958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653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64670464"/>
        <c:axId val="164676736"/>
      </c:lineChart>
      <c:catAx>
        <c:axId val="1646704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676736"/>
        <c:crosses val="autoZero"/>
        <c:auto val="1"/>
        <c:lblAlgn val="ctr"/>
        <c:lblOffset val="100"/>
        <c:tickLblSkip val="1"/>
        <c:tickMarkSkip val="1"/>
      </c:catAx>
      <c:valAx>
        <c:axId val="16467673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670464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64838016"/>
        <c:axId val="164861056"/>
      </c:lineChart>
      <c:catAx>
        <c:axId val="16483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861056"/>
        <c:crosses val="autoZero"/>
        <c:auto val="1"/>
        <c:lblAlgn val="ctr"/>
        <c:lblOffset val="100"/>
        <c:tickLblSkip val="6"/>
        <c:tickMarkSkip val="1"/>
      </c:catAx>
      <c:valAx>
        <c:axId val="164861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83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9951232"/>
        <c:axId val="129953152"/>
      </c:lineChart>
      <c:catAx>
        <c:axId val="129951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9953152"/>
        <c:crosses val="autoZero"/>
        <c:auto val="1"/>
        <c:lblAlgn val="ctr"/>
        <c:lblOffset val="100"/>
        <c:tickLblSkip val="11"/>
        <c:tickMarkSkip val="1"/>
      </c:catAx>
      <c:valAx>
        <c:axId val="129953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9951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4789248"/>
        <c:axId val="164795520"/>
      </c:lineChart>
      <c:catAx>
        <c:axId val="1647892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795520"/>
        <c:crosses val="autoZero"/>
        <c:auto val="1"/>
        <c:lblAlgn val="ctr"/>
        <c:lblOffset val="100"/>
        <c:tickLblSkip val="23"/>
        <c:tickMarkSkip val="1"/>
      </c:catAx>
      <c:valAx>
        <c:axId val="16479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78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8434304"/>
        <c:axId val="168456960"/>
      </c:lineChart>
      <c:catAx>
        <c:axId val="1684343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8456960"/>
        <c:crosses val="autoZero"/>
        <c:auto val="1"/>
        <c:lblAlgn val="ctr"/>
        <c:lblOffset val="100"/>
        <c:tickLblSkip val="23"/>
        <c:tickMarkSkip val="1"/>
      </c:catAx>
      <c:valAx>
        <c:axId val="168456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8434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8487168"/>
        <c:axId val="168489344"/>
      </c:lineChart>
      <c:catAx>
        <c:axId val="168487168"/>
        <c:scaling>
          <c:orientation val="minMax"/>
        </c:scaling>
        <c:delete val="1"/>
        <c:axPos val="b"/>
        <c:numFmt formatCode="General" sourceLinked="1"/>
        <c:tickLblPos val="none"/>
        <c:crossAx val="168489344"/>
        <c:crosses val="autoZero"/>
        <c:auto val="1"/>
        <c:lblAlgn val="ctr"/>
        <c:lblOffset val="100"/>
      </c:catAx>
      <c:valAx>
        <c:axId val="168489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8487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57103104"/>
        <c:axId val="57104640"/>
      </c:lineChart>
      <c:catAx>
        <c:axId val="57103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7104640"/>
        <c:crosses val="autoZero"/>
        <c:auto val="1"/>
        <c:lblAlgn val="ctr"/>
        <c:lblOffset val="100"/>
        <c:tickLblSkip val="1"/>
        <c:tickMarkSkip val="1"/>
      </c:catAx>
      <c:valAx>
        <c:axId val="5710464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7103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57136256"/>
        <c:axId val="57138176"/>
      </c:lineChart>
      <c:catAx>
        <c:axId val="57136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7138176"/>
        <c:crosses val="autoZero"/>
        <c:auto val="1"/>
        <c:lblAlgn val="ctr"/>
        <c:lblOffset val="100"/>
        <c:tickLblSkip val="1"/>
        <c:tickMarkSkip val="1"/>
      </c:catAx>
      <c:valAx>
        <c:axId val="5713817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713625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58225408"/>
        <c:axId val="58227712"/>
      </c:lineChart>
      <c:catAx>
        <c:axId val="5822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3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227712"/>
        <c:crosses val="autoZero"/>
        <c:auto val="1"/>
        <c:lblAlgn val="ctr"/>
        <c:lblOffset val="100"/>
        <c:tickLblSkip val="4"/>
        <c:tickMarkSkip val="1"/>
      </c:catAx>
      <c:valAx>
        <c:axId val="58227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2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7181312"/>
        <c:axId val="57183232"/>
      </c:lineChart>
      <c:catAx>
        <c:axId val="571813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7183232"/>
        <c:crosses val="autoZero"/>
        <c:auto val="1"/>
        <c:lblAlgn val="ctr"/>
        <c:lblOffset val="100"/>
        <c:tickLblSkip val="18"/>
        <c:tickMarkSkip val="1"/>
      </c:catAx>
      <c:valAx>
        <c:axId val="57183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718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8340096"/>
        <c:axId val="58342016"/>
      </c:lineChart>
      <c:catAx>
        <c:axId val="58340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342016"/>
        <c:crosses val="autoZero"/>
        <c:auto val="1"/>
        <c:lblAlgn val="ctr"/>
        <c:lblOffset val="100"/>
        <c:tickLblSkip val="18"/>
        <c:tickMarkSkip val="1"/>
      </c:catAx>
      <c:valAx>
        <c:axId val="58342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340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8388864"/>
        <c:axId val="58390784"/>
      </c:lineChart>
      <c:catAx>
        <c:axId val="58388864"/>
        <c:scaling>
          <c:orientation val="minMax"/>
        </c:scaling>
        <c:delete val="1"/>
        <c:axPos val="b"/>
        <c:numFmt formatCode="General" sourceLinked="1"/>
        <c:tickLblPos val="none"/>
        <c:crossAx val="58390784"/>
        <c:crosses val="autoZero"/>
        <c:auto val="1"/>
        <c:lblAlgn val="ctr"/>
        <c:lblOffset val="100"/>
      </c:catAx>
      <c:valAx>
        <c:axId val="58390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388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58456704"/>
        <c:axId val="58556800"/>
      </c:lineChart>
      <c:catAx>
        <c:axId val="58456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556800"/>
        <c:crosses val="autoZero"/>
        <c:auto val="1"/>
        <c:lblAlgn val="ctr"/>
        <c:lblOffset val="100"/>
        <c:tickLblSkip val="1"/>
        <c:tickMarkSkip val="1"/>
      </c:catAx>
      <c:valAx>
        <c:axId val="5855680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456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9885312"/>
        <c:axId val="129887232"/>
      </c:lineChart>
      <c:catAx>
        <c:axId val="1298853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9887232"/>
        <c:crosses val="autoZero"/>
        <c:auto val="1"/>
        <c:lblAlgn val="ctr"/>
        <c:lblOffset val="100"/>
        <c:tickLblSkip val="6"/>
        <c:tickMarkSkip val="1"/>
      </c:catAx>
      <c:valAx>
        <c:axId val="129887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988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58567680"/>
        <c:axId val="58578048"/>
      </c:lineChart>
      <c:catAx>
        <c:axId val="58567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578048"/>
        <c:crosses val="autoZero"/>
        <c:auto val="1"/>
        <c:lblAlgn val="ctr"/>
        <c:lblOffset val="100"/>
        <c:tickLblSkip val="1"/>
        <c:tickMarkSkip val="1"/>
      </c:catAx>
      <c:valAx>
        <c:axId val="58578048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56768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58624640"/>
        <c:axId val="58643584"/>
      </c:lineChart>
      <c:catAx>
        <c:axId val="5862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3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643584"/>
        <c:crosses val="autoZero"/>
        <c:auto val="1"/>
        <c:lblAlgn val="ctr"/>
        <c:lblOffset val="100"/>
        <c:tickLblSkip val="4"/>
        <c:tickMarkSkip val="1"/>
      </c:catAx>
      <c:valAx>
        <c:axId val="58643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62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8674176"/>
        <c:axId val="58696832"/>
      </c:lineChart>
      <c:catAx>
        <c:axId val="58674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696832"/>
        <c:crosses val="autoZero"/>
        <c:auto val="1"/>
        <c:lblAlgn val="ctr"/>
        <c:lblOffset val="100"/>
        <c:tickLblSkip val="18"/>
        <c:tickMarkSkip val="1"/>
      </c:catAx>
      <c:valAx>
        <c:axId val="58696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67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8796672"/>
        <c:axId val="58802944"/>
      </c:lineChart>
      <c:catAx>
        <c:axId val="58796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802944"/>
        <c:crosses val="autoZero"/>
        <c:auto val="1"/>
        <c:lblAlgn val="ctr"/>
        <c:lblOffset val="100"/>
        <c:tickLblSkip val="18"/>
        <c:tickMarkSkip val="1"/>
      </c:catAx>
      <c:valAx>
        <c:axId val="58802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796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8853632"/>
        <c:axId val="58864000"/>
      </c:lineChart>
      <c:catAx>
        <c:axId val="58853632"/>
        <c:scaling>
          <c:orientation val="minMax"/>
        </c:scaling>
        <c:delete val="1"/>
        <c:axPos val="b"/>
        <c:numFmt formatCode="General" sourceLinked="1"/>
        <c:tickLblPos val="none"/>
        <c:crossAx val="58864000"/>
        <c:crosses val="autoZero"/>
        <c:auto val="1"/>
        <c:lblAlgn val="ctr"/>
        <c:lblOffset val="100"/>
      </c:catAx>
      <c:valAx>
        <c:axId val="5886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85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59081472"/>
        <c:axId val="59083008"/>
      </c:lineChart>
      <c:catAx>
        <c:axId val="590814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083008"/>
        <c:crosses val="autoZero"/>
        <c:auto val="1"/>
        <c:lblAlgn val="ctr"/>
        <c:lblOffset val="100"/>
        <c:tickLblSkip val="1"/>
        <c:tickMarkSkip val="1"/>
      </c:catAx>
      <c:valAx>
        <c:axId val="5908300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081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59098624"/>
        <c:axId val="59100544"/>
      </c:lineChart>
      <c:catAx>
        <c:axId val="59098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100544"/>
        <c:crosses val="autoZero"/>
        <c:auto val="1"/>
        <c:lblAlgn val="ctr"/>
        <c:lblOffset val="100"/>
        <c:tickLblSkip val="1"/>
        <c:tickMarkSkip val="1"/>
      </c:catAx>
      <c:valAx>
        <c:axId val="59100544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098624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59159680"/>
        <c:axId val="59161984"/>
      </c:lineChart>
      <c:catAx>
        <c:axId val="5915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3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161984"/>
        <c:crosses val="autoZero"/>
        <c:auto val="1"/>
        <c:lblAlgn val="ctr"/>
        <c:lblOffset val="100"/>
        <c:tickLblSkip val="4"/>
        <c:tickMarkSkip val="1"/>
      </c:catAx>
      <c:valAx>
        <c:axId val="59161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15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9205120"/>
        <c:axId val="59207040"/>
      </c:lineChart>
      <c:catAx>
        <c:axId val="59205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207040"/>
        <c:crosses val="autoZero"/>
        <c:auto val="1"/>
        <c:lblAlgn val="ctr"/>
        <c:lblOffset val="100"/>
        <c:tickLblSkip val="18"/>
        <c:tickMarkSkip val="1"/>
      </c:catAx>
      <c:valAx>
        <c:axId val="59207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920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1159040"/>
        <c:axId val="181160960"/>
      </c:lineChart>
      <c:catAx>
        <c:axId val="1811590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160960"/>
        <c:crosses val="autoZero"/>
        <c:auto val="1"/>
        <c:lblAlgn val="ctr"/>
        <c:lblOffset val="100"/>
        <c:tickLblSkip val="18"/>
        <c:tickMarkSkip val="1"/>
      </c:catAx>
      <c:valAx>
        <c:axId val="181160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159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0065152"/>
        <c:axId val="130067072"/>
      </c:lineChart>
      <c:catAx>
        <c:axId val="130065152"/>
        <c:scaling>
          <c:orientation val="minMax"/>
        </c:scaling>
        <c:delete val="1"/>
        <c:axPos val="b"/>
        <c:numFmt formatCode="General" sourceLinked="1"/>
        <c:tickLblPos val="none"/>
        <c:crossAx val="130067072"/>
        <c:crosses val="autoZero"/>
        <c:auto val="1"/>
        <c:lblAlgn val="ctr"/>
        <c:lblOffset val="100"/>
      </c:catAx>
      <c:valAx>
        <c:axId val="130067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0065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1277440"/>
        <c:axId val="181279360"/>
      </c:lineChart>
      <c:catAx>
        <c:axId val="181277440"/>
        <c:scaling>
          <c:orientation val="minMax"/>
        </c:scaling>
        <c:delete val="1"/>
        <c:axPos val="b"/>
        <c:numFmt formatCode="General" sourceLinked="1"/>
        <c:tickLblPos val="none"/>
        <c:crossAx val="181279360"/>
        <c:crosses val="autoZero"/>
        <c:auto val="1"/>
        <c:lblAlgn val="ctr"/>
        <c:lblOffset val="100"/>
      </c:catAx>
      <c:valAx>
        <c:axId val="181279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277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1410816"/>
        <c:axId val="181428992"/>
      </c:lineChart>
      <c:catAx>
        <c:axId val="1814108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428992"/>
        <c:crosses val="autoZero"/>
        <c:auto val="1"/>
        <c:lblAlgn val="ctr"/>
        <c:lblOffset val="100"/>
        <c:tickLblSkip val="1"/>
        <c:tickMarkSkip val="1"/>
      </c:catAx>
      <c:valAx>
        <c:axId val="18142899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410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1448064"/>
        <c:axId val="181450240"/>
      </c:lineChart>
      <c:catAx>
        <c:axId val="1814480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450240"/>
        <c:crosses val="autoZero"/>
        <c:auto val="1"/>
        <c:lblAlgn val="ctr"/>
        <c:lblOffset val="100"/>
        <c:tickLblSkip val="1"/>
        <c:tickMarkSkip val="1"/>
      </c:catAx>
      <c:valAx>
        <c:axId val="181450240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448064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1468544"/>
        <c:axId val="181552640"/>
      </c:lineChart>
      <c:catAx>
        <c:axId val="181468544"/>
        <c:scaling>
          <c:orientation val="minMax"/>
        </c:scaling>
        <c:delete val="1"/>
        <c:axPos val="b"/>
        <c:numFmt formatCode="General" sourceLinked="1"/>
        <c:tickLblPos val="none"/>
        <c:crossAx val="181552640"/>
        <c:crosses val="autoZero"/>
        <c:auto val="1"/>
        <c:lblAlgn val="ctr"/>
        <c:lblOffset val="100"/>
      </c:catAx>
      <c:valAx>
        <c:axId val="181552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468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1692288"/>
        <c:axId val="181693824"/>
      </c:lineChart>
      <c:catAx>
        <c:axId val="1816922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693824"/>
        <c:crosses val="autoZero"/>
        <c:auto val="1"/>
        <c:lblAlgn val="ctr"/>
        <c:lblOffset val="100"/>
        <c:tickLblSkip val="1"/>
        <c:tickMarkSkip val="1"/>
      </c:catAx>
      <c:valAx>
        <c:axId val="18169382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692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1760768"/>
        <c:axId val="181763072"/>
      </c:lineChart>
      <c:catAx>
        <c:axId val="18176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763072"/>
        <c:crosses val="autoZero"/>
        <c:auto val="1"/>
        <c:lblAlgn val="ctr"/>
        <c:lblOffset val="100"/>
        <c:tickLblSkip val="17"/>
        <c:tickMarkSkip val="1"/>
      </c:catAx>
      <c:valAx>
        <c:axId val="181763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76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1884032"/>
        <c:axId val="181885952"/>
      </c:lineChart>
      <c:catAx>
        <c:axId val="181884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885952"/>
        <c:crosses val="autoZero"/>
        <c:auto val="1"/>
        <c:lblAlgn val="ctr"/>
        <c:lblOffset val="100"/>
        <c:tickLblSkip val="31"/>
        <c:tickMarkSkip val="1"/>
      </c:catAx>
      <c:valAx>
        <c:axId val="181885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88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1924608"/>
        <c:axId val="181926528"/>
      </c:lineChart>
      <c:catAx>
        <c:axId val="1819246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926528"/>
        <c:crosses val="autoZero"/>
        <c:auto val="1"/>
        <c:lblAlgn val="ctr"/>
        <c:lblOffset val="100"/>
        <c:tickLblSkip val="31"/>
        <c:tickMarkSkip val="1"/>
      </c:catAx>
      <c:valAx>
        <c:axId val="181926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924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1838208"/>
        <c:axId val="181840128"/>
      </c:lineChart>
      <c:catAx>
        <c:axId val="181838208"/>
        <c:scaling>
          <c:orientation val="minMax"/>
        </c:scaling>
        <c:delete val="1"/>
        <c:axPos val="b"/>
        <c:numFmt formatCode="General" sourceLinked="1"/>
        <c:tickLblPos val="none"/>
        <c:crossAx val="181840128"/>
        <c:crosses val="autoZero"/>
        <c:auto val="1"/>
        <c:lblAlgn val="ctr"/>
        <c:lblOffset val="100"/>
      </c:catAx>
      <c:valAx>
        <c:axId val="181840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1838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2168192"/>
        <c:axId val="182190464"/>
      </c:lineChart>
      <c:catAx>
        <c:axId val="182168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190464"/>
        <c:crosses val="autoZero"/>
        <c:auto val="1"/>
        <c:lblAlgn val="ctr"/>
        <c:lblOffset val="100"/>
        <c:tickLblSkip val="1"/>
        <c:tickMarkSkip val="1"/>
      </c:catAx>
      <c:valAx>
        <c:axId val="18219046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168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30710528"/>
        <c:axId val="130724608"/>
      </c:lineChart>
      <c:catAx>
        <c:axId val="1307105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0724608"/>
        <c:crosses val="autoZero"/>
        <c:auto val="1"/>
        <c:lblAlgn val="ctr"/>
        <c:lblOffset val="100"/>
        <c:tickLblSkip val="1"/>
        <c:tickMarkSkip val="1"/>
      </c:catAx>
      <c:valAx>
        <c:axId val="13072460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0710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2213632"/>
        <c:axId val="182219904"/>
      </c:lineChart>
      <c:catAx>
        <c:axId val="1822136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219904"/>
        <c:crosses val="autoZero"/>
        <c:auto val="1"/>
        <c:lblAlgn val="ctr"/>
        <c:lblOffset val="100"/>
        <c:tickLblSkip val="1"/>
        <c:tickMarkSkip val="1"/>
      </c:catAx>
      <c:valAx>
        <c:axId val="182219904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21363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2254208"/>
        <c:axId val="182416512"/>
      </c:lineChart>
      <c:catAx>
        <c:axId val="18225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416512"/>
        <c:crosses val="autoZero"/>
        <c:auto val="1"/>
        <c:lblAlgn val="ctr"/>
        <c:lblOffset val="100"/>
        <c:tickLblSkip val="17"/>
        <c:tickMarkSkip val="1"/>
      </c:catAx>
      <c:valAx>
        <c:axId val="182416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25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2447104"/>
        <c:axId val="182322304"/>
      </c:lineChart>
      <c:catAx>
        <c:axId val="182447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322304"/>
        <c:crosses val="autoZero"/>
        <c:auto val="1"/>
        <c:lblAlgn val="ctr"/>
        <c:lblOffset val="100"/>
        <c:tickLblSkip val="31"/>
        <c:tickMarkSkip val="1"/>
      </c:catAx>
      <c:valAx>
        <c:axId val="182322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44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2360320"/>
        <c:axId val="182374784"/>
      </c:lineChart>
      <c:catAx>
        <c:axId val="182360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374784"/>
        <c:crosses val="autoZero"/>
        <c:auto val="1"/>
        <c:lblAlgn val="ctr"/>
        <c:lblOffset val="100"/>
        <c:tickLblSkip val="31"/>
        <c:tickMarkSkip val="1"/>
      </c:catAx>
      <c:valAx>
        <c:axId val="182374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36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2486912"/>
        <c:axId val="182497280"/>
      </c:lineChart>
      <c:catAx>
        <c:axId val="182486912"/>
        <c:scaling>
          <c:orientation val="minMax"/>
        </c:scaling>
        <c:delete val="1"/>
        <c:axPos val="b"/>
        <c:numFmt formatCode="General" sourceLinked="1"/>
        <c:tickLblPos val="none"/>
        <c:crossAx val="182497280"/>
        <c:crosses val="autoZero"/>
        <c:auto val="1"/>
        <c:lblAlgn val="ctr"/>
        <c:lblOffset val="100"/>
      </c:catAx>
      <c:valAx>
        <c:axId val="182497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486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2792576"/>
        <c:axId val="182794112"/>
      </c:lineChart>
      <c:catAx>
        <c:axId val="182792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794112"/>
        <c:crosses val="autoZero"/>
        <c:auto val="1"/>
        <c:lblAlgn val="ctr"/>
        <c:lblOffset val="100"/>
        <c:tickLblSkip val="1"/>
        <c:tickMarkSkip val="1"/>
      </c:catAx>
      <c:valAx>
        <c:axId val="18279411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792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2620928"/>
        <c:axId val="182622848"/>
      </c:lineChart>
      <c:catAx>
        <c:axId val="182620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622848"/>
        <c:crosses val="autoZero"/>
        <c:auto val="1"/>
        <c:lblAlgn val="ctr"/>
        <c:lblOffset val="100"/>
        <c:tickLblSkip val="1"/>
        <c:tickMarkSkip val="1"/>
      </c:catAx>
      <c:valAx>
        <c:axId val="182622848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6209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2927360"/>
        <c:axId val="182929664"/>
      </c:lineChart>
      <c:catAx>
        <c:axId val="18292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929664"/>
        <c:crosses val="autoZero"/>
        <c:auto val="1"/>
        <c:lblAlgn val="ctr"/>
        <c:lblOffset val="100"/>
        <c:tickLblSkip val="17"/>
        <c:tickMarkSkip val="1"/>
      </c:catAx>
      <c:valAx>
        <c:axId val="182929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92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2838016"/>
        <c:axId val="182963584"/>
      </c:lineChart>
      <c:catAx>
        <c:axId val="1828380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963584"/>
        <c:crosses val="autoZero"/>
        <c:auto val="1"/>
        <c:lblAlgn val="ctr"/>
        <c:lblOffset val="100"/>
        <c:tickLblSkip val="31"/>
        <c:tickMarkSkip val="1"/>
      </c:catAx>
      <c:valAx>
        <c:axId val="182963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83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2898688"/>
        <c:axId val="182900608"/>
      </c:lineChart>
      <c:catAx>
        <c:axId val="182898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900608"/>
        <c:crosses val="autoZero"/>
        <c:auto val="1"/>
        <c:lblAlgn val="ctr"/>
        <c:lblOffset val="100"/>
        <c:tickLblSkip val="31"/>
        <c:tickMarkSkip val="1"/>
      </c:catAx>
      <c:valAx>
        <c:axId val="182900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2898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30743680"/>
        <c:axId val="130819584"/>
      </c:lineChart>
      <c:catAx>
        <c:axId val="130743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0819584"/>
        <c:crosses val="autoZero"/>
        <c:auto val="1"/>
        <c:lblAlgn val="ctr"/>
        <c:lblOffset val="100"/>
        <c:tickLblSkip val="1"/>
        <c:tickMarkSkip val="1"/>
      </c:catAx>
      <c:valAx>
        <c:axId val="130819584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074368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3082368"/>
        <c:axId val="183092736"/>
      </c:lineChart>
      <c:catAx>
        <c:axId val="183082368"/>
        <c:scaling>
          <c:orientation val="minMax"/>
        </c:scaling>
        <c:delete val="1"/>
        <c:axPos val="b"/>
        <c:numFmt formatCode="General" sourceLinked="1"/>
        <c:tickLblPos val="none"/>
        <c:crossAx val="183092736"/>
        <c:crosses val="autoZero"/>
        <c:auto val="1"/>
        <c:lblAlgn val="ctr"/>
        <c:lblOffset val="100"/>
      </c:catAx>
      <c:valAx>
        <c:axId val="183092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08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3293824"/>
        <c:axId val="183295360"/>
      </c:lineChart>
      <c:catAx>
        <c:axId val="183293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295360"/>
        <c:crosses val="autoZero"/>
        <c:auto val="1"/>
        <c:lblAlgn val="ctr"/>
        <c:lblOffset val="100"/>
        <c:tickLblSkip val="1"/>
        <c:tickMarkSkip val="1"/>
      </c:catAx>
      <c:valAx>
        <c:axId val="18329536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29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3326976"/>
        <c:axId val="183329152"/>
      </c:lineChart>
      <c:catAx>
        <c:axId val="183326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329152"/>
        <c:crosses val="autoZero"/>
        <c:auto val="1"/>
        <c:lblAlgn val="ctr"/>
        <c:lblOffset val="100"/>
        <c:tickLblSkip val="1"/>
        <c:tickMarkSkip val="1"/>
      </c:catAx>
      <c:valAx>
        <c:axId val="183329152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32697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3363456"/>
        <c:axId val="183452032"/>
      </c:lineChart>
      <c:catAx>
        <c:axId val="18336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452032"/>
        <c:crosses val="autoZero"/>
        <c:auto val="1"/>
        <c:lblAlgn val="ctr"/>
        <c:lblOffset val="100"/>
        <c:tickLblSkip val="17"/>
        <c:tickMarkSkip val="1"/>
      </c:catAx>
      <c:valAx>
        <c:axId val="18345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36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3376128"/>
        <c:axId val="183386496"/>
      </c:lineChart>
      <c:catAx>
        <c:axId val="183376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386496"/>
        <c:crosses val="autoZero"/>
        <c:auto val="1"/>
        <c:lblAlgn val="ctr"/>
        <c:lblOffset val="100"/>
        <c:tickLblSkip val="31"/>
        <c:tickMarkSkip val="1"/>
      </c:catAx>
      <c:valAx>
        <c:axId val="183386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37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3420800"/>
        <c:axId val="183435264"/>
      </c:lineChart>
      <c:catAx>
        <c:axId val="1834208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435264"/>
        <c:crosses val="autoZero"/>
        <c:auto val="1"/>
        <c:lblAlgn val="ctr"/>
        <c:lblOffset val="100"/>
        <c:tickLblSkip val="31"/>
        <c:tickMarkSkip val="1"/>
      </c:catAx>
      <c:valAx>
        <c:axId val="183435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420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3531008"/>
        <c:axId val="183532928"/>
      </c:lineChart>
      <c:catAx>
        <c:axId val="183531008"/>
        <c:scaling>
          <c:orientation val="minMax"/>
        </c:scaling>
        <c:delete val="1"/>
        <c:axPos val="b"/>
        <c:numFmt formatCode="General" sourceLinked="1"/>
        <c:tickLblPos val="none"/>
        <c:crossAx val="183532928"/>
        <c:crosses val="autoZero"/>
        <c:auto val="1"/>
        <c:lblAlgn val="ctr"/>
        <c:lblOffset val="100"/>
      </c:catAx>
      <c:valAx>
        <c:axId val="183532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531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3623680"/>
        <c:axId val="183625216"/>
      </c:lineChart>
      <c:catAx>
        <c:axId val="1836236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625216"/>
        <c:crosses val="autoZero"/>
        <c:auto val="1"/>
        <c:lblAlgn val="ctr"/>
        <c:lblOffset val="100"/>
        <c:tickLblSkip val="1"/>
        <c:tickMarkSkip val="1"/>
      </c:catAx>
      <c:valAx>
        <c:axId val="18362521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623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3787904"/>
        <c:axId val="183789824"/>
      </c:lineChart>
      <c:catAx>
        <c:axId val="1837879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789824"/>
        <c:crosses val="autoZero"/>
        <c:auto val="1"/>
        <c:lblAlgn val="ctr"/>
        <c:lblOffset val="100"/>
        <c:tickLblSkip val="1"/>
        <c:tickMarkSkip val="1"/>
      </c:catAx>
      <c:valAx>
        <c:axId val="183789824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787904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3898112"/>
        <c:axId val="183900416"/>
      </c:lineChart>
      <c:catAx>
        <c:axId val="18389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900416"/>
        <c:crosses val="autoZero"/>
        <c:auto val="1"/>
        <c:lblAlgn val="ctr"/>
        <c:lblOffset val="100"/>
        <c:tickLblSkip val="1"/>
        <c:tickMarkSkip val="1"/>
      </c:catAx>
      <c:valAx>
        <c:axId val="183900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89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30874368"/>
        <c:axId val="130876928"/>
      </c:lineChart>
      <c:catAx>
        <c:axId val="13087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0876928"/>
        <c:crosses val="autoZero"/>
        <c:auto val="1"/>
        <c:lblAlgn val="ctr"/>
        <c:lblOffset val="100"/>
        <c:tickLblSkip val="3"/>
        <c:tickMarkSkip val="1"/>
      </c:catAx>
      <c:valAx>
        <c:axId val="13087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087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3955840"/>
        <c:axId val="183957760"/>
      </c:lineChart>
      <c:catAx>
        <c:axId val="1839558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957760"/>
        <c:crosses val="autoZero"/>
        <c:auto val="1"/>
        <c:lblAlgn val="ctr"/>
        <c:lblOffset val="100"/>
        <c:tickLblSkip val="1"/>
        <c:tickMarkSkip val="1"/>
      </c:catAx>
      <c:valAx>
        <c:axId val="183957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955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3869440"/>
        <c:axId val="183871360"/>
      </c:lineChart>
      <c:catAx>
        <c:axId val="183869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871360"/>
        <c:crosses val="autoZero"/>
        <c:auto val="1"/>
        <c:lblAlgn val="ctr"/>
        <c:lblOffset val="100"/>
        <c:tickLblSkip val="1"/>
        <c:tickMarkSkip val="1"/>
      </c:catAx>
      <c:valAx>
        <c:axId val="18387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869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3991680"/>
        <c:axId val="184002048"/>
      </c:lineChart>
      <c:catAx>
        <c:axId val="183991680"/>
        <c:scaling>
          <c:orientation val="minMax"/>
        </c:scaling>
        <c:delete val="1"/>
        <c:axPos val="b"/>
        <c:numFmt formatCode="General" sourceLinked="1"/>
        <c:tickLblPos val="none"/>
        <c:crossAx val="184002048"/>
        <c:crosses val="autoZero"/>
        <c:auto val="1"/>
        <c:lblAlgn val="ctr"/>
        <c:lblOffset val="100"/>
      </c:catAx>
      <c:valAx>
        <c:axId val="184002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399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4276864"/>
        <c:axId val="184278400"/>
      </c:lineChart>
      <c:catAx>
        <c:axId val="1842768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278400"/>
        <c:crosses val="autoZero"/>
        <c:auto val="1"/>
        <c:lblAlgn val="ctr"/>
        <c:lblOffset val="100"/>
        <c:tickLblSkip val="1"/>
        <c:tickMarkSkip val="1"/>
      </c:catAx>
      <c:valAx>
        <c:axId val="18427840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276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4301824"/>
        <c:axId val="184308096"/>
      </c:lineChart>
      <c:catAx>
        <c:axId val="1843018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308096"/>
        <c:crosses val="autoZero"/>
        <c:auto val="1"/>
        <c:lblAlgn val="ctr"/>
        <c:lblOffset val="100"/>
        <c:tickLblSkip val="1"/>
        <c:tickMarkSkip val="1"/>
      </c:catAx>
      <c:valAx>
        <c:axId val="18430809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301824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4354688"/>
        <c:axId val="184365440"/>
      </c:lineChart>
      <c:catAx>
        <c:axId val="18435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365440"/>
        <c:crosses val="autoZero"/>
        <c:auto val="1"/>
        <c:lblAlgn val="ctr"/>
        <c:lblOffset val="100"/>
        <c:tickLblSkip val="1"/>
        <c:tickMarkSkip val="1"/>
      </c:catAx>
      <c:valAx>
        <c:axId val="184365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35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4404224"/>
        <c:axId val="184418688"/>
      </c:lineChart>
      <c:catAx>
        <c:axId val="1844042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418688"/>
        <c:crosses val="autoZero"/>
        <c:auto val="1"/>
        <c:lblAlgn val="ctr"/>
        <c:lblOffset val="100"/>
        <c:tickLblSkip val="1"/>
        <c:tickMarkSkip val="1"/>
      </c:catAx>
      <c:valAx>
        <c:axId val="184418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40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4457088"/>
        <c:axId val="184475648"/>
      </c:lineChart>
      <c:catAx>
        <c:axId val="184457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475648"/>
        <c:crosses val="autoZero"/>
        <c:auto val="1"/>
        <c:lblAlgn val="ctr"/>
        <c:lblOffset val="100"/>
        <c:tickLblSkip val="1"/>
        <c:tickMarkSkip val="1"/>
      </c:catAx>
      <c:valAx>
        <c:axId val="1844756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457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4509952"/>
        <c:axId val="184511872"/>
      </c:lineChart>
      <c:catAx>
        <c:axId val="184509952"/>
        <c:scaling>
          <c:orientation val="minMax"/>
        </c:scaling>
        <c:delete val="1"/>
        <c:axPos val="b"/>
        <c:numFmt formatCode="General" sourceLinked="1"/>
        <c:tickLblPos val="none"/>
        <c:crossAx val="184511872"/>
        <c:crosses val="autoZero"/>
        <c:auto val="1"/>
        <c:lblAlgn val="ctr"/>
        <c:lblOffset val="100"/>
      </c:catAx>
      <c:valAx>
        <c:axId val="184511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509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4733696"/>
        <c:axId val="184735232"/>
      </c:lineChart>
      <c:catAx>
        <c:axId val="1847336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735232"/>
        <c:crosses val="autoZero"/>
        <c:auto val="1"/>
        <c:lblAlgn val="ctr"/>
        <c:lblOffset val="100"/>
        <c:tickLblSkip val="1"/>
        <c:tickMarkSkip val="1"/>
      </c:catAx>
      <c:valAx>
        <c:axId val="18473523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733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7309312"/>
        <c:axId val="127311232"/>
      </c:lineChart>
      <c:catAx>
        <c:axId val="1273093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7311232"/>
        <c:crosses val="autoZero"/>
        <c:auto val="1"/>
        <c:lblAlgn val="ctr"/>
        <c:lblOffset val="100"/>
        <c:tickLblSkip val="11"/>
        <c:tickMarkSkip val="1"/>
      </c:catAx>
      <c:valAx>
        <c:axId val="127311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73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0915712"/>
        <c:axId val="130930176"/>
      </c:lineChart>
      <c:catAx>
        <c:axId val="1309157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0930176"/>
        <c:crosses val="autoZero"/>
        <c:auto val="1"/>
        <c:lblAlgn val="ctr"/>
        <c:lblOffset val="100"/>
        <c:tickLblSkip val="11"/>
        <c:tickMarkSkip val="1"/>
      </c:catAx>
      <c:valAx>
        <c:axId val="130930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091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4766848"/>
        <c:axId val="184768768"/>
      </c:lineChart>
      <c:catAx>
        <c:axId val="184766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768768"/>
        <c:crosses val="autoZero"/>
        <c:auto val="1"/>
        <c:lblAlgn val="ctr"/>
        <c:lblOffset val="100"/>
        <c:tickLblSkip val="1"/>
        <c:tickMarkSkip val="1"/>
      </c:catAx>
      <c:valAx>
        <c:axId val="184768768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76684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4946688"/>
        <c:axId val="184948992"/>
      </c:lineChart>
      <c:catAx>
        <c:axId val="18494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948992"/>
        <c:crosses val="autoZero"/>
        <c:auto val="1"/>
        <c:lblAlgn val="ctr"/>
        <c:lblOffset val="100"/>
        <c:tickLblSkip val="1"/>
        <c:tickMarkSkip val="1"/>
      </c:catAx>
      <c:valAx>
        <c:axId val="184948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94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4992128"/>
        <c:axId val="184994048"/>
      </c:lineChart>
      <c:catAx>
        <c:axId val="184992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994048"/>
        <c:crosses val="autoZero"/>
        <c:auto val="1"/>
        <c:lblAlgn val="ctr"/>
        <c:lblOffset val="100"/>
        <c:tickLblSkip val="1"/>
        <c:tickMarkSkip val="1"/>
      </c:catAx>
      <c:valAx>
        <c:axId val="184994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992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4856576"/>
        <c:axId val="184858496"/>
      </c:lineChart>
      <c:catAx>
        <c:axId val="184856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858496"/>
        <c:crosses val="autoZero"/>
        <c:auto val="1"/>
        <c:lblAlgn val="ctr"/>
        <c:lblOffset val="100"/>
        <c:tickLblSkip val="1"/>
        <c:tickMarkSkip val="1"/>
      </c:catAx>
      <c:valAx>
        <c:axId val="184858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485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5019776"/>
        <c:axId val="185050624"/>
      </c:lineChart>
      <c:catAx>
        <c:axId val="185019776"/>
        <c:scaling>
          <c:orientation val="minMax"/>
        </c:scaling>
        <c:delete val="1"/>
        <c:axPos val="b"/>
        <c:numFmt formatCode="General" sourceLinked="1"/>
        <c:tickLblPos val="none"/>
        <c:crossAx val="185050624"/>
        <c:crosses val="autoZero"/>
        <c:auto val="1"/>
        <c:lblAlgn val="ctr"/>
        <c:lblOffset val="100"/>
      </c:catAx>
      <c:valAx>
        <c:axId val="185050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019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5231232"/>
        <c:axId val="185232768"/>
      </c:lineChart>
      <c:catAx>
        <c:axId val="185231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232768"/>
        <c:crosses val="autoZero"/>
        <c:auto val="1"/>
        <c:lblAlgn val="ctr"/>
        <c:lblOffset val="100"/>
        <c:tickLblSkip val="1"/>
        <c:tickMarkSkip val="1"/>
      </c:catAx>
      <c:valAx>
        <c:axId val="18523276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231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5272576"/>
        <c:axId val="185278848"/>
      </c:lineChart>
      <c:catAx>
        <c:axId val="185272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278848"/>
        <c:crosses val="autoZero"/>
        <c:auto val="1"/>
        <c:lblAlgn val="ctr"/>
        <c:lblOffset val="100"/>
        <c:tickLblSkip val="1"/>
        <c:tickMarkSkip val="1"/>
      </c:catAx>
      <c:valAx>
        <c:axId val="185278848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27257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5333632"/>
        <c:axId val="185340288"/>
      </c:lineChart>
      <c:catAx>
        <c:axId val="18533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340288"/>
        <c:crosses val="autoZero"/>
        <c:auto val="1"/>
        <c:lblAlgn val="ctr"/>
        <c:lblOffset val="100"/>
        <c:tickLblSkip val="1"/>
        <c:tickMarkSkip val="1"/>
      </c:catAx>
      <c:valAx>
        <c:axId val="185340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333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5379072"/>
        <c:axId val="185397632"/>
      </c:lineChart>
      <c:catAx>
        <c:axId val="185379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397632"/>
        <c:crosses val="autoZero"/>
        <c:auto val="1"/>
        <c:lblAlgn val="ctr"/>
        <c:lblOffset val="100"/>
        <c:tickLblSkip val="1"/>
        <c:tickMarkSkip val="1"/>
      </c:catAx>
      <c:valAx>
        <c:axId val="18539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37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5436032"/>
        <c:axId val="185442304"/>
      </c:lineChart>
      <c:catAx>
        <c:axId val="185436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442304"/>
        <c:crosses val="autoZero"/>
        <c:auto val="1"/>
        <c:lblAlgn val="ctr"/>
        <c:lblOffset val="100"/>
        <c:tickLblSkip val="1"/>
        <c:tickMarkSkip val="1"/>
      </c:catAx>
      <c:valAx>
        <c:axId val="185442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436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2017152"/>
        <c:axId val="132031616"/>
      </c:lineChart>
      <c:catAx>
        <c:axId val="1320171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031616"/>
        <c:crosses val="autoZero"/>
        <c:auto val="1"/>
        <c:lblAlgn val="ctr"/>
        <c:lblOffset val="100"/>
        <c:tickLblSkip val="6"/>
        <c:tickMarkSkip val="1"/>
      </c:catAx>
      <c:valAx>
        <c:axId val="13203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017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5558528"/>
        <c:axId val="185560448"/>
      </c:lineChart>
      <c:catAx>
        <c:axId val="185558528"/>
        <c:scaling>
          <c:orientation val="minMax"/>
        </c:scaling>
        <c:delete val="1"/>
        <c:axPos val="b"/>
        <c:numFmt formatCode="General" sourceLinked="1"/>
        <c:tickLblPos val="none"/>
        <c:crossAx val="185560448"/>
        <c:crosses val="autoZero"/>
        <c:auto val="1"/>
        <c:lblAlgn val="ctr"/>
        <c:lblOffset val="100"/>
      </c:catAx>
      <c:valAx>
        <c:axId val="185560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558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5712640"/>
        <c:axId val="185714176"/>
      </c:lineChart>
      <c:catAx>
        <c:axId val="1857126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714176"/>
        <c:crosses val="autoZero"/>
        <c:auto val="1"/>
        <c:lblAlgn val="ctr"/>
        <c:lblOffset val="100"/>
        <c:tickLblSkip val="1"/>
        <c:tickMarkSkip val="1"/>
      </c:catAx>
      <c:valAx>
        <c:axId val="18571417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712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712512"/>
        <c:axId val="1714432"/>
      </c:lineChart>
      <c:catAx>
        <c:axId val="1712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4432"/>
        <c:crosses val="autoZero"/>
        <c:auto val="1"/>
        <c:lblAlgn val="ctr"/>
        <c:lblOffset val="100"/>
        <c:tickLblSkip val="1"/>
        <c:tickMarkSkip val="1"/>
      </c:catAx>
      <c:valAx>
        <c:axId val="1714432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251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5733120"/>
        <c:axId val="185735424"/>
      </c:lineChart>
      <c:catAx>
        <c:axId val="18573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735424"/>
        <c:crosses val="autoZero"/>
        <c:auto val="1"/>
        <c:lblAlgn val="ctr"/>
        <c:lblOffset val="100"/>
        <c:tickLblSkip val="1"/>
        <c:tickMarkSkip val="1"/>
      </c:catAx>
      <c:valAx>
        <c:axId val="185735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73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5786752"/>
        <c:axId val="185788672"/>
      </c:lineChart>
      <c:catAx>
        <c:axId val="1857867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788672"/>
        <c:crosses val="autoZero"/>
        <c:auto val="1"/>
        <c:lblAlgn val="ctr"/>
        <c:lblOffset val="100"/>
        <c:tickLblSkip val="1"/>
        <c:tickMarkSkip val="1"/>
      </c:catAx>
      <c:valAx>
        <c:axId val="18578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78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5909248"/>
        <c:axId val="185911168"/>
      </c:lineChart>
      <c:catAx>
        <c:axId val="1859092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911168"/>
        <c:crosses val="autoZero"/>
        <c:auto val="1"/>
        <c:lblAlgn val="ctr"/>
        <c:lblOffset val="100"/>
        <c:tickLblSkip val="1"/>
        <c:tickMarkSkip val="1"/>
      </c:catAx>
      <c:valAx>
        <c:axId val="185911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90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5957760"/>
        <c:axId val="185968128"/>
      </c:lineChart>
      <c:catAx>
        <c:axId val="185957760"/>
        <c:scaling>
          <c:orientation val="minMax"/>
        </c:scaling>
        <c:delete val="1"/>
        <c:axPos val="b"/>
        <c:numFmt formatCode="General" sourceLinked="1"/>
        <c:tickLblPos val="none"/>
        <c:crossAx val="185968128"/>
        <c:crosses val="autoZero"/>
        <c:auto val="1"/>
        <c:lblAlgn val="ctr"/>
        <c:lblOffset val="100"/>
      </c:catAx>
      <c:valAx>
        <c:axId val="185968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5957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6238848"/>
        <c:axId val="186240384"/>
      </c:lineChart>
      <c:catAx>
        <c:axId val="186238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240384"/>
        <c:crosses val="autoZero"/>
        <c:auto val="1"/>
        <c:lblAlgn val="ctr"/>
        <c:lblOffset val="100"/>
        <c:tickLblSkip val="1"/>
        <c:tickMarkSkip val="1"/>
      </c:catAx>
      <c:valAx>
        <c:axId val="18624038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238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6272000"/>
        <c:axId val="186274176"/>
      </c:lineChart>
      <c:catAx>
        <c:axId val="186272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274176"/>
        <c:crosses val="autoZero"/>
        <c:auto val="1"/>
        <c:lblAlgn val="ctr"/>
        <c:lblOffset val="100"/>
        <c:tickLblSkip val="1"/>
        <c:tickMarkSkip val="1"/>
      </c:catAx>
      <c:valAx>
        <c:axId val="18627417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2720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6316672"/>
        <c:axId val="186323328"/>
      </c:lineChart>
      <c:catAx>
        <c:axId val="18631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323328"/>
        <c:crosses val="autoZero"/>
        <c:auto val="1"/>
        <c:lblAlgn val="ctr"/>
        <c:lblOffset val="100"/>
        <c:tickLblSkip val="1"/>
        <c:tickMarkSkip val="1"/>
      </c:catAx>
      <c:valAx>
        <c:axId val="186323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316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2061824"/>
        <c:axId val="132064000"/>
      </c:lineChart>
      <c:catAx>
        <c:axId val="132061824"/>
        <c:scaling>
          <c:orientation val="minMax"/>
        </c:scaling>
        <c:delete val="1"/>
        <c:axPos val="b"/>
        <c:numFmt formatCode="General" sourceLinked="1"/>
        <c:tickLblPos val="none"/>
        <c:crossAx val="132064000"/>
        <c:crosses val="autoZero"/>
        <c:auto val="1"/>
        <c:lblAlgn val="ctr"/>
        <c:lblOffset val="100"/>
      </c:catAx>
      <c:valAx>
        <c:axId val="13206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06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6362112"/>
        <c:axId val="186384768"/>
      </c:lineChart>
      <c:catAx>
        <c:axId val="1863621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384768"/>
        <c:crosses val="autoZero"/>
        <c:auto val="1"/>
        <c:lblAlgn val="ctr"/>
        <c:lblOffset val="100"/>
        <c:tickLblSkip val="1"/>
        <c:tickMarkSkip val="1"/>
      </c:catAx>
      <c:valAx>
        <c:axId val="186384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36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6410880"/>
        <c:axId val="186429440"/>
      </c:lineChart>
      <c:catAx>
        <c:axId val="1864108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429440"/>
        <c:crosses val="autoZero"/>
        <c:auto val="1"/>
        <c:lblAlgn val="ctr"/>
        <c:lblOffset val="100"/>
        <c:tickLblSkip val="1"/>
        <c:tickMarkSkip val="1"/>
      </c:catAx>
      <c:valAx>
        <c:axId val="186429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410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6471936"/>
        <c:axId val="186473856"/>
      </c:lineChart>
      <c:catAx>
        <c:axId val="186471936"/>
        <c:scaling>
          <c:orientation val="minMax"/>
        </c:scaling>
        <c:delete val="1"/>
        <c:axPos val="b"/>
        <c:numFmt formatCode="General" sourceLinked="1"/>
        <c:tickLblPos val="none"/>
        <c:crossAx val="186473856"/>
        <c:crosses val="autoZero"/>
        <c:auto val="1"/>
        <c:lblAlgn val="ctr"/>
        <c:lblOffset val="100"/>
      </c:catAx>
      <c:valAx>
        <c:axId val="1864738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471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6773504"/>
        <c:axId val="186775040"/>
      </c:lineChart>
      <c:catAx>
        <c:axId val="1867735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775040"/>
        <c:crosses val="autoZero"/>
        <c:auto val="1"/>
        <c:lblAlgn val="ctr"/>
        <c:lblOffset val="100"/>
        <c:tickLblSkip val="1"/>
        <c:tickMarkSkip val="1"/>
      </c:catAx>
      <c:valAx>
        <c:axId val="18677504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773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6790272"/>
        <c:axId val="186792192"/>
      </c:lineChart>
      <c:catAx>
        <c:axId val="1867902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792192"/>
        <c:crosses val="autoZero"/>
        <c:auto val="1"/>
        <c:lblAlgn val="ctr"/>
        <c:lblOffset val="100"/>
        <c:tickLblSkip val="1"/>
        <c:tickMarkSkip val="1"/>
      </c:catAx>
      <c:valAx>
        <c:axId val="186792192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7902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86830848"/>
        <c:axId val="186833152"/>
      </c:lineChart>
      <c:catAx>
        <c:axId val="186830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833152"/>
        <c:crosses val="autoZero"/>
        <c:auto val="1"/>
        <c:lblAlgn val="ctr"/>
        <c:lblOffset val="100"/>
        <c:tickLblSkip val="1"/>
        <c:tickMarkSkip val="1"/>
      </c:catAx>
      <c:valAx>
        <c:axId val="186833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数量 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830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规格统计趋势图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86896768"/>
        <c:axId val="186898688"/>
      </c:lineChart>
      <c:catAx>
        <c:axId val="1868967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898688"/>
        <c:crosses val="autoZero"/>
        <c:auto val="1"/>
        <c:lblAlgn val="ctr"/>
        <c:lblOffset val="100"/>
        <c:tickLblSkip val="1"/>
        <c:tickMarkSkip val="1"/>
      </c:catAx>
      <c:valAx>
        <c:axId val="186898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689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9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dLbl>
              <c:idx val="0"/>
              <c:layout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3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87087488"/>
        <c:axId val="187117952"/>
      </c:lineChart>
      <c:catAx>
        <c:axId val="1870874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7117952"/>
        <c:crosses val="autoZero"/>
        <c:auto val="1"/>
        <c:lblAlgn val="ctr"/>
        <c:lblOffset val="100"/>
        <c:tickLblSkip val="1"/>
        <c:tickMarkSkip val="1"/>
      </c:catAx>
      <c:valAx>
        <c:axId val="18711795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7087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87141120"/>
        <c:axId val="187143296"/>
      </c:lineChart>
      <c:catAx>
        <c:axId val="187141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7143296"/>
        <c:crosses val="autoZero"/>
        <c:auto val="1"/>
        <c:lblAlgn val="ctr"/>
        <c:lblOffset val="100"/>
        <c:tickLblSkip val="1"/>
        <c:tickMarkSkip val="1"/>
      </c:catAx>
      <c:valAx>
        <c:axId val="18714329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714112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7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32334720"/>
        <c:axId val="132336256"/>
      </c:lineChart>
      <c:catAx>
        <c:axId val="132334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336256"/>
        <c:crosses val="autoZero"/>
        <c:auto val="1"/>
        <c:lblAlgn val="ctr"/>
        <c:lblOffset val="100"/>
        <c:tickLblSkip val="1"/>
        <c:tickMarkSkip val="1"/>
      </c:catAx>
      <c:valAx>
        <c:axId val="13233625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33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32380160"/>
        <c:axId val="132382080"/>
      </c:lineChart>
      <c:catAx>
        <c:axId val="1323801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382080"/>
        <c:crosses val="autoZero"/>
        <c:auto val="1"/>
        <c:lblAlgn val="ctr"/>
        <c:lblOffset val="100"/>
        <c:tickLblSkip val="1"/>
        <c:tickMarkSkip val="1"/>
      </c:catAx>
      <c:valAx>
        <c:axId val="132382080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3801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32428928"/>
        <c:axId val="132431232"/>
      </c:lineChart>
      <c:catAx>
        <c:axId val="13242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431232"/>
        <c:crosses val="autoZero"/>
        <c:auto val="1"/>
        <c:lblAlgn val="ctr"/>
        <c:lblOffset val="100"/>
        <c:tickLblSkip val="3"/>
        <c:tickMarkSkip val="1"/>
      </c:catAx>
      <c:valAx>
        <c:axId val="132431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42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2470272"/>
        <c:axId val="132472192"/>
      </c:lineChart>
      <c:catAx>
        <c:axId val="1324702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472192"/>
        <c:crosses val="autoZero"/>
        <c:auto val="1"/>
        <c:lblAlgn val="ctr"/>
        <c:lblOffset val="100"/>
        <c:tickLblSkip val="11"/>
        <c:tickMarkSkip val="1"/>
      </c:catAx>
      <c:valAx>
        <c:axId val="132472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247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5503360"/>
        <c:axId val="145505280"/>
      </c:lineChart>
      <c:catAx>
        <c:axId val="145503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505280"/>
        <c:crosses val="autoZero"/>
        <c:auto val="1"/>
        <c:lblAlgn val="ctr"/>
        <c:lblOffset val="100"/>
        <c:tickLblSkip val="6"/>
        <c:tickMarkSkip val="1"/>
      </c:catAx>
      <c:valAx>
        <c:axId val="145505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50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5552128"/>
        <c:axId val="145554048"/>
      </c:lineChart>
      <c:catAx>
        <c:axId val="145552128"/>
        <c:scaling>
          <c:orientation val="minMax"/>
        </c:scaling>
        <c:delete val="1"/>
        <c:axPos val="b"/>
        <c:numFmt formatCode="General" sourceLinked="1"/>
        <c:tickLblPos val="none"/>
        <c:crossAx val="145554048"/>
        <c:crosses val="autoZero"/>
        <c:auto val="1"/>
        <c:lblAlgn val="ctr"/>
        <c:lblOffset val="100"/>
      </c:catAx>
      <c:valAx>
        <c:axId val="145554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552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45677312"/>
        <c:axId val="145769216"/>
      </c:lineChart>
      <c:catAx>
        <c:axId val="1456773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769216"/>
        <c:crosses val="autoZero"/>
        <c:auto val="1"/>
        <c:lblAlgn val="ctr"/>
        <c:lblOffset val="100"/>
        <c:tickLblSkip val="1"/>
        <c:tickMarkSkip val="1"/>
      </c:catAx>
      <c:valAx>
        <c:axId val="14576921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677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7358080"/>
        <c:axId val="127360000"/>
      </c:lineChart>
      <c:catAx>
        <c:axId val="1273580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7360000"/>
        <c:crosses val="autoZero"/>
        <c:auto val="1"/>
        <c:lblAlgn val="ctr"/>
        <c:lblOffset val="100"/>
        <c:tickLblSkip val="6"/>
        <c:tickMarkSkip val="1"/>
      </c:catAx>
      <c:valAx>
        <c:axId val="127360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7358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45780096"/>
        <c:axId val="145782272"/>
      </c:lineChart>
      <c:catAx>
        <c:axId val="145780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782272"/>
        <c:crosses val="autoZero"/>
        <c:auto val="1"/>
        <c:lblAlgn val="ctr"/>
        <c:lblOffset val="100"/>
        <c:tickLblSkip val="1"/>
        <c:tickMarkSkip val="1"/>
      </c:catAx>
      <c:valAx>
        <c:axId val="145782272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78009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45808384"/>
        <c:axId val="145905152"/>
      </c:lineChart>
      <c:catAx>
        <c:axId val="14580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905152"/>
        <c:crosses val="autoZero"/>
        <c:auto val="1"/>
        <c:lblAlgn val="ctr"/>
        <c:lblOffset val="100"/>
        <c:tickLblSkip val="3"/>
        <c:tickMarkSkip val="1"/>
      </c:catAx>
      <c:valAx>
        <c:axId val="145905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80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5923456"/>
        <c:axId val="146019840"/>
      </c:lineChart>
      <c:catAx>
        <c:axId val="145923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6019840"/>
        <c:crosses val="autoZero"/>
        <c:auto val="1"/>
        <c:lblAlgn val="ctr"/>
        <c:lblOffset val="100"/>
        <c:tickLblSkip val="11"/>
        <c:tickMarkSkip val="1"/>
      </c:catAx>
      <c:valAx>
        <c:axId val="146019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5923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6074624"/>
        <c:axId val="146080896"/>
      </c:lineChart>
      <c:catAx>
        <c:axId val="146074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6080896"/>
        <c:crosses val="autoZero"/>
        <c:auto val="1"/>
        <c:lblAlgn val="ctr"/>
        <c:lblOffset val="100"/>
        <c:tickLblSkip val="6"/>
        <c:tickMarkSkip val="1"/>
      </c:catAx>
      <c:valAx>
        <c:axId val="1460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6074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6123392"/>
        <c:axId val="146133760"/>
      </c:lineChart>
      <c:catAx>
        <c:axId val="146123392"/>
        <c:scaling>
          <c:orientation val="minMax"/>
        </c:scaling>
        <c:delete val="1"/>
        <c:axPos val="b"/>
        <c:numFmt formatCode="General" sourceLinked="1"/>
        <c:tickLblPos val="none"/>
        <c:crossAx val="146133760"/>
        <c:crosses val="autoZero"/>
        <c:auto val="1"/>
        <c:lblAlgn val="ctr"/>
        <c:lblOffset val="100"/>
      </c:catAx>
      <c:valAx>
        <c:axId val="146133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612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47321984"/>
        <c:axId val="147323520"/>
      </c:lineChart>
      <c:catAx>
        <c:axId val="1473219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7323520"/>
        <c:crosses val="autoZero"/>
        <c:auto val="1"/>
        <c:lblAlgn val="ctr"/>
        <c:lblOffset val="100"/>
        <c:tickLblSkip val="1"/>
        <c:tickMarkSkip val="1"/>
      </c:catAx>
      <c:valAx>
        <c:axId val="14732352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7321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47404288"/>
        <c:axId val="147406208"/>
      </c:lineChart>
      <c:catAx>
        <c:axId val="1474042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7406208"/>
        <c:crosses val="autoZero"/>
        <c:auto val="1"/>
        <c:lblAlgn val="ctr"/>
        <c:lblOffset val="100"/>
        <c:tickLblSkip val="1"/>
        <c:tickMarkSkip val="1"/>
      </c:catAx>
      <c:valAx>
        <c:axId val="147406208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740428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7445248"/>
        <c:axId val="147447168"/>
      </c:lineChart>
      <c:catAx>
        <c:axId val="147445248"/>
        <c:scaling>
          <c:orientation val="minMax"/>
        </c:scaling>
        <c:delete val="1"/>
        <c:axPos val="b"/>
        <c:numFmt formatCode="General" sourceLinked="1"/>
        <c:tickLblPos val="none"/>
        <c:crossAx val="147447168"/>
        <c:crosses val="autoZero"/>
        <c:auto val="1"/>
        <c:lblAlgn val="ctr"/>
        <c:lblOffset val="100"/>
      </c:catAx>
      <c:valAx>
        <c:axId val="14744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7445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56037120"/>
        <c:axId val="156038656"/>
      </c:lineChart>
      <c:catAx>
        <c:axId val="156037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038656"/>
        <c:crosses val="autoZero"/>
        <c:auto val="1"/>
        <c:lblAlgn val="ctr"/>
        <c:lblOffset val="100"/>
        <c:tickLblSkip val="1"/>
        <c:tickMarkSkip val="1"/>
      </c:catAx>
      <c:valAx>
        <c:axId val="15603865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037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6080768"/>
        <c:axId val="156103424"/>
      </c:lineChart>
      <c:catAx>
        <c:axId val="156080768"/>
        <c:scaling>
          <c:orientation val="minMax"/>
        </c:scaling>
        <c:delete val="1"/>
        <c:axPos val="b"/>
        <c:numFmt formatCode="General" sourceLinked="1"/>
        <c:tickLblPos val="none"/>
        <c:crossAx val="156103424"/>
        <c:crosses val="autoZero"/>
        <c:auto val="1"/>
        <c:lblAlgn val="ctr"/>
        <c:lblOffset val="100"/>
      </c:catAx>
      <c:valAx>
        <c:axId val="156103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080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7673088"/>
        <c:axId val="127675008"/>
      </c:lineChart>
      <c:catAx>
        <c:axId val="127673088"/>
        <c:scaling>
          <c:orientation val="minMax"/>
        </c:scaling>
        <c:delete val="1"/>
        <c:axPos val="b"/>
        <c:numFmt formatCode="General" sourceLinked="1"/>
        <c:tickLblPos val="none"/>
        <c:crossAx val="127675008"/>
        <c:crosses val="autoZero"/>
        <c:auto val="1"/>
        <c:lblAlgn val="ctr"/>
        <c:lblOffset val="100"/>
      </c:catAx>
      <c:valAx>
        <c:axId val="127675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7673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56329472"/>
        <c:axId val="156331008"/>
      </c:lineChart>
      <c:catAx>
        <c:axId val="1563294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331008"/>
        <c:crosses val="autoZero"/>
        <c:auto val="1"/>
        <c:lblAlgn val="ctr"/>
        <c:lblOffset val="100"/>
        <c:tickLblSkip val="1"/>
        <c:tickMarkSkip val="1"/>
      </c:catAx>
      <c:valAx>
        <c:axId val="15633100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32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56438912"/>
        <c:axId val="156441216"/>
      </c:lineChart>
      <c:catAx>
        <c:axId val="15643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441216"/>
        <c:crosses val="autoZero"/>
        <c:auto val="1"/>
        <c:lblAlgn val="ctr"/>
        <c:lblOffset val="100"/>
        <c:tickLblSkip val="3"/>
        <c:tickMarkSkip val="1"/>
      </c:catAx>
      <c:valAx>
        <c:axId val="156441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43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6488448"/>
        <c:axId val="156490368"/>
      </c:lineChart>
      <c:catAx>
        <c:axId val="1564884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490368"/>
        <c:crosses val="autoZero"/>
        <c:auto val="1"/>
        <c:lblAlgn val="ctr"/>
        <c:lblOffset val="100"/>
        <c:tickLblSkip val="11"/>
        <c:tickMarkSkip val="1"/>
      </c:catAx>
      <c:valAx>
        <c:axId val="15649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48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6422528"/>
        <c:axId val="156424448"/>
      </c:lineChart>
      <c:catAx>
        <c:axId val="1564225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424448"/>
        <c:crosses val="autoZero"/>
        <c:auto val="1"/>
        <c:lblAlgn val="ctr"/>
        <c:lblOffset val="100"/>
        <c:tickLblSkip val="6"/>
        <c:tickMarkSkip val="1"/>
      </c:catAx>
      <c:valAx>
        <c:axId val="156424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422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6540928"/>
        <c:axId val="156542848"/>
      </c:lineChart>
      <c:catAx>
        <c:axId val="156540928"/>
        <c:scaling>
          <c:orientation val="minMax"/>
        </c:scaling>
        <c:delete val="1"/>
        <c:axPos val="b"/>
        <c:numFmt formatCode="General" sourceLinked="1"/>
        <c:tickLblPos val="none"/>
        <c:crossAx val="156542848"/>
        <c:crosses val="autoZero"/>
        <c:auto val="1"/>
        <c:lblAlgn val="ctr"/>
        <c:lblOffset val="100"/>
      </c:catAx>
      <c:valAx>
        <c:axId val="156542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54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56702976"/>
        <c:axId val="156741632"/>
      </c:lineChart>
      <c:catAx>
        <c:axId val="156702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741632"/>
        <c:crosses val="autoZero"/>
        <c:auto val="1"/>
        <c:lblAlgn val="ctr"/>
        <c:lblOffset val="100"/>
        <c:tickLblSkip val="1"/>
        <c:tickMarkSkip val="1"/>
      </c:catAx>
      <c:valAx>
        <c:axId val="15674163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702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56519040"/>
        <c:axId val="156754688"/>
      </c:lineChart>
      <c:catAx>
        <c:axId val="1565190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754688"/>
        <c:crosses val="autoZero"/>
        <c:auto val="1"/>
        <c:lblAlgn val="ctr"/>
        <c:lblOffset val="100"/>
        <c:tickLblSkip val="1"/>
        <c:tickMarkSkip val="1"/>
      </c:catAx>
      <c:valAx>
        <c:axId val="156754688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51904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56776704"/>
        <c:axId val="156803840"/>
      </c:lineChart>
      <c:catAx>
        <c:axId val="15677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803840"/>
        <c:crosses val="autoZero"/>
        <c:auto val="1"/>
        <c:lblAlgn val="ctr"/>
        <c:lblOffset val="100"/>
        <c:tickLblSkip val="3"/>
        <c:tickMarkSkip val="1"/>
      </c:catAx>
      <c:valAx>
        <c:axId val="156803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77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6912256"/>
        <c:axId val="156922624"/>
      </c:lineChart>
      <c:catAx>
        <c:axId val="156912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922624"/>
        <c:crosses val="autoZero"/>
        <c:auto val="1"/>
        <c:lblAlgn val="ctr"/>
        <c:lblOffset val="100"/>
        <c:tickLblSkip val="11"/>
        <c:tickMarkSkip val="1"/>
      </c:catAx>
      <c:valAx>
        <c:axId val="156922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91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6841856"/>
        <c:axId val="156848128"/>
      </c:lineChart>
      <c:catAx>
        <c:axId val="1568418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848128"/>
        <c:crosses val="autoZero"/>
        <c:auto val="1"/>
        <c:lblAlgn val="ctr"/>
        <c:lblOffset val="100"/>
        <c:tickLblSkip val="6"/>
        <c:tickMarkSkip val="1"/>
      </c:catAx>
      <c:valAx>
        <c:axId val="156848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841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27998976"/>
        <c:axId val="128021248"/>
      </c:lineChart>
      <c:catAx>
        <c:axId val="127998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021248"/>
        <c:crosses val="autoZero"/>
        <c:auto val="1"/>
        <c:lblAlgn val="ctr"/>
        <c:lblOffset val="100"/>
        <c:tickLblSkip val="1"/>
        <c:tickMarkSkip val="1"/>
      </c:catAx>
      <c:valAx>
        <c:axId val="12802124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7998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6878336"/>
        <c:axId val="156880256"/>
      </c:lineChart>
      <c:catAx>
        <c:axId val="156878336"/>
        <c:scaling>
          <c:orientation val="minMax"/>
        </c:scaling>
        <c:delete val="1"/>
        <c:axPos val="b"/>
        <c:numFmt formatCode="General" sourceLinked="1"/>
        <c:tickLblPos val="none"/>
        <c:crossAx val="156880256"/>
        <c:crosses val="autoZero"/>
        <c:auto val="1"/>
        <c:lblAlgn val="ctr"/>
        <c:lblOffset val="100"/>
      </c:catAx>
      <c:valAx>
        <c:axId val="156880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687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57188096"/>
        <c:axId val="157189632"/>
      </c:lineChart>
      <c:catAx>
        <c:axId val="1571880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189632"/>
        <c:crosses val="autoZero"/>
        <c:auto val="1"/>
        <c:lblAlgn val="ctr"/>
        <c:lblOffset val="100"/>
        <c:tickLblSkip val="1"/>
        <c:tickMarkSkip val="1"/>
      </c:catAx>
      <c:valAx>
        <c:axId val="15718963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188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57196672"/>
        <c:axId val="157198592"/>
      </c:lineChart>
      <c:catAx>
        <c:axId val="1571966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198592"/>
        <c:crosses val="autoZero"/>
        <c:auto val="1"/>
        <c:lblAlgn val="ctr"/>
        <c:lblOffset val="100"/>
        <c:tickLblSkip val="1"/>
        <c:tickMarkSkip val="1"/>
      </c:catAx>
      <c:valAx>
        <c:axId val="157198592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1966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57291264"/>
        <c:axId val="157292800"/>
      </c:lineChart>
      <c:catAx>
        <c:axId val="15729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292800"/>
        <c:crosses val="autoZero"/>
        <c:auto val="1"/>
        <c:lblAlgn val="ctr"/>
        <c:lblOffset val="100"/>
        <c:tickLblSkip val="3"/>
        <c:tickMarkSkip val="1"/>
      </c:catAx>
      <c:valAx>
        <c:axId val="157292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29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7368704"/>
        <c:axId val="157370624"/>
      </c:lineChart>
      <c:catAx>
        <c:axId val="1573687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370624"/>
        <c:crosses val="autoZero"/>
        <c:auto val="1"/>
        <c:lblAlgn val="ctr"/>
        <c:lblOffset val="100"/>
        <c:tickLblSkip val="11"/>
        <c:tickMarkSkip val="1"/>
      </c:catAx>
      <c:valAx>
        <c:axId val="157370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36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7233536"/>
        <c:axId val="157235456"/>
      </c:lineChart>
      <c:catAx>
        <c:axId val="1572335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235456"/>
        <c:crosses val="autoZero"/>
        <c:auto val="1"/>
        <c:lblAlgn val="ctr"/>
        <c:lblOffset val="100"/>
        <c:tickLblSkip val="6"/>
        <c:tickMarkSkip val="1"/>
      </c:catAx>
      <c:valAx>
        <c:axId val="157235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233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7252992"/>
        <c:axId val="157263360"/>
      </c:lineChart>
      <c:catAx>
        <c:axId val="157252992"/>
        <c:scaling>
          <c:orientation val="minMax"/>
        </c:scaling>
        <c:delete val="1"/>
        <c:axPos val="b"/>
        <c:numFmt formatCode="General" sourceLinked="1"/>
        <c:tickLblPos val="none"/>
        <c:crossAx val="157263360"/>
        <c:crosses val="autoZero"/>
        <c:auto val="1"/>
        <c:lblAlgn val="ctr"/>
        <c:lblOffset val="100"/>
      </c:catAx>
      <c:valAx>
        <c:axId val="157263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252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57583232"/>
        <c:axId val="157584768"/>
      </c:lineChart>
      <c:catAx>
        <c:axId val="157583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584768"/>
        <c:crosses val="autoZero"/>
        <c:auto val="1"/>
        <c:lblAlgn val="ctr"/>
        <c:lblOffset val="100"/>
        <c:tickLblSkip val="1"/>
        <c:tickMarkSkip val="1"/>
      </c:catAx>
      <c:valAx>
        <c:axId val="15758476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583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57686016"/>
        <c:axId val="157688192"/>
      </c:lineChart>
      <c:catAx>
        <c:axId val="1576860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688192"/>
        <c:crosses val="autoZero"/>
        <c:auto val="1"/>
        <c:lblAlgn val="ctr"/>
        <c:lblOffset val="100"/>
        <c:tickLblSkip val="1"/>
        <c:tickMarkSkip val="1"/>
      </c:catAx>
      <c:valAx>
        <c:axId val="157688192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68601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57616000"/>
        <c:axId val="157634944"/>
      </c:lineChart>
      <c:catAx>
        <c:axId val="15761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634944"/>
        <c:crosses val="autoZero"/>
        <c:auto val="1"/>
        <c:lblAlgn val="ctr"/>
        <c:lblOffset val="100"/>
        <c:tickLblSkip val="3"/>
        <c:tickMarkSkip val="1"/>
      </c:catAx>
      <c:valAx>
        <c:axId val="157634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61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28028032"/>
        <c:axId val="128038400"/>
      </c:lineChart>
      <c:catAx>
        <c:axId val="128028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038400"/>
        <c:crosses val="autoZero"/>
        <c:auto val="1"/>
        <c:lblAlgn val="ctr"/>
        <c:lblOffset val="100"/>
        <c:tickLblSkip val="1"/>
        <c:tickMarkSkip val="1"/>
      </c:catAx>
      <c:valAx>
        <c:axId val="128038400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02803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7673344"/>
        <c:axId val="157716480"/>
      </c:lineChart>
      <c:catAx>
        <c:axId val="1576733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716480"/>
        <c:crosses val="autoZero"/>
        <c:auto val="1"/>
        <c:lblAlgn val="ctr"/>
        <c:lblOffset val="100"/>
        <c:tickLblSkip val="11"/>
        <c:tickMarkSkip val="1"/>
      </c:catAx>
      <c:valAx>
        <c:axId val="157716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67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7795840"/>
        <c:axId val="157797760"/>
      </c:lineChart>
      <c:catAx>
        <c:axId val="1577958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797760"/>
        <c:crosses val="autoZero"/>
        <c:auto val="1"/>
        <c:lblAlgn val="ctr"/>
        <c:lblOffset val="100"/>
        <c:tickLblSkip val="6"/>
        <c:tickMarkSkip val="1"/>
      </c:catAx>
      <c:valAx>
        <c:axId val="157797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7795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8102656"/>
        <c:axId val="158104576"/>
      </c:lineChart>
      <c:catAx>
        <c:axId val="158102656"/>
        <c:scaling>
          <c:orientation val="minMax"/>
        </c:scaling>
        <c:delete val="1"/>
        <c:axPos val="b"/>
        <c:numFmt formatCode="General" sourceLinked="1"/>
        <c:tickLblPos val="none"/>
        <c:crossAx val="158104576"/>
        <c:crosses val="autoZero"/>
        <c:auto val="1"/>
        <c:lblAlgn val="ctr"/>
        <c:lblOffset val="100"/>
      </c:catAx>
      <c:valAx>
        <c:axId val="158104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10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58342528"/>
        <c:axId val="158372992"/>
      </c:lineChart>
      <c:catAx>
        <c:axId val="1583425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372992"/>
        <c:crosses val="autoZero"/>
        <c:auto val="1"/>
        <c:lblAlgn val="ctr"/>
        <c:lblOffset val="100"/>
        <c:tickLblSkip val="1"/>
        <c:tickMarkSkip val="1"/>
      </c:catAx>
      <c:valAx>
        <c:axId val="15837299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342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58396416"/>
        <c:axId val="158398336"/>
      </c:lineChart>
      <c:catAx>
        <c:axId val="158396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398336"/>
        <c:crosses val="autoZero"/>
        <c:auto val="1"/>
        <c:lblAlgn val="ctr"/>
        <c:lblOffset val="100"/>
        <c:tickLblSkip val="1"/>
        <c:tickMarkSkip val="1"/>
      </c:catAx>
      <c:valAx>
        <c:axId val="15839833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39641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58444928"/>
        <c:axId val="158459776"/>
      </c:lineChart>
      <c:catAx>
        <c:axId val="15844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459776"/>
        <c:crosses val="autoZero"/>
        <c:auto val="1"/>
        <c:lblAlgn val="ctr"/>
        <c:lblOffset val="100"/>
        <c:tickLblSkip val="20"/>
        <c:tickMarkSkip val="1"/>
      </c:catAx>
      <c:valAx>
        <c:axId val="158459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44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8490624"/>
        <c:axId val="158492544"/>
      </c:lineChart>
      <c:catAx>
        <c:axId val="158490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492544"/>
        <c:crosses val="autoZero"/>
        <c:auto val="1"/>
        <c:lblAlgn val="ctr"/>
        <c:lblOffset val="100"/>
        <c:tickLblSkip val="31"/>
        <c:tickMarkSkip val="1"/>
      </c:catAx>
      <c:valAx>
        <c:axId val="158492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49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8530944"/>
        <c:axId val="158541312"/>
      </c:lineChart>
      <c:catAx>
        <c:axId val="1585309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541312"/>
        <c:crosses val="autoZero"/>
        <c:auto val="1"/>
        <c:lblAlgn val="ctr"/>
        <c:lblOffset val="100"/>
        <c:tickLblSkip val="31"/>
        <c:tickMarkSkip val="1"/>
      </c:catAx>
      <c:valAx>
        <c:axId val="158541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530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8665728"/>
        <c:axId val="158680192"/>
      </c:lineChart>
      <c:catAx>
        <c:axId val="158665728"/>
        <c:scaling>
          <c:orientation val="minMax"/>
        </c:scaling>
        <c:delete val="1"/>
        <c:axPos val="b"/>
        <c:numFmt formatCode="General" sourceLinked="1"/>
        <c:tickLblPos val="none"/>
        <c:crossAx val="158680192"/>
        <c:crosses val="autoZero"/>
        <c:auto val="1"/>
        <c:lblAlgn val="ctr"/>
        <c:lblOffset val="100"/>
      </c:catAx>
      <c:valAx>
        <c:axId val="15868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665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58877184"/>
        <c:axId val="158878720"/>
      </c:lineChart>
      <c:catAx>
        <c:axId val="158877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878720"/>
        <c:crosses val="autoZero"/>
        <c:auto val="1"/>
        <c:lblAlgn val="ctr"/>
        <c:lblOffset val="100"/>
        <c:tickLblSkip val="1"/>
        <c:tickMarkSkip val="1"/>
      </c:catAx>
      <c:valAx>
        <c:axId val="15887872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877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28146432"/>
        <c:axId val="128161280"/>
      </c:lineChart>
      <c:catAx>
        <c:axId val="12814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161280"/>
        <c:crosses val="autoZero"/>
        <c:auto val="1"/>
        <c:lblAlgn val="ctr"/>
        <c:lblOffset val="100"/>
        <c:tickLblSkip val="3"/>
        <c:tickMarkSkip val="1"/>
      </c:catAx>
      <c:valAx>
        <c:axId val="128161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14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58910336"/>
        <c:axId val="158920704"/>
      </c:lineChart>
      <c:catAx>
        <c:axId val="1589103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920704"/>
        <c:crosses val="autoZero"/>
        <c:auto val="1"/>
        <c:lblAlgn val="ctr"/>
        <c:lblOffset val="100"/>
        <c:tickLblSkip val="1"/>
        <c:tickMarkSkip val="1"/>
      </c:catAx>
      <c:valAx>
        <c:axId val="158920704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910336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58959104"/>
        <c:axId val="158973952"/>
      </c:lineChart>
      <c:catAx>
        <c:axId val="15895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973952"/>
        <c:crosses val="autoZero"/>
        <c:auto val="1"/>
        <c:lblAlgn val="ctr"/>
        <c:lblOffset val="100"/>
        <c:tickLblSkip val="20"/>
        <c:tickMarkSkip val="1"/>
      </c:catAx>
      <c:valAx>
        <c:axId val="158973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895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9065984"/>
        <c:axId val="159080448"/>
      </c:lineChart>
      <c:catAx>
        <c:axId val="1590659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080448"/>
        <c:crosses val="autoZero"/>
        <c:auto val="1"/>
        <c:lblAlgn val="ctr"/>
        <c:lblOffset val="100"/>
        <c:tickLblSkip val="31"/>
        <c:tickMarkSkip val="1"/>
      </c:catAx>
      <c:valAx>
        <c:axId val="159080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06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9118848"/>
        <c:axId val="159120768"/>
      </c:lineChart>
      <c:catAx>
        <c:axId val="159118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120768"/>
        <c:crosses val="autoZero"/>
        <c:auto val="1"/>
        <c:lblAlgn val="ctr"/>
        <c:lblOffset val="100"/>
        <c:tickLblSkip val="31"/>
        <c:tickMarkSkip val="1"/>
      </c:catAx>
      <c:valAx>
        <c:axId val="15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118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9036544"/>
        <c:axId val="159038464"/>
      </c:lineChart>
      <c:catAx>
        <c:axId val="159036544"/>
        <c:scaling>
          <c:orientation val="minMax"/>
        </c:scaling>
        <c:delete val="1"/>
        <c:axPos val="b"/>
        <c:numFmt formatCode="General" sourceLinked="1"/>
        <c:tickLblPos val="none"/>
        <c:crossAx val="159038464"/>
        <c:crosses val="autoZero"/>
        <c:auto val="1"/>
        <c:lblAlgn val="ctr"/>
        <c:lblOffset val="100"/>
      </c:catAx>
      <c:valAx>
        <c:axId val="159038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03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59223168"/>
        <c:axId val="159245440"/>
      </c:lineChart>
      <c:catAx>
        <c:axId val="1592231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245440"/>
        <c:crosses val="autoZero"/>
        <c:auto val="1"/>
        <c:lblAlgn val="ctr"/>
        <c:lblOffset val="100"/>
        <c:tickLblSkip val="1"/>
        <c:tickMarkSkip val="1"/>
      </c:catAx>
      <c:valAx>
        <c:axId val="159245440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223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59346688"/>
        <c:axId val="159348608"/>
      </c:lineChart>
      <c:catAx>
        <c:axId val="1593466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348608"/>
        <c:crosses val="autoZero"/>
        <c:auto val="1"/>
        <c:lblAlgn val="ctr"/>
        <c:lblOffset val="100"/>
        <c:tickLblSkip val="1"/>
        <c:tickMarkSkip val="1"/>
      </c:catAx>
      <c:valAx>
        <c:axId val="159348608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34668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59362432"/>
        <c:axId val="159475584"/>
      </c:lineChart>
      <c:catAx>
        <c:axId val="159362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475584"/>
        <c:crosses val="autoZero"/>
        <c:auto val="1"/>
        <c:lblAlgn val="ctr"/>
        <c:lblOffset val="100"/>
        <c:tickLblSkip val="20"/>
        <c:tickMarkSkip val="1"/>
      </c:catAx>
      <c:valAx>
        <c:axId val="159475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36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9514624"/>
        <c:axId val="159516544"/>
      </c:lineChart>
      <c:catAx>
        <c:axId val="159514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516544"/>
        <c:crosses val="autoZero"/>
        <c:auto val="1"/>
        <c:lblAlgn val="ctr"/>
        <c:lblOffset val="100"/>
        <c:tickLblSkip val="31"/>
        <c:tickMarkSkip val="1"/>
      </c:catAx>
      <c:valAx>
        <c:axId val="159516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51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9550848"/>
        <c:axId val="159565312"/>
      </c:lineChart>
      <c:catAx>
        <c:axId val="1595508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565312"/>
        <c:crosses val="autoZero"/>
        <c:auto val="1"/>
        <c:lblAlgn val="ctr"/>
        <c:lblOffset val="100"/>
        <c:tickLblSkip val="31"/>
        <c:tickMarkSkip val="1"/>
      </c:catAx>
      <c:valAx>
        <c:axId val="15956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550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8068992"/>
        <c:axId val="128075264"/>
      </c:lineChart>
      <c:catAx>
        <c:axId val="1280689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075264"/>
        <c:crosses val="autoZero"/>
        <c:auto val="1"/>
        <c:lblAlgn val="ctr"/>
        <c:lblOffset val="100"/>
        <c:tickLblSkip val="11"/>
        <c:tickMarkSkip val="1"/>
      </c:catAx>
      <c:valAx>
        <c:axId val="128075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06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9595520"/>
        <c:axId val="159605888"/>
      </c:lineChart>
      <c:catAx>
        <c:axId val="159595520"/>
        <c:scaling>
          <c:orientation val="minMax"/>
        </c:scaling>
        <c:delete val="1"/>
        <c:axPos val="b"/>
        <c:numFmt formatCode="General" sourceLinked="1"/>
        <c:tickLblPos val="none"/>
        <c:crossAx val="159605888"/>
        <c:crosses val="autoZero"/>
        <c:auto val="1"/>
        <c:lblAlgn val="ctr"/>
        <c:lblOffset val="100"/>
      </c:catAx>
      <c:valAx>
        <c:axId val="1596058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595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59823360"/>
        <c:axId val="159824896"/>
      </c:lineChart>
      <c:catAx>
        <c:axId val="159823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824896"/>
        <c:crosses val="autoZero"/>
        <c:auto val="1"/>
        <c:lblAlgn val="ctr"/>
        <c:lblOffset val="100"/>
        <c:tickLblSkip val="1"/>
        <c:tickMarkSkip val="1"/>
      </c:catAx>
      <c:valAx>
        <c:axId val="15982489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82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59848320"/>
        <c:axId val="159850496"/>
      </c:lineChart>
      <c:catAx>
        <c:axId val="159848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850496"/>
        <c:crosses val="autoZero"/>
        <c:auto val="1"/>
        <c:lblAlgn val="ctr"/>
        <c:lblOffset val="100"/>
        <c:tickLblSkip val="1"/>
        <c:tickMarkSkip val="1"/>
      </c:catAx>
      <c:valAx>
        <c:axId val="159850496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84832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59909376"/>
        <c:axId val="159928320"/>
      </c:lineChart>
      <c:catAx>
        <c:axId val="15990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928320"/>
        <c:crosses val="autoZero"/>
        <c:auto val="1"/>
        <c:lblAlgn val="ctr"/>
        <c:lblOffset val="100"/>
        <c:tickLblSkip val="20"/>
        <c:tickMarkSkip val="1"/>
      </c:catAx>
      <c:valAx>
        <c:axId val="159928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90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9954816"/>
        <c:axId val="159961088"/>
      </c:lineChart>
      <c:catAx>
        <c:axId val="1599548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961088"/>
        <c:crosses val="autoZero"/>
        <c:auto val="1"/>
        <c:lblAlgn val="ctr"/>
        <c:lblOffset val="100"/>
        <c:tickLblSkip val="31"/>
        <c:tickMarkSkip val="1"/>
      </c:catAx>
      <c:valAx>
        <c:axId val="159961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59954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0114176"/>
        <c:axId val="160116096"/>
      </c:lineChart>
      <c:catAx>
        <c:axId val="1601141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116096"/>
        <c:crosses val="autoZero"/>
        <c:auto val="1"/>
        <c:lblAlgn val="ctr"/>
        <c:lblOffset val="100"/>
        <c:tickLblSkip val="31"/>
        <c:tickMarkSkip val="1"/>
      </c:catAx>
      <c:valAx>
        <c:axId val="160116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114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0195712"/>
        <c:axId val="160197632"/>
      </c:lineChart>
      <c:catAx>
        <c:axId val="160195712"/>
        <c:scaling>
          <c:orientation val="minMax"/>
        </c:scaling>
        <c:delete val="1"/>
        <c:axPos val="b"/>
        <c:numFmt formatCode="General" sourceLinked="1"/>
        <c:tickLblPos val="none"/>
        <c:crossAx val="160197632"/>
        <c:crosses val="autoZero"/>
        <c:auto val="1"/>
        <c:lblAlgn val="ctr"/>
        <c:lblOffset val="100"/>
      </c:catAx>
      <c:valAx>
        <c:axId val="16019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195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0103808"/>
        <c:axId val="160384128"/>
      </c:lineChart>
      <c:catAx>
        <c:axId val="1601038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384128"/>
        <c:crosses val="autoZero"/>
        <c:auto val="1"/>
        <c:lblAlgn val="ctr"/>
        <c:lblOffset val="100"/>
        <c:tickLblSkip val="1"/>
        <c:tickMarkSkip val="1"/>
      </c:catAx>
      <c:valAx>
        <c:axId val="16038412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103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[1]观前!$B$36:$K$36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60411648"/>
        <c:axId val="160413568"/>
      </c:lineChart>
      <c:catAx>
        <c:axId val="1604116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413568"/>
        <c:crosses val="autoZero"/>
        <c:auto val="1"/>
        <c:lblAlgn val="ctr"/>
        <c:lblOffset val="100"/>
        <c:tickLblSkip val="1"/>
        <c:tickMarkSkip val="1"/>
      </c:catAx>
      <c:valAx>
        <c:axId val="160413568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41164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[3]观前!$B$5:$B$35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[3]观前!$F$5:$F$35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[3]观前!$G$5:$G$35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[3]观前!$H$5:$H$35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60513408"/>
        <c:axId val="160524160"/>
      </c:lineChart>
      <c:catAx>
        <c:axId val="16051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524160"/>
        <c:crosses val="autoZero"/>
        <c:auto val="1"/>
        <c:lblAlgn val="ctr"/>
        <c:lblOffset val="100"/>
        <c:tickLblSkip val="20"/>
        <c:tickMarkSkip val="1"/>
      </c:catAx>
      <c:valAx>
        <c:axId val="160524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5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8523264"/>
        <c:axId val="128533632"/>
      </c:lineChart>
      <c:catAx>
        <c:axId val="1285232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533632"/>
        <c:crosses val="autoZero"/>
        <c:auto val="1"/>
        <c:lblAlgn val="ctr"/>
        <c:lblOffset val="100"/>
        <c:tickLblSkip val="6"/>
        <c:tickMarkSkip val="1"/>
      </c:catAx>
      <c:valAx>
        <c:axId val="12853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8523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0444416"/>
        <c:axId val="160446336"/>
      </c:lineChart>
      <c:catAx>
        <c:axId val="160444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446336"/>
        <c:crosses val="autoZero"/>
        <c:auto val="1"/>
        <c:lblAlgn val="ctr"/>
        <c:lblOffset val="100"/>
        <c:tickLblSkip val="31"/>
        <c:tickMarkSkip val="1"/>
      </c:catAx>
      <c:valAx>
        <c:axId val="160446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44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0566656"/>
        <c:axId val="160585216"/>
      </c:lineChart>
      <c:catAx>
        <c:axId val="1605666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585216"/>
        <c:crosses val="autoZero"/>
        <c:auto val="1"/>
        <c:lblAlgn val="ctr"/>
        <c:lblOffset val="100"/>
        <c:tickLblSkip val="31"/>
        <c:tickMarkSkip val="1"/>
      </c:catAx>
      <c:valAx>
        <c:axId val="16058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566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0611328"/>
        <c:axId val="160633984"/>
      </c:lineChart>
      <c:catAx>
        <c:axId val="160611328"/>
        <c:scaling>
          <c:orientation val="minMax"/>
        </c:scaling>
        <c:delete val="1"/>
        <c:axPos val="b"/>
        <c:numFmt formatCode="General" sourceLinked="1"/>
        <c:tickLblPos val="none"/>
        <c:crossAx val="160633984"/>
        <c:crosses val="autoZero"/>
        <c:auto val="1"/>
        <c:lblAlgn val="ctr"/>
        <c:lblOffset val="100"/>
      </c:catAx>
      <c:valAx>
        <c:axId val="160633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611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[3]观前!$S$36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0749056"/>
        <c:axId val="160750592"/>
      </c:lineChart>
      <c:catAx>
        <c:axId val="1607490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750592"/>
        <c:crosses val="autoZero"/>
        <c:auto val="1"/>
        <c:lblAlgn val="ctr"/>
        <c:lblOffset val="100"/>
        <c:tickLblSkip val="1"/>
        <c:tickMarkSkip val="1"/>
      </c:catAx>
      <c:valAx>
        <c:axId val="160750592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749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图表标题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[3]观前!$B$36:$K$36</c:f>
              <c:strCache>
                <c:ptCount val="1"/>
                <c:pt idx="0">
                  <c:v>288 0 0 352 925 2508 0 528 54 55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160880512"/>
        <c:axId val="160886784"/>
      </c:lineChart>
      <c:catAx>
        <c:axId val="1608805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886784"/>
        <c:crosses val="autoZero"/>
        <c:auto val="1"/>
        <c:lblAlgn val="ctr"/>
        <c:lblOffset val="100"/>
        <c:tickLblSkip val="1"/>
        <c:tickMarkSkip val="1"/>
      </c:catAx>
      <c:valAx>
        <c:axId val="160886784"/>
        <c:scaling>
          <c:orientation val="minMax"/>
          <c:max val="1.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88051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[1]观前!$B$5:$B$35</c:f>
              <c:numCache>
                <c:formatCode>General</c:formatCode>
                <c:ptCount val="31"/>
                <c:pt idx="0">
                  <c:v>7</c:v>
                </c:pt>
                <c:pt idx="1">
                  <c:v>64</c:v>
                </c:pt>
                <c:pt idx="2">
                  <c:v>61</c:v>
                </c:pt>
                <c:pt idx="3">
                  <c:v>16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59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[1]观前!$F$5:$F$35</c:f>
              <c:numCache>
                <c:formatCode>General</c:formatCode>
                <c:ptCount val="31"/>
                <c:pt idx="0">
                  <c:v>23</c:v>
                </c:pt>
                <c:pt idx="1">
                  <c:v>3</c:v>
                </c:pt>
                <c:pt idx="2">
                  <c:v>72</c:v>
                </c:pt>
                <c:pt idx="3">
                  <c:v>181</c:v>
                </c:pt>
                <c:pt idx="4">
                  <c:v>198</c:v>
                </c:pt>
                <c:pt idx="5">
                  <c:v>160</c:v>
                </c:pt>
                <c:pt idx="6">
                  <c:v>56</c:v>
                </c:pt>
                <c:pt idx="7">
                  <c:v>232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[1]观前!$G$5:$G$35</c:f>
              <c:numCache>
                <c:formatCode>General</c:formatCode>
                <c:ptCount val="31"/>
                <c:pt idx="0">
                  <c:v>563</c:v>
                </c:pt>
                <c:pt idx="1">
                  <c:v>439</c:v>
                </c:pt>
                <c:pt idx="2">
                  <c:v>571</c:v>
                </c:pt>
                <c:pt idx="3">
                  <c:v>192</c:v>
                </c:pt>
                <c:pt idx="4">
                  <c:v>269</c:v>
                </c:pt>
                <c:pt idx="5">
                  <c:v>147</c:v>
                </c:pt>
                <c:pt idx="6">
                  <c:v>135</c:v>
                </c:pt>
                <c:pt idx="7">
                  <c:v>192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[1]观前!$H$5:$H$35</c:f>
              <c:numCache>
                <c:formatCode>General</c:formatCode>
                <c:ptCount val="31"/>
              </c:numCache>
            </c:numRef>
          </c:val>
        </c:ser>
        <c:marker val="1"/>
        <c:axId val="160925184"/>
        <c:axId val="160944128"/>
      </c:lineChart>
      <c:catAx>
        <c:axId val="16092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日期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944128"/>
        <c:crosses val="autoZero"/>
        <c:auto val="1"/>
        <c:lblAlgn val="ctr"/>
        <c:lblOffset val="100"/>
        <c:tickLblSkip val="20"/>
        <c:tickMarkSkip val="1"/>
      </c:catAx>
      <c:valAx>
        <c:axId val="160944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altLang="en-US"/>
                  <a:t>数量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92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0987008"/>
        <c:axId val="161001472"/>
      </c:lineChart>
      <c:catAx>
        <c:axId val="1609870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001472"/>
        <c:crosses val="autoZero"/>
        <c:auto val="1"/>
        <c:lblAlgn val="ctr"/>
        <c:lblOffset val="100"/>
        <c:tickLblSkip val="31"/>
        <c:tickMarkSkip val="1"/>
      </c:catAx>
      <c:valAx>
        <c:axId val="161001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098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1023488"/>
        <c:axId val="161025408"/>
      </c:lineChart>
      <c:catAx>
        <c:axId val="1610234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025408"/>
        <c:crosses val="autoZero"/>
        <c:auto val="1"/>
        <c:lblAlgn val="ctr"/>
        <c:lblOffset val="100"/>
        <c:tickLblSkip val="31"/>
        <c:tickMarkSkip val="1"/>
      </c:catAx>
      <c:valAx>
        <c:axId val="161025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023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altLang="en-US"/>
              <a:t>规格统计趋势图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6元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10元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v>15元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v>20元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[2]北环!$A$5:$A$35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[2]北环!$H$5:$H$35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61096832"/>
        <c:axId val="161098752"/>
      </c:lineChart>
      <c:catAx>
        <c:axId val="161096832"/>
        <c:scaling>
          <c:orientation val="minMax"/>
        </c:scaling>
        <c:delete val="1"/>
        <c:axPos val="b"/>
        <c:numFmt formatCode="General" sourceLinked="1"/>
        <c:tickLblPos val="none"/>
        <c:crossAx val="161098752"/>
        <c:crosses val="autoZero"/>
        <c:auto val="1"/>
        <c:lblAlgn val="ctr"/>
        <c:lblOffset val="100"/>
      </c:catAx>
      <c:valAx>
        <c:axId val="161098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096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[1]观前!$B$36</c:f>
              <c:numCache>
                <c:formatCode>General</c:formatCode>
                <c:ptCount val="1"/>
                <c:pt idx="0">
                  <c:v>288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[1]观前!$D$36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[1]观前!$E$36</c:f>
              <c:numCache>
                <c:formatCode>General</c:formatCode>
                <c:ptCount val="1"/>
                <c:pt idx="0">
                  <c:v>352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[1]观前!$F$36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[1]观前!$G$36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[1]观前!$H$36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[1]观前!$I$36</c:f>
              <c:numCache>
                <c:formatCode>General</c:formatCode>
                <c:ptCount val="1"/>
                <c:pt idx="0">
                  <c:v>528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[1]观前!$J$36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[1]观前!$K$36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[1]观前!$L$36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[1]观前!$M$36</c:f>
              <c:numCache>
                <c:formatCode>General</c:formatCode>
                <c:ptCount val="1"/>
                <c:pt idx="0">
                  <c:v>1062</c:v>
                </c:pt>
              </c:numCache>
            </c:numRef>
          </c:val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[1]观前!$N$36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[1]观前!$O$36</c:f>
              <c:numCache>
                <c:formatCode>General</c:formatCode>
                <c:ptCount val="1"/>
                <c:pt idx="0">
                  <c:v>436.5</c:v>
                </c:pt>
              </c:numCache>
            </c:numRef>
          </c:val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[1]观前!$P$36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[1]观前!$Q$36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[1]观前!$R$36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r"/>
            <c:showVal val="1"/>
          </c:dLbls>
          <c:val>
            <c:numRef>
              <c:f>[1]观前!$S$36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</c:dLbls>
        <c:marker val="1"/>
        <c:axId val="161209728"/>
        <c:axId val="161309824"/>
      </c:lineChart>
      <c:catAx>
        <c:axId val="1612097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309824"/>
        <c:crosses val="autoZero"/>
        <c:auto val="1"/>
        <c:lblAlgn val="ctr"/>
        <c:lblOffset val="100"/>
        <c:tickLblSkip val="1"/>
        <c:tickMarkSkip val="1"/>
      </c:catAx>
      <c:valAx>
        <c:axId val="161309824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1209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26" Type="http://schemas.openxmlformats.org/officeDocument/2006/relationships/chart" Target="../charts/chart12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16" Type="http://schemas.openxmlformats.org/officeDocument/2006/relationships/chart" Target="../charts/chart116.xml"/><Relationship Id="rId124" Type="http://schemas.openxmlformats.org/officeDocument/2006/relationships/chart" Target="../charts/chart124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11" Type="http://schemas.openxmlformats.org/officeDocument/2006/relationships/chart" Target="../charts/chart11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52.xml"/><Relationship Id="rId21" Type="http://schemas.openxmlformats.org/officeDocument/2006/relationships/chart" Target="../charts/chart147.xml"/><Relationship Id="rId34" Type="http://schemas.openxmlformats.org/officeDocument/2006/relationships/chart" Target="../charts/chart160.xml"/><Relationship Id="rId42" Type="http://schemas.openxmlformats.org/officeDocument/2006/relationships/chart" Target="../charts/chart168.xml"/><Relationship Id="rId47" Type="http://schemas.openxmlformats.org/officeDocument/2006/relationships/chart" Target="../charts/chart173.xml"/><Relationship Id="rId50" Type="http://schemas.openxmlformats.org/officeDocument/2006/relationships/chart" Target="../charts/chart176.xml"/><Relationship Id="rId55" Type="http://schemas.openxmlformats.org/officeDocument/2006/relationships/chart" Target="../charts/chart181.xml"/><Relationship Id="rId63" Type="http://schemas.openxmlformats.org/officeDocument/2006/relationships/chart" Target="../charts/chart189.xml"/><Relationship Id="rId68" Type="http://schemas.openxmlformats.org/officeDocument/2006/relationships/chart" Target="../charts/chart194.xml"/><Relationship Id="rId76" Type="http://schemas.openxmlformats.org/officeDocument/2006/relationships/chart" Target="../charts/chart202.xml"/><Relationship Id="rId84" Type="http://schemas.openxmlformats.org/officeDocument/2006/relationships/chart" Target="../charts/chart210.xml"/><Relationship Id="rId89" Type="http://schemas.openxmlformats.org/officeDocument/2006/relationships/chart" Target="../charts/chart215.xml"/><Relationship Id="rId97" Type="http://schemas.openxmlformats.org/officeDocument/2006/relationships/chart" Target="../charts/chart223.xml"/><Relationship Id="rId7" Type="http://schemas.openxmlformats.org/officeDocument/2006/relationships/chart" Target="../charts/chart133.xml"/><Relationship Id="rId71" Type="http://schemas.openxmlformats.org/officeDocument/2006/relationships/chart" Target="../charts/chart197.xml"/><Relationship Id="rId92" Type="http://schemas.openxmlformats.org/officeDocument/2006/relationships/chart" Target="../charts/chart218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9" Type="http://schemas.openxmlformats.org/officeDocument/2006/relationships/chart" Target="../charts/chart155.xml"/><Relationship Id="rId11" Type="http://schemas.openxmlformats.org/officeDocument/2006/relationships/chart" Target="../charts/chart137.xml"/><Relationship Id="rId24" Type="http://schemas.openxmlformats.org/officeDocument/2006/relationships/chart" Target="../charts/chart150.xml"/><Relationship Id="rId32" Type="http://schemas.openxmlformats.org/officeDocument/2006/relationships/chart" Target="../charts/chart158.xml"/><Relationship Id="rId37" Type="http://schemas.openxmlformats.org/officeDocument/2006/relationships/chart" Target="../charts/chart163.xml"/><Relationship Id="rId40" Type="http://schemas.openxmlformats.org/officeDocument/2006/relationships/chart" Target="../charts/chart166.xml"/><Relationship Id="rId45" Type="http://schemas.openxmlformats.org/officeDocument/2006/relationships/chart" Target="../charts/chart171.xml"/><Relationship Id="rId53" Type="http://schemas.openxmlformats.org/officeDocument/2006/relationships/chart" Target="../charts/chart179.xml"/><Relationship Id="rId58" Type="http://schemas.openxmlformats.org/officeDocument/2006/relationships/chart" Target="../charts/chart184.xml"/><Relationship Id="rId66" Type="http://schemas.openxmlformats.org/officeDocument/2006/relationships/chart" Target="../charts/chart192.xml"/><Relationship Id="rId74" Type="http://schemas.openxmlformats.org/officeDocument/2006/relationships/chart" Target="../charts/chart200.xml"/><Relationship Id="rId79" Type="http://schemas.openxmlformats.org/officeDocument/2006/relationships/chart" Target="../charts/chart205.xml"/><Relationship Id="rId87" Type="http://schemas.openxmlformats.org/officeDocument/2006/relationships/chart" Target="../charts/chart213.xml"/><Relationship Id="rId102" Type="http://schemas.openxmlformats.org/officeDocument/2006/relationships/chart" Target="../charts/chart228.xml"/><Relationship Id="rId5" Type="http://schemas.openxmlformats.org/officeDocument/2006/relationships/chart" Target="../charts/chart131.xml"/><Relationship Id="rId61" Type="http://schemas.openxmlformats.org/officeDocument/2006/relationships/chart" Target="../charts/chart187.xml"/><Relationship Id="rId82" Type="http://schemas.openxmlformats.org/officeDocument/2006/relationships/chart" Target="../charts/chart208.xml"/><Relationship Id="rId90" Type="http://schemas.openxmlformats.org/officeDocument/2006/relationships/chart" Target="../charts/chart216.xml"/><Relationship Id="rId95" Type="http://schemas.openxmlformats.org/officeDocument/2006/relationships/chart" Target="../charts/chart221.xml"/><Relationship Id="rId19" Type="http://schemas.openxmlformats.org/officeDocument/2006/relationships/chart" Target="../charts/chart14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Relationship Id="rId27" Type="http://schemas.openxmlformats.org/officeDocument/2006/relationships/chart" Target="../charts/chart153.xml"/><Relationship Id="rId30" Type="http://schemas.openxmlformats.org/officeDocument/2006/relationships/chart" Target="../charts/chart156.xml"/><Relationship Id="rId35" Type="http://schemas.openxmlformats.org/officeDocument/2006/relationships/chart" Target="../charts/chart161.xml"/><Relationship Id="rId43" Type="http://schemas.openxmlformats.org/officeDocument/2006/relationships/chart" Target="../charts/chart169.xml"/><Relationship Id="rId48" Type="http://schemas.openxmlformats.org/officeDocument/2006/relationships/chart" Target="../charts/chart174.xml"/><Relationship Id="rId56" Type="http://schemas.openxmlformats.org/officeDocument/2006/relationships/chart" Target="../charts/chart182.xml"/><Relationship Id="rId64" Type="http://schemas.openxmlformats.org/officeDocument/2006/relationships/chart" Target="../charts/chart190.xml"/><Relationship Id="rId69" Type="http://schemas.openxmlformats.org/officeDocument/2006/relationships/chart" Target="../charts/chart195.xml"/><Relationship Id="rId77" Type="http://schemas.openxmlformats.org/officeDocument/2006/relationships/chart" Target="../charts/chart203.xml"/><Relationship Id="rId100" Type="http://schemas.openxmlformats.org/officeDocument/2006/relationships/chart" Target="../charts/chart226.xml"/><Relationship Id="rId8" Type="http://schemas.openxmlformats.org/officeDocument/2006/relationships/chart" Target="../charts/chart134.xml"/><Relationship Id="rId51" Type="http://schemas.openxmlformats.org/officeDocument/2006/relationships/chart" Target="../charts/chart177.xml"/><Relationship Id="rId72" Type="http://schemas.openxmlformats.org/officeDocument/2006/relationships/chart" Target="../charts/chart198.xml"/><Relationship Id="rId80" Type="http://schemas.openxmlformats.org/officeDocument/2006/relationships/chart" Target="../charts/chart206.xml"/><Relationship Id="rId85" Type="http://schemas.openxmlformats.org/officeDocument/2006/relationships/chart" Target="../charts/chart211.xml"/><Relationship Id="rId93" Type="http://schemas.openxmlformats.org/officeDocument/2006/relationships/chart" Target="../charts/chart219.xml"/><Relationship Id="rId98" Type="http://schemas.openxmlformats.org/officeDocument/2006/relationships/chart" Target="../charts/chart224.xml"/><Relationship Id="rId3" Type="http://schemas.openxmlformats.org/officeDocument/2006/relationships/chart" Target="../charts/chart129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5" Type="http://schemas.openxmlformats.org/officeDocument/2006/relationships/chart" Target="../charts/chart151.xml"/><Relationship Id="rId33" Type="http://schemas.openxmlformats.org/officeDocument/2006/relationships/chart" Target="../charts/chart159.xml"/><Relationship Id="rId38" Type="http://schemas.openxmlformats.org/officeDocument/2006/relationships/chart" Target="../charts/chart164.xml"/><Relationship Id="rId46" Type="http://schemas.openxmlformats.org/officeDocument/2006/relationships/chart" Target="../charts/chart172.xml"/><Relationship Id="rId59" Type="http://schemas.openxmlformats.org/officeDocument/2006/relationships/chart" Target="../charts/chart185.xml"/><Relationship Id="rId67" Type="http://schemas.openxmlformats.org/officeDocument/2006/relationships/chart" Target="../charts/chart193.xml"/><Relationship Id="rId20" Type="http://schemas.openxmlformats.org/officeDocument/2006/relationships/chart" Target="../charts/chart146.xml"/><Relationship Id="rId41" Type="http://schemas.openxmlformats.org/officeDocument/2006/relationships/chart" Target="../charts/chart167.xml"/><Relationship Id="rId54" Type="http://schemas.openxmlformats.org/officeDocument/2006/relationships/chart" Target="../charts/chart180.xml"/><Relationship Id="rId62" Type="http://schemas.openxmlformats.org/officeDocument/2006/relationships/chart" Target="../charts/chart188.xml"/><Relationship Id="rId70" Type="http://schemas.openxmlformats.org/officeDocument/2006/relationships/chart" Target="../charts/chart196.xml"/><Relationship Id="rId75" Type="http://schemas.openxmlformats.org/officeDocument/2006/relationships/chart" Target="../charts/chart201.xml"/><Relationship Id="rId83" Type="http://schemas.openxmlformats.org/officeDocument/2006/relationships/chart" Target="../charts/chart209.xml"/><Relationship Id="rId88" Type="http://schemas.openxmlformats.org/officeDocument/2006/relationships/chart" Target="../charts/chart214.xml"/><Relationship Id="rId91" Type="http://schemas.openxmlformats.org/officeDocument/2006/relationships/chart" Target="../charts/chart217.xml"/><Relationship Id="rId96" Type="http://schemas.openxmlformats.org/officeDocument/2006/relationships/chart" Target="../charts/chart222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28" Type="http://schemas.openxmlformats.org/officeDocument/2006/relationships/chart" Target="../charts/chart154.xml"/><Relationship Id="rId36" Type="http://schemas.openxmlformats.org/officeDocument/2006/relationships/chart" Target="../charts/chart162.xml"/><Relationship Id="rId49" Type="http://schemas.openxmlformats.org/officeDocument/2006/relationships/chart" Target="../charts/chart175.xml"/><Relationship Id="rId57" Type="http://schemas.openxmlformats.org/officeDocument/2006/relationships/chart" Target="../charts/chart183.xml"/><Relationship Id="rId10" Type="http://schemas.openxmlformats.org/officeDocument/2006/relationships/chart" Target="../charts/chart136.xml"/><Relationship Id="rId31" Type="http://schemas.openxmlformats.org/officeDocument/2006/relationships/chart" Target="../charts/chart157.xml"/><Relationship Id="rId44" Type="http://schemas.openxmlformats.org/officeDocument/2006/relationships/chart" Target="../charts/chart170.xml"/><Relationship Id="rId52" Type="http://schemas.openxmlformats.org/officeDocument/2006/relationships/chart" Target="../charts/chart178.xml"/><Relationship Id="rId60" Type="http://schemas.openxmlformats.org/officeDocument/2006/relationships/chart" Target="../charts/chart186.xml"/><Relationship Id="rId65" Type="http://schemas.openxmlformats.org/officeDocument/2006/relationships/chart" Target="../charts/chart191.xml"/><Relationship Id="rId73" Type="http://schemas.openxmlformats.org/officeDocument/2006/relationships/chart" Target="../charts/chart199.xml"/><Relationship Id="rId78" Type="http://schemas.openxmlformats.org/officeDocument/2006/relationships/chart" Target="../charts/chart204.xml"/><Relationship Id="rId81" Type="http://schemas.openxmlformats.org/officeDocument/2006/relationships/chart" Target="../charts/chart207.xml"/><Relationship Id="rId86" Type="http://schemas.openxmlformats.org/officeDocument/2006/relationships/chart" Target="../charts/chart212.xml"/><Relationship Id="rId94" Type="http://schemas.openxmlformats.org/officeDocument/2006/relationships/chart" Target="../charts/chart220.xml"/><Relationship Id="rId99" Type="http://schemas.openxmlformats.org/officeDocument/2006/relationships/chart" Target="../charts/chart225.xml"/><Relationship Id="rId101" Type="http://schemas.openxmlformats.org/officeDocument/2006/relationships/chart" Target="../charts/chart227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9" Type="http://schemas.openxmlformats.org/officeDocument/2006/relationships/chart" Target="../charts/chart1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58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59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60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61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62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63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64" name="Chart 3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65" name="Chart 3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66" name="Chart 3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67" name="Chart 3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68" name="Chart 3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69" name="Chart 3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70" name="Chart 3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71" name="Chart 4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72" name="Chart 4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73" name="Chart 4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74" name="Chart 4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75" name="Chart 4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76" name="Chart 4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77" name="Chart 4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78" name="Chart 4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79" name="Chart 4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80" name="Chart 4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81" name="Chart 5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82" name="Chart 5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83" name="Chart 5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84" name="Chart 5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85" name="Chart 5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86" name="Chart 5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87" name="Chart 5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88" name="Chart 5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89" name="Chart 5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90" name="Chart 5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91" name="Chart 6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92" name="Chart 6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93" name="Chart 6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94" name="Chart 6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95" name="Chart 6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96" name="Chart 6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97" name="Chart 6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398" name="Chart 6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399" name="Chart 6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00" name="Chart 6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01" name="Chart 7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402" name="Chart 7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03" name="Chart 7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04" name="Chart 7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405" name="Chart 7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06" name="Chart 7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07" name="Chart 7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408" name="Chart 7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09" name="Chart 7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10" name="Chart 7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411" name="Chart 8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12" name="Chart 8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13" name="Chart 8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414" name="Chart 8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15" name="Chart 8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16" name="Chart 8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417" name="Chart 8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18" name="Chart 8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19" name="Chart 8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graphicFrame macro="">
      <xdr:nvGraphicFramePr>
        <xdr:cNvPr id="65088420" name="Chart 8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295275</xdr:colOff>
      <xdr:row>0</xdr:row>
      <xdr:rowOff>0</xdr:rowOff>
    </xdr:from>
    <xdr:to>
      <xdr:col>0</xdr:col>
      <xdr:colOff>819150</xdr:colOff>
      <xdr:row>0</xdr:row>
      <xdr:rowOff>9525</xdr:rowOff>
    </xdr:to>
    <xdr:graphicFrame macro="">
      <xdr:nvGraphicFramePr>
        <xdr:cNvPr id="65088421" name="Chart 9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22" name="Chart 9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23" name="Chart 9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24" name="Chart 9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25" name="Chart 9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26" name="Chart 9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27" name="Chart 9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28" name="Chart 9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29" name="Chart 9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30" name="Chart 10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31" name="Chart 10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32" name="Chart 10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33" name="Chart 10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34" name="Chart 10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35" name="Chart 10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36" name="Chart 10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37" name="Chart 10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38" name="Chart 10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39" name="Chart 10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40" name="Chart 1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41" name="Chart 1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42" name="Chart 1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43" name="Chart 11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44" name="Chart 1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45" name="Chart 1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46" name="Chart 11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47" name="Chart 11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48" name="Chart 11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49" name="Chart 11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50" name="Chart 12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51" name="Chart 12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52" name="Chart 12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53" name="Chart 12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54" name="Chart 12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55" name="Chart 12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56" name="Chart 12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57" name="Chart 12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58" name="Chart 12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59" name="Chart 12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60" name="Chart 13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61" name="Chart 13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62" name="Chart 13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63" name="Chart 13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64" name="Chart 13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65" name="Chart 13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66" name="Chart 13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67" name="Chart 13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68" name="Chart 13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69" name="Chart 13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70" name="Chart 14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71" name="Chart 14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72" name="Chart 14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73" name="Chart 14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74" name="Chart 14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75" name="Chart 14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76" name="Chart 14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77" name="Chart 14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78" name="Chart 14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79" name="Chart 14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80" name="Chart 15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81" name="Chart 15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graphicFrame macro="">
      <xdr:nvGraphicFramePr>
        <xdr:cNvPr id="65088482" name="Chart 15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0</xdr:col>
      <xdr:colOff>295275</xdr:colOff>
      <xdr:row>36</xdr:row>
      <xdr:rowOff>0</xdr:rowOff>
    </xdr:from>
    <xdr:to>
      <xdr:col>0</xdr:col>
      <xdr:colOff>819150</xdr:colOff>
      <xdr:row>36</xdr:row>
      <xdr:rowOff>9525</xdr:rowOff>
    </xdr:to>
    <xdr:graphicFrame macro="">
      <xdr:nvGraphicFramePr>
        <xdr:cNvPr id="65088483" name="Chart 15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49" name="Chart 2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0" name="Chart 2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1" name="Chart 2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2" name="Chart 2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3" name="Chart 2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4" name="Chart 2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5" name="Chart 12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6" name="Chart 12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7" name="Chart 12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8" name="Chart 12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59" name="Chart 12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0" name="Chart 12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1" name="Chart 12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2" name="Chart 12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3" name="Chart 13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4" name="Chart 13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5" name="Chart 13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6" name="Chart 13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7" name="Chart 13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8" name="Chart 13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69" name="Chart 13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0" name="Chart 13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1" name="Chart 13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2" name="Chart 13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3" name="Chart 14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4" name="Chart 14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5" name="Chart 14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6" name="Chart 14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7" name="Chart 14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8" name="Chart 15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79" name="Chart 15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0" name="Chart 15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1" name="Chart 15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2" name="Chart 15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3" name="Chart 15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4" name="Chart 15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5" name="Chart 15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6" name="Chart 15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7" name="Chart 15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8" name="Chart 16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89" name="Chart 16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0" name="Chart 16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1" name="Chart 16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2" name="Chart 16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3" name="Chart 16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4" name="Chart 16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5" name="Chart 16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6" name="Chart 16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7" name="Chart 16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8" name="Chart 17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799" name="Chart 17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0" name="Chart 17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1" name="Chart 17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2" name="Chart 17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3" name="Chart 17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4" name="Chart 17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5" name="Chart 17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6" name="Chart 17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7" name="Chart 17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8" name="Chart 18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09" name="Chart 18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21</xdr:col>
      <xdr:colOff>0</xdr:colOff>
      <xdr:row>35</xdr:row>
      <xdr:rowOff>0</xdr:rowOff>
    </xdr:from>
    <xdr:to>
      <xdr:col>21</xdr:col>
      <xdr:colOff>9525</xdr:colOff>
      <xdr:row>35</xdr:row>
      <xdr:rowOff>9525</xdr:rowOff>
    </xdr:to>
    <xdr:graphicFrame macro="">
      <xdr:nvGraphicFramePr>
        <xdr:cNvPr id="66719810" name="Chart 18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11" name="Chart 32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12" name="Chart 32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13" name="Chart 32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14" name="Chart 32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266700</xdr:colOff>
      <xdr:row>35</xdr:row>
      <xdr:rowOff>9525</xdr:rowOff>
    </xdr:to>
    <xdr:graphicFrame macro="">
      <xdr:nvGraphicFramePr>
        <xdr:cNvPr id="66719815" name="Chart 32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295275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16" name="Chart 32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17" name="Chart 33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18" name="Chart 33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19" name="Chart 33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20" name="Chart 33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266700</xdr:colOff>
      <xdr:row>35</xdr:row>
      <xdr:rowOff>9525</xdr:rowOff>
    </xdr:to>
    <xdr:graphicFrame macro="">
      <xdr:nvGraphicFramePr>
        <xdr:cNvPr id="66719821" name="Chart 33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295275</xdr:colOff>
      <xdr:row>35</xdr:row>
      <xdr:rowOff>0</xdr:rowOff>
    </xdr:from>
    <xdr:to>
      <xdr:col>16</xdr:col>
      <xdr:colOff>533400</xdr:colOff>
      <xdr:row>35</xdr:row>
      <xdr:rowOff>9525</xdr:rowOff>
    </xdr:to>
    <xdr:graphicFrame macro="">
      <xdr:nvGraphicFramePr>
        <xdr:cNvPr id="66719822" name="Chart 33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20</xdr:col>
      <xdr:colOff>533400</xdr:colOff>
      <xdr:row>35</xdr:row>
      <xdr:rowOff>9525</xdr:rowOff>
    </xdr:to>
    <xdr:graphicFrame macro="">
      <xdr:nvGraphicFramePr>
        <xdr:cNvPr id="66719823" name="Chart 33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20</xdr:col>
      <xdr:colOff>533400</xdr:colOff>
      <xdr:row>35</xdr:row>
      <xdr:rowOff>9525</xdr:rowOff>
    </xdr:to>
    <xdr:graphicFrame macro="">
      <xdr:nvGraphicFramePr>
        <xdr:cNvPr id="66719824" name="Chart 33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20</xdr:col>
      <xdr:colOff>533400</xdr:colOff>
      <xdr:row>35</xdr:row>
      <xdr:rowOff>9525</xdr:rowOff>
    </xdr:to>
    <xdr:graphicFrame macro="">
      <xdr:nvGraphicFramePr>
        <xdr:cNvPr id="66719825" name="Chart 33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9525</xdr:colOff>
      <xdr:row>35</xdr:row>
      <xdr:rowOff>85725</xdr:rowOff>
    </xdr:from>
    <xdr:to>
      <xdr:col>20</xdr:col>
      <xdr:colOff>47625</xdr:colOff>
      <xdr:row>35</xdr:row>
      <xdr:rowOff>95250</xdr:rowOff>
    </xdr:to>
    <xdr:graphicFrame macro="">
      <xdr:nvGraphicFramePr>
        <xdr:cNvPr id="66719826" name="Chart 33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14</xdr:col>
      <xdr:colOff>266700</xdr:colOff>
      <xdr:row>35</xdr:row>
      <xdr:rowOff>9525</xdr:rowOff>
    </xdr:to>
    <xdr:graphicFrame macro="">
      <xdr:nvGraphicFramePr>
        <xdr:cNvPr id="66719827" name="Chart 34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361950</xdr:colOff>
      <xdr:row>35</xdr:row>
      <xdr:rowOff>76200</xdr:rowOff>
    </xdr:from>
    <xdr:to>
      <xdr:col>21</xdr:col>
      <xdr:colOff>66675</xdr:colOff>
      <xdr:row>35</xdr:row>
      <xdr:rowOff>85725</xdr:rowOff>
    </xdr:to>
    <xdr:graphicFrame macro="">
      <xdr:nvGraphicFramePr>
        <xdr:cNvPr id="66719828" name="Chart 34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14</xdr:col>
      <xdr:colOff>533400</xdr:colOff>
      <xdr:row>35</xdr:row>
      <xdr:rowOff>9525</xdr:rowOff>
    </xdr:to>
    <xdr:graphicFrame macro="">
      <xdr:nvGraphicFramePr>
        <xdr:cNvPr id="66719829" name="Chart 34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14</xdr:col>
      <xdr:colOff>533400</xdr:colOff>
      <xdr:row>35</xdr:row>
      <xdr:rowOff>9525</xdr:rowOff>
    </xdr:to>
    <xdr:graphicFrame macro="">
      <xdr:nvGraphicFramePr>
        <xdr:cNvPr id="66719830" name="Chart 34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14</xdr:col>
      <xdr:colOff>533400</xdr:colOff>
      <xdr:row>35</xdr:row>
      <xdr:rowOff>9525</xdr:rowOff>
    </xdr:to>
    <xdr:graphicFrame macro="">
      <xdr:nvGraphicFramePr>
        <xdr:cNvPr id="66719831" name="Chart 34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14</xdr:col>
      <xdr:colOff>38100</xdr:colOff>
      <xdr:row>35</xdr:row>
      <xdr:rowOff>9525</xdr:rowOff>
    </xdr:to>
    <xdr:graphicFrame macro="">
      <xdr:nvGraphicFramePr>
        <xdr:cNvPr id="66719832" name="Chart 34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533400</xdr:colOff>
      <xdr:row>35</xdr:row>
      <xdr:rowOff>9525</xdr:rowOff>
    </xdr:to>
    <xdr:graphicFrame macro="">
      <xdr:nvGraphicFramePr>
        <xdr:cNvPr id="66719833" name="Chart 34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295275</xdr:colOff>
      <xdr:row>35</xdr:row>
      <xdr:rowOff>0</xdr:rowOff>
    </xdr:from>
    <xdr:to>
      <xdr:col>14</xdr:col>
      <xdr:colOff>533400</xdr:colOff>
      <xdr:row>35</xdr:row>
      <xdr:rowOff>9525</xdr:rowOff>
    </xdr:to>
    <xdr:graphicFrame macro="">
      <xdr:nvGraphicFramePr>
        <xdr:cNvPr id="66719834" name="Chart 34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13</xdr:col>
      <xdr:colOff>533400</xdr:colOff>
      <xdr:row>35</xdr:row>
      <xdr:rowOff>9525</xdr:rowOff>
    </xdr:to>
    <xdr:graphicFrame macro="">
      <xdr:nvGraphicFramePr>
        <xdr:cNvPr id="66719835" name="Chart 34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13</xdr:col>
      <xdr:colOff>533400</xdr:colOff>
      <xdr:row>35</xdr:row>
      <xdr:rowOff>9525</xdr:rowOff>
    </xdr:to>
    <xdr:graphicFrame macro="">
      <xdr:nvGraphicFramePr>
        <xdr:cNvPr id="66719836" name="Chart 34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13</xdr:col>
      <xdr:colOff>533400</xdr:colOff>
      <xdr:row>35</xdr:row>
      <xdr:rowOff>9525</xdr:rowOff>
    </xdr:to>
    <xdr:graphicFrame macro="">
      <xdr:nvGraphicFramePr>
        <xdr:cNvPr id="66719837" name="Chart 35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11</xdr:col>
      <xdr:colOff>533400</xdr:colOff>
      <xdr:row>35</xdr:row>
      <xdr:rowOff>9525</xdr:rowOff>
    </xdr:to>
    <xdr:graphicFrame macro="">
      <xdr:nvGraphicFramePr>
        <xdr:cNvPr id="66719838" name="Chart 35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533400</xdr:colOff>
      <xdr:row>35</xdr:row>
      <xdr:rowOff>9525</xdr:rowOff>
    </xdr:to>
    <xdr:graphicFrame macro="">
      <xdr:nvGraphicFramePr>
        <xdr:cNvPr id="66719839" name="Chart 35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295275</xdr:colOff>
      <xdr:row>35</xdr:row>
      <xdr:rowOff>0</xdr:rowOff>
    </xdr:from>
    <xdr:to>
      <xdr:col>13</xdr:col>
      <xdr:colOff>533400</xdr:colOff>
      <xdr:row>35</xdr:row>
      <xdr:rowOff>9525</xdr:rowOff>
    </xdr:to>
    <xdr:graphicFrame macro="">
      <xdr:nvGraphicFramePr>
        <xdr:cNvPr id="66719840" name="Chart 35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13</xdr:col>
      <xdr:colOff>533400</xdr:colOff>
      <xdr:row>35</xdr:row>
      <xdr:rowOff>9525</xdr:rowOff>
    </xdr:to>
    <xdr:graphicFrame macro="">
      <xdr:nvGraphicFramePr>
        <xdr:cNvPr id="66719841" name="Chart 35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13</xdr:col>
      <xdr:colOff>533400</xdr:colOff>
      <xdr:row>35</xdr:row>
      <xdr:rowOff>9525</xdr:rowOff>
    </xdr:to>
    <xdr:graphicFrame macro="">
      <xdr:nvGraphicFramePr>
        <xdr:cNvPr id="66719842" name="Chart 35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13</xdr:col>
      <xdr:colOff>533400</xdr:colOff>
      <xdr:row>35</xdr:row>
      <xdr:rowOff>9525</xdr:rowOff>
    </xdr:to>
    <xdr:graphicFrame macro="">
      <xdr:nvGraphicFramePr>
        <xdr:cNvPr id="66719843" name="Chart 35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11</xdr:col>
      <xdr:colOff>533400</xdr:colOff>
      <xdr:row>35</xdr:row>
      <xdr:rowOff>9525</xdr:rowOff>
    </xdr:to>
    <xdr:graphicFrame macro="">
      <xdr:nvGraphicFramePr>
        <xdr:cNvPr id="66719844" name="Chart 35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533400</xdr:colOff>
      <xdr:row>35</xdr:row>
      <xdr:rowOff>9525</xdr:rowOff>
    </xdr:to>
    <xdr:graphicFrame macro="">
      <xdr:nvGraphicFramePr>
        <xdr:cNvPr id="66719845" name="Chart 35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295275</xdr:colOff>
      <xdr:row>35</xdr:row>
      <xdr:rowOff>0</xdr:rowOff>
    </xdr:from>
    <xdr:to>
      <xdr:col>13</xdr:col>
      <xdr:colOff>533400</xdr:colOff>
      <xdr:row>35</xdr:row>
      <xdr:rowOff>9525</xdr:rowOff>
    </xdr:to>
    <xdr:graphicFrame macro="">
      <xdr:nvGraphicFramePr>
        <xdr:cNvPr id="66719846" name="Chart 35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219075</xdr:colOff>
      <xdr:row>35</xdr:row>
      <xdr:rowOff>0</xdr:rowOff>
    </xdr:from>
    <xdr:to>
      <xdr:col>15</xdr:col>
      <xdr:colOff>219075</xdr:colOff>
      <xdr:row>35</xdr:row>
      <xdr:rowOff>9525</xdr:rowOff>
    </xdr:to>
    <xdr:graphicFrame macro="">
      <xdr:nvGraphicFramePr>
        <xdr:cNvPr id="66719847" name="Chart 36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14</xdr:col>
      <xdr:colOff>533400</xdr:colOff>
      <xdr:row>35</xdr:row>
      <xdr:rowOff>9525</xdr:rowOff>
    </xdr:to>
    <xdr:graphicFrame macro="">
      <xdr:nvGraphicFramePr>
        <xdr:cNvPr id="66719848" name="Chart 36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5</xdr:col>
      <xdr:colOff>504825</xdr:colOff>
      <xdr:row>35</xdr:row>
      <xdr:rowOff>57150</xdr:rowOff>
    </xdr:from>
    <xdr:to>
      <xdr:col>11</xdr:col>
      <xdr:colOff>504825</xdr:colOff>
      <xdr:row>35</xdr:row>
      <xdr:rowOff>66675</xdr:rowOff>
    </xdr:to>
    <xdr:graphicFrame macro="">
      <xdr:nvGraphicFramePr>
        <xdr:cNvPr id="66719851" name="Chart 36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323850</xdr:colOff>
      <xdr:row>35</xdr:row>
      <xdr:rowOff>66675</xdr:rowOff>
    </xdr:from>
    <xdr:to>
      <xdr:col>15</xdr:col>
      <xdr:colOff>28575</xdr:colOff>
      <xdr:row>35</xdr:row>
      <xdr:rowOff>76200</xdr:rowOff>
    </xdr:to>
    <xdr:graphicFrame macro="">
      <xdr:nvGraphicFramePr>
        <xdr:cNvPr id="66719852" name="Chart 36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&#21103;&#26412;01&#35268;&#26684;&#32479;&#35745;_2007-01-09-14-42-51-84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beihuan/LOCALS~1/Temp/&#35268;&#26684;&#32479;&#35745;05.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Local%20Settings/Temp/&#21103;&#26412;01&#35268;&#26684;&#32479;&#35745;_2007-01-09-14-42-51-84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观前"/>
      <sheetName val="金光"/>
      <sheetName val="三香"/>
      <sheetName val="汇总"/>
    </sheetNames>
    <sheetDataSet>
      <sheetData sheetId="0">
        <row r="5">
          <cell r="B5">
            <v>7</v>
          </cell>
          <cell r="F5">
            <v>23</v>
          </cell>
          <cell r="G5">
            <v>563</v>
          </cell>
        </row>
        <row r="6">
          <cell r="B6">
            <v>64</v>
          </cell>
          <cell r="F6">
            <v>3</v>
          </cell>
          <cell r="G6">
            <v>439</v>
          </cell>
        </row>
        <row r="7">
          <cell r="B7">
            <v>61</v>
          </cell>
          <cell r="F7">
            <v>72</v>
          </cell>
          <cell r="G7">
            <v>571</v>
          </cell>
        </row>
        <row r="8">
          <cell r="B8">
            <v>16</v>
          </cell>
          <cell r="F8">
            <v>181</v>
          </cell>
          <cell r="G8">
            <v>192</v>
          </cell>
        </row>
        <row r="9">
          <cell r="B9">
            <v>4</v>
          </cell>
          <cell r="F9">
            <v>198</v>
          </cell>
          <cell r="G9">
            <v>269</v>
          </cell>
        </row>
        <row r="10">
          <cell r="B10">
            <v>36</v>
          </cell>
          <cell r="F10">
            <v>160</v>
          </cell>
          <cell r="G10">
            <v>147</v>
          </cell>
        </row>
        <row r="11">
          <cell r="B11">
            <v>41</v>
          </cell>
          <cell r="F11">
            <v>56</v>
          </cell>
          <cell r="G11">
            <v>135</v>
          </cell>
        </row>
        <row r="12">
          <cell r="B12">
            <v>59</v>
          </cell>
          <cell r="F12">
            <v>232</v>
          </cell>
          <cell r="G12">
            <v>192</v>
          </cell>
        </row>
        <row r="36">
          <cell r="B36">
            <v>288</v>
          </cell>
          <cell r="C36">
            <v>0</v>
          </cell>
          <cell r="D36">
            <v>0</v>
          </cell>
          <cell r="E36">
            <v>352</v>
          </cell>
          <cell r="F36">
            <v>925</v>
          </cell>
          <cell r="G36">
            <v>2508</v>
          </cell>
          <cell r="H36">
            <v>0</v>
          </cell>
          <cell r="I36">
            <v>528</v>
          </cell>
          <cell r="J36">
            <v>54</v>
          </cell>
          <cell r="K36">
            <v>55</v>
          </cell>
          <cell r="L36">
            <v>132</v>
          </cell>
          <cell r="M36">
            <v>1062</v>
          </cell>
          <cell r="N36">
            <v>0</v>
          </cell>
          <cell r="O36">
            <v>436.5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观前"/>
      <sheetName val="三香"/>
      <sheetName val="北环"/>
      <sheetName val="汇总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观前"/>
      <sheetName val="金光"/>
      <sheetName val="三香"/>
      <sheetName val="汇总"/>
    </sheetNames>
    <sheetDataSet>
      <sheetData sheetId="0">
        <row r="5">
          <cell r="B5">
            <v>7</v>
          </cell>
          <cell r="F5">
            <v>23</v>
          </cell>
          <cell r="G5">
            <v>563</v>
          </cell>
        </row>
        <row r="6">
          <cell r="B6">
            <v>64</v>
          </cell>
          <cell r="F6">
            <v>3</v>
          </cell>
          <cell r="G6">
            <v>439</v>
          </cell>
        </row>
        <row r="7">
          <cell r="B7">
            <v>61</v>
          </cell>
          <cell r="F7">
            <v>72</v>
          </cell>
          <cell r="G7">
            <v>571</v>
          </cell>
        </row>
        <row r="8">
          <cell r="B8">
            <v>16</v>
          </cell>
          <cell r="F8">
            <v>181</v>
          </cell>
          <cell r="G8">
            <v>192</v>
          </cell>
        </row>
        <row r="9">
          <cell r="B9">
            <v>4</v>
          </cell>
          <cell r="F9">
            <v>198</v>
          </cell>
          <cell r="G9">
            <v>269</v>
          </cell>
        </row>
        <row r="10">
          <cell r="B10">
            <v>36</v>
          </cell>
          <cell r="F10">
            <v>160</v>
          </cell>
          <cell r="G10">
            <v>147</v>
          </cell>
        </row>
        <row r="11">
          <cell r="B11">
            <v>41</v>
          </cell>
          <cell r="F11">
            <v>56</v>
          </cell>
          <cell r="G11">
            <v>135</v>
          </cell>
        </row>
        <row r="12">
          <cell r="B12">
            <v>59</v>
          </cell>
          <cell r="F12">
            <v>232</v>
          </cell>
          <cell r="G12">
            <v>192</v>
          </cell>
        </row>
        <row r="36">
          <cell r="B36">
            <v>288</v>
          </cell>
          <cell r="C36">
            <v>0</v>
          </cell>
          <cell r="D36">
            <v>0</v>
          </cell>
          <cell r="E36">
            <v>352</v>
          </cell>
          <cell r="F36">
            <v>925</v>
          </cell>
          <cell r="G36">
            <v>2508</v>
          </cell>
          <cell r="H36">
            <v>0</v>
          </cell>
          <cell r="I36">
            <v>528</v>
          </cell>
          <cell r="J36">
            <v>54</v>
          </cell>
          <cell r="K36">
            <v>55</v>
          </cell>
          <cell r="L36">
            <v>132</v>
          </cell>
          <cell r="M36">
            <v>1062</v>
          </cell>
          <cell r="N36">
            <v>0</v>
          </cell>
          <cell r="O36">
            <v>436.5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9"/>
  <sheetViews>
    <sheetView topLeftCell="A4" workbookViewId="0">
      <selection activeCell="N37" sqref="N37"/>
    </sheetView>
  </sheetViews>
  <sheetFormatPr defaultColWidth="7.875" defaultRowHeight="14.25"/>
  <cols>
    <col min="1" max="1" width="10.75" style="1" customWidth="1"/>
    <col min="2" max="2" width="8.625" style="1" customWidth="1"/>
    <col min="3" max="3" width="12" style="1" customWidth="1"/>
    <col min="4" max="4" width="0.5" style="1" hidden="1" customWidth="1"/>
    <col min="5" max="5" width="8.75" style="1" customWidth="1"/>
    <col min="6" max="9" width="8.625" style="1" customWidth="1"/>
    <col min="10" max="10" width="9.625" style="1" customWidth="1"/>
    <col min="11" max="11" width="9.875" style="1" customWidth="1"/>
    <col min="12" max="51" width="7.875" style="1" customWidth="1"/>
    <col min="52" max="16384" width="7.875" style="2"/>
  </cols>
  <sheetData>
    <row r="1" spans="1:11">
      <c r="A1" s="85" t="s">
        <v>0</v>
      </c>
      <c r="B1" s="85"/>
      <c r="C1" s="85"/>
      <c r="D1" s="85"/>
      <c r="E1" s="85"/>
      <c r="F1" s="85"/>
      <c r="G1" s="85"/>
      <c r="H1" s="85"/>
      <c r="I1" s="85"/>
    </row>
    <row r="2" spans="1:11">
      <c r="A2" s="85"/>
      <c r="B2" s="85"/>
      <c r="C2" s="85"/>
      <c r="D2" s="85"/>
      <c r="E2" s="85"/>
      <c r="F2" s="85"/>
      <c r="G2" s="85"/>
      <c r="H2" s="85"/>
      <c r="I2" s="85"/>
    </row>
    <row r="3" spans="1:11" ht="13.5" customHeight="1">
      <c r="A3" s="3"/>
      <c r="B3" s="3"/>
      <c r="C3" s="3"/>
      <c r="D3" s="3"/>
      <c r="E3" s="3"/>
      <c r="F3" s="3"/>
      <c r="G3" s="3"/>
      <c r="H3" s="3"/>
      <c r="I3" s="3"/>
    </row>
    <row r="4" spans="1:11">
      <c r="A4" s="4" t="s">
        <v>1</v>
      </c>
      <c r="E4" s="81"/>
      <c r="F4" s="81"/>
      <c r="G4" s="81"/>
      <c r="H4" s="39"/>
      <c r="I4" s="39"/>
    </row>
    <row r="5" spans="1:11" ht="20.25" customHeight="1">
      <c r="A5" s="83" t="s">
        <v>2</v>
      </c>
      <c r="B5" s="82" t="s">
        <v>3</v>
      </c>
      <c r="C5" s="82"/>
      <c r="D5" s="82"/>
      <c r="E5" s="82"/>
      <c r="F5" s="82"/>
      <c r="G5" s="82"/>
      <c r="H5" s="82"/>
      <c r="I5" s="82"/>
      <c r="J5" s="82"/>
      <c r="K5" s="65" t="s">
        <v>4</v>
      </c>
    </row>
    <row r="6" spans="1:11" ht="32.25" customHeight="1">
      <c r="A6" s="84"/>
      <c r="B6" s="55" t="s">
        <v>5</v>
      </c>
      <c r="C6" s="55" t="s">
        <v>6</v>
      </c>
      <c r="D6" s="56" t="s">
        <v>7</v>
      </c>
      <c r="E6" s="56" t="s">
        <v>8</v>
      </c>
      <c r="F6" s="57" t="s">
        <v>9</v>
      </c>
      <c r="G6" s="57" t="s">
        <v>10</v>
      </c>
      <c r="H6" s="57" t="s">
        <v>11</v>
      </c>
      <c r="I6" s="56" t="s">
        <v>12</v>
      </c>
      <c r="J6" s="21" t="s">
        <v>13</v>
      </c>
      <c r="K6" s="22" t="s">
        <v>14</v>
      </c>
    </row>
    <row r="7" spans="1:11" customFormat="1" ht="13.5" customHeight="1">
      <c r="A7" s="58">
        <v>39995</v>
      </c>
      <c r="B7" s="9"/>
      <c r="C7" s="8"/>
      <c r="D7" s="8"/>
      <c r="E7" s="9"/>
      <c r="F7" s="9"/>
      <c r="G7" s="8"/>
      <c r="H7" s="59"/>
      <c r="I7" s="8"/>
      <c r="J7" s="23">
        <f t="shared" ref="J7:J37" si="0">SUM(B7:I7)</f>
        <v>0</v>
      </c>
      <c r="K7" s="25">
        <f>B7+C7+E7+F7+G7+H7+I7</f>
        <v>0</v>
      </c>
    </row>
    <row r="8" spans="1:11" customFormat="1">
      <c r="A8" s="58">
        <v>39996</v>
      </c>
      <c r="B8" s="9"/>
      <c r="C8" s="9"/>
      <c r="D8" s="9"/>
      <c r="E8" s="9"/>
      <c r="F8" s="9"/>
      <c r="G8" s="9"/>
      <c r="H8" s="9"/>
      <c r="I8" s="9"/>
      <c r="J8" s="23">
        <f t="shared" si="0"/>
        <v>0</v>
      </c>
      <c r="K8" s="25">
        <f t="shared" ref="K8:K37" si="1">B8+C8+E8+F8+G8+H8+I8</f>
        <v>0</v>
      </c>
    </row>
    <row r="9" spans="1:11" customFormat="1" ht="15.75">
      <c r="A9" s="58">
        <v>39997</v>
      </c>
      <c r="B9" s="10"/>
      <c r="C9" s="9"/>
      <c r="D9" s="60"/>
      <c r="E9" s="9"/>
      <c r="F9" s="9"/>
      <c r="G9" s="9"/>
      <c r="H9" s="9"/>
      <c r="I9" s="9"/>
      <c r="J9" s="23">
        <f t="shared" si="0"/>
        <v>0</v>
      </c>
      <c r="K9" s="25">
        <f t="shared" si="1"/>
        <v>0</v>
      </c>
    </row>
    <row r="10" spans="1:11" customFormat="1">
      <c r="A10" s="58">
        <v>39998</v>
      </c>
      <c r="B10" s="9"/>
      <c r="C10" s="9"/>
      <c r="D10" s="9"/>
      <c r="E10" s="9"/>
      <c r="F10" s="9"/>
      <c r="G10" s="9"/>
      <c r="H10" s="61"/>
      <c r="I10" s="9"/>
      <c r="J10" s="23">
        <f t="shared" si="0"/>
        <v>0</v>
      </c>
      <c r="K10" s="25">
        <f t="shared" si="1"/>
        <v>0</v>
      </c>
    </row>
    <row r="11" spans="1:11" customFormat="1">
      <c r="A11" s="58">
        <v>39999</v>
      </c>
      <c r="B11" s="9"/>
      <c r="C11" s="9"/>
      <c r="D11" s="9"/>
      <c r="E11" s="9"/>
      <c r="F11" s="9"/>
      <c r="G11" s="8"/>
      <c r="H11" s="59"/>
      <c r="I11" s="8"/>
      <c r="J11" s="23">
        <f t="shared" si="0"/>
        <v>0</v>
      </c>
      <c r="K11" s="25">
        <f t="shared" si="1"/>
        <v>0</v>
      </c>
    </row>
    <row r="12" spans="1:11" customFormat="1">
      <c r="A12" s="58">
        <v>40000</v>
      </c>
      <c r="B12" s="9"/>
      <c r="C12" s="9"/>
      <c r="D12" s="9"/>
      <c r="E12" s="9"/>
      <c r="F12" s="9"/>
      <c r="G12" s="9"/>
      <c r="H12" s="61"/>
      <c r="I12" s="9"/>
      <c r="J12" s="23">
        <f t="shared" si="0"/>
        <v>0</v>
      </c>
      <c r="K12" s="25">
        <f t="shared" si="1"/>
        <v>0</v>
      </c>
    </row>
    <row r="13" spans="1:11" customFormat="1">
      <c r="A13" s="58">
        <v>40001</v>
      </c>
      <c r="B13" s="8"/>
      <c r="C13" s="8"/>
      <c r="D13" s="9"/>
      <c r="E13" s="9"/>
      <c r="F13" s="9"/>
      <c r="G13" s="9"/>
      <c r="H13" s="61"/>
      <c r="I13" s="61"/>
      <c r="J13" s="23">
        <f t="shared" si="0"/>
        <v>0</v>
      </c>
      <c r="K13" s="25">
        <f t="shared" si="1"/>
        <v>0</v>
      </c>
    </row>
    <row r="14" spans="1:11" customFormat="1" ht="15" customHeight="1">
      <c r="A14" s="58">
        <v>40002</v>
      </c>
      <c r="B14" s="9"/>
      <c r="C14" s="9"/>
      <c r="D14" s="9"/>
      <c r="E14" s="1"/>
      <c r="F14" s="9"/>
      <c r="G14" s="9"/>
      <c r="H14" s="61"/>
      <c r="I14" s="61"/>
      <c r="J14" s="23">
        <f t="shared" si="0"/>
        <v>0</v>
      </c>
      <c r="K14" s="25">
        <f t="shared" si="1"/>
        <v>0</v>
      </c>
    </row>
    <row r="15" spans="1:11" customFormat="1">
      <c r="A15" s="58">
        <v>40003</v>
      </c>
      <c r="B15" s="8"/>
      <c r="C15" s="8"/>
      <c r="D15" s="9"/>
      <c r="E15" s="9"/>
      <c r="F15" s="9"/>
      <c r="G15" s="9"/>
      <c r="H15" s="61"/>
      <c r="I15" s="9"/>
      <c r="J15" s="23">
        <f t="shared" si="0"/>
        <v>0</v>
      </c>
      <c r="K15" s="25">
        <f t="shared" si="1"/>
        <v>0</v>
      </c>
    </row>
    <row r="16" spans="1:11" customFormat="1">
      <c r="A16" s="58">
        <v>40004</v>
      </c>
      <c r="B16" s="9"/>
      <c r="C16" s="9"/>
      <c r="D16" s="9"/>
      <c r="E16" s="9"/>
      <c r="F16" s="23"/>
      <c r="G16" s="9"/>
      <c r="H16" s="61"/>
      <c r="I16" s="9"/>
      <c r="J16" s="23">
        <f t="shared" si="0"/>
        <v>0</v>
      </c>
      <c r="K16" s="25">
        <f t="shared" si="1"/>
        <v>0</v>
      </c>
    </row>
    <row r="17" spans="1:51" customFormat="1">
      <c r="A17" s="58">
        <v>40005</v>
      </c>
      <c r="B17" s="8"/>
      <c r="C17" s="8"/>
      <c r="D17" s="9"/>
      <c r="E17" s="9"/>
      <c r="F17" s="23"/>
      <c r="G17" s="9"/>
      <c r="H17" s="61"/>
      <c r="I17" s="9"/>
      <c r="J17" s="23">
        <f t="shared" si="0"/>
        <v>0</v>
      </c>
      <c r="K17" s="25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1" customFormat="1" ht="17.25" customHeight="1">
      <c r="A18" s="58">
        <v>40006</v>
      </c>
      <c r="B18" s="9"/>
      <c r="C18" s="9"/>
      <c r="D18" s="9"/>
      <c r="E18" s="9"/>
      <c r="F18" s="62"/>
      <c r="G18" s="9"/>
      <c r="H18" s="61"/>
      <c r="I18" s="62"/>
      <c r="J18" s="23">
        <f t="shared" si="0"/>
        <v>0</v>
      </c>
      <c r="K18" s="25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1" customFormat="1" ht="13.5" customHeight="1">
      <c r="A19" s="58">
        <v>40007</v>
      </c>
      <c r="B19" s="9"/>
      <c r="C19" s="9"/>
      <c r="D19" s="9"/>
      <c r="E19" s="9"/>
      <c r="F19" s="62"/>
      <c r="G19" s="9"/>
      <c r="H19" s="61"/>
      <c r="I19" s="62"/>
      <c r="J19" s="23">
        <f t="shared" si="0"/>
        <v>0</v>
      </c>
      <c r="K19" s="25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2"/>
    </row>
    <row r="20" spans="1:51" customFormat="1">
      <c r="A20" s="58">
        <v>40008</v>
      </c>
      <c r="B20" s="9"/>
      <c r="C20" s="9"/>
      <c r="D20" s="9"/>
      <c r="E20" s="9"/>
      <c r="F20" s="9"/>
      <c r="G20" s="9"/>
      <c r="H20" s="61"/>
      <c r="I20" s="23"/>
      <c r="J20" s="23">
        <f t="shared" si="0"/>
        <v>0</v>
      </c>
      <c r="K20" s="25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1" customFormat="1">
      <c r="A21" s="58">
        <v>40009</v>
      </c>
      <c r="B21" s="9"/>
      <c r="C21" s="9"/>
      <c r="D21" s="9"/>
      <c r="E21" s="9"/>
      <c r="F21" s="9"/>
      <c r="G21" s="9"/>
      <c r="H21" s="61"/>
      <c r="I21" s="9"/>
      <c r="J21" s="23">
        <f t="shared" si="0"/>
        <v>0</v>
      </c>
      <c r="K21" s="25">
        <f t="shared" si="1"/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customFormat="1">
      <c r="A22" s="58">
        <v>40010</v>
      </c>
      <c r="B22" s="9"/>
      <c r="C22" s="9"/>
      <c r="D22" s="9"/>
      <c r="E22" s="9"/>
      <c r="F22" s="9"/>
      <c r="G22" s="9"/>
      <c r="H22" s="61"/>
      <c r="I22" s="9"/>
      <c r="J22" s="23">
        <f t="shared" si="0"/>
        <v>0</v>
      </c>
      <c r="K22" s="25">
        <f t="shared" si="1"/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customFormat="1">
      <c r="A23" s="58">
        <v>40011</v>
      </c>
      <c r="B23" s="9"/>
      <c r="C23" s="9"/>
      <c r="D23" s="9"/>
      <c r="E23" s="9"/>
      <c r="F23" s="9"/>
      <c r="G23" s="9"/>
      <c r="H23" s="61"/>
      <c r="I23" s="9"/>
      <c r="J23" s="23">
        <f t="shared" si="0"/>
        <v>0</v>
      </c>
      <c r="K23" s="25">
        <f t="shared" si="1"/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customFormat="1">
      <c r="A24" s="58">
        <v>40012</v>
      </c>
      <c r="B24" s="9"/>
      <c r="C24" s="9"/>
      <c r="D24" s="9"/>
      <c r="E24" s="9"/>
      <c r="F24" s="9"/>
      <c r="G24" s="9"/>
      <c r="H24" s="61"/>
      <c r="I24" s="9"/>
      <c r="J24" s="23">
        <f t="shared" si="0"/>
        <v>0</v>
      </c>
      <c r="K24" s="25">
        <f t="shared" si="1"/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customFormat="1">
      <c r="A25" s="58">
        <v>40013</v>
      </c>
      <c r="B25" s="9"/>
      <c r="C25" s="9"/>
      <c r="D25" s="9"/>
      <c r="E25" s="9"/>
      <c r="F25" s="9"/>
      <c r="G25" s="9"/>
      <c r="H25" s="61"/>
      <c r="I25" s="9"/>
      <c r="J25" s="23">
        <f t="shared" si="0"/>
        <v>0</v>
      </c>
      <c r="K25" s="25">
        <f t="shared" si="1"/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customFormat="1" ht="15" customHeight="1">
      <c r="A26" s="58">
        <v>40014</v>
      </c>
      <c r="B26" s="9"/>
      <c r="C26" s="9"/>
      <c r="D26" s="10"/>
      <c r="E26" s="9"/>
      <c r="F26" s="9"/>
      <c r="G26" s="9"/>
      <c r="H26" s="9"/>
      <c r="I26" s="9"/>
      <c r="J26" s="23">
        <f t="shared" si="0"/>
        <v>0</v>
      </c>
      <c r="K26" s="25">
        <f t="shared" si="1"/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customFormat="1">
      <c r="A27" s="58">
        <v>40015</v>
      </c>
      <c r="B27" s="9"/>
      <c r="C27" s="9"/>
      <c r="D27" s="1"/>
      <c r="E27" s="9"/>
      <c r="F27" s="9"/>
      <c r="G27" s="9"/>
      <c r="H27" s="9"/>
      <c r="I27" s="9"/>
      <c r="J27" s="23">
        <f t="shared" si="0"/>
        <v>0</v>
      </c>
      <c r="K27" s="25">
        <f t="shared" si="1"/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customFormat="1">
      <c r="A28" s="58">
        <v>40016</v>
      </c>
      <c r="B28" s="9"/>
      <c r="C28" s="9"/>
      <c r="D28" s="1"/>
      <c r="E28" s="9"/>
      <c r="F28" s="9"/>
      <c r="G28" s="9"/>
      <c r="H28" s="9"/>
      <c r="I28" s="9"/>
      <c r="J28" s="23">
        <f t="shared" si="0"/>
        <v>0</v>
      </c>
      <c r="K28" s="25">
        <f t="shared" si="1"/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customFormat="1" ht="15.75">
      <c r="A29" s="58">
        <v>40017</v>
      </c>
      <c r="B29" s="9"/>
      <c r="C29" s="9"/>
      <c r="D29" s="10"/>
      <c r="E29" s="10"/>
      <c r="F29" s="10"/>
      <c r="G29" s="9"/>
      <c r="H29" s="9"/>
      <c r="I29" s="9"/>
      <c r="J29" s="23">
        <f t="shared" si="0"/>
        <v>0</v>
      </c>
      <c r="K29" s="25">
        <f t="shared" si="1"/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customFormat="1">
      <c r="A30" s="58">
        <v>40018</v>
      </c>
      <c r="B30" s="9"/>
      <c r="C30" s="9"/>
      <c r="D30" s="9"/>
      <c r="E30" s="9"/>
      <c r="F30" s="9"/>
      <c r="G30" s="9"/>
      <c r="H30" s="9"/>
      <c r="I30" s="9"/>
      <c r="J30" s="23">
        <f t="shared" si="0"/>
        <v>0</v>
      </c>
      <c r="K30" s="25">
        <f t="shared" si="1"/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customFormat="1" ht="13.5" customHeight="1">
      <c r="A31" s="58">
        <v>40019</v>
      </c>
      <c r="B31" s="9"/>
      <c r="C31" s="9"/>
      <c r="D31" s="9"/>
      <c r="E31" s="9"/>
      <c r="F31" s="9"/>
      <c r="G31" s="9"/>
      <c r="H31" s="9"/>
      <c r="I31" s="9"/>
      <c r="J31" s="23">
        <f t="shared" si="0"/>
        <v>0</v>
      </c>
      <c r="K31" s="25">
        <f t="shared" si="1"/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customFormat="1">
      <c r="A32" s="58">
        <v>40020</v>
      </c>
      <c r="B32" s="9"/>
      <c r="C32" s="9"/>
      <c r="D32" s="9"/>
      <c r="E32" s="9"/>
      <c r="F32" s="9"/>
      <c r="G32" s="9"/>
      <c r="H32" s="9"/>
      <c r="I32" s="9"/>
      <c r="J32" s="23">
        <f t="shared" si="0"/>
        <v>0</v>
      </c>
      <c r="K32" s="25">
        <f t="shared" si="1"/>
        <v>0</v>
      </c>
    </row>
    <row r="33" spans="1:11" customFormat="1">
      <c r="A33" s="58">
        <v>40021</v>
      </c>
      <c r="B33" s="9"/>
      <c r="C33" s="9"/>
      <c r="D33" s="9"/>
      <c r="E33" s="9"/>
      <c r="F33" s="9"/>
      <c r="G33" s="9"/>
      <c r="H33" s="9"/>
      <c r="I33" s="9"/>
      <c r="J33" s="23">
        <f t="shared" si="0"/>
        <v>0</v>
      </c>
      <c r="K33" s="25">
        <f t="shared" si="1"/>
        <v>0</v>
      </c>
    </row>
    <row r="34" spans="1:11" customFormat="1">
      <c r="A34" s="58">
        <v>40022</v>
      </c>
      <c r="B34" s="9"/>
      <c r="C34" s="9"/>
      <c r="D34" s="9"/>
      <c r="E34" s="9"/>
      <c r="F34" s="9"/>
      <c r="G34" s="9"/>
      <c r="H34" s="9"/>
      <c r="I34" s="9"/>
      <c r="J34" s="23">
        <f t="shared" si="0"/>
        <v>0</v>
      </c>
      <c r="K34" s="25">
        <f t="shared" si="1"/>
        <v>0</v>
      </c>
    </row>
    <row r="35" spans="1:11" customFormat="1">
      <c r="A35" s="58">
        <v>40023</v>
      </c>
      <c r="B35" s="9"/>
      <c r="C35" s="9"/>
      <c r="D35" s="9"/>
      <c r="E35" s="9"/>
      <c r="F35" s="9"/>
      <c r="G35" s="9"/>
      <c r="H35" s="9"/>
      <c r="I35" s="9"/>
      <c r="J35" s="23">
        <f t="shared" si="0"/>
        <v>0</v>
      </c>
      <c r="K35" s="25">
        <f t="shared" si="1"/>
        <v>0</v>
      </c>
    </row>
    <row r="36" spans="1:11" customFormat="1" ht="12.75" customHeight="1">
      <c r="A36" s="58">
        <v>40024</v>
      </c>
      <c r="B36" s="9"/>
      <c r="C36" s="9"/>
      <c r="D36" s="13"/>
      <c r="E36" s="13"/>
      <c r="F36" s="13"/>
      <c r="G36" s="13"/>
      <c r="H36" s="13"/>
      <c r="I36" s="9"/>
      <c r="J36" s="23">
        <f t="shared" si="0"/>
        <v>0</v>
      </c>
      <c r="K36" s="25">
        <f t="shared" si="1"/>
        <v>0</v>
      </c>
    </row>
    <row r="37" spans="1:11" customFormat="1">
      <c r="A37" s="58">
        <v>40025</v>
      </c>
      <c r="B37" s="13"/>
      <c r="C37" s="13"/>
      <c r="D37" s="13"/>
      <c r="E37" s="13"/>
      <c r="F37" s="13"/>
      <c r="G37" s="13"/>
      <c r="H37" s="13"/>
      <c r="I37" s="9"/>
      <c r="J37" s="23">
        <f t="shared" si="0"/>
        <v>0</v>
      </c>
      <c r="K37" s="25">
        <f t="shared" si="1"/>
        <v>0</v>
      </c>
    </row>
    <row r="38" spans="1:11" ht="18" customHeight="1">
      <c r="A38" s="14" t="s">
        <v>15</v>
      </c>
      <c r="B38" s="15">
        <f t="shared" ref="B38:K38" si="2">SUM(B7:B37)</f>
        <v>0</v>
      </c>
      <c r="C38" s="15">
        <f t="shared" si="2"/>
        <v>0</v>
      </c>
      <c r="D38" s="15">
        <f t="shared" si="2"/>
        <v>0</v>
      </c>
      <c r="E38" s="15">
        <f t="shared" si="2"/>
        <v>0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5">
        <f t="shared" si="2"/>
        <v>0</v>
      </c>
      <c r="K38" s="15">
        <f t="shared" si="2"/>
        <v>0</v>
      </c>
    </row>
    <row r="39" spans="1:11" ht="18.75" customHeight="1">
      <c r="A39" s="63" t="s">
        <v>16</v>
      </c>
      <c r="B39" s="64" t="e">
        <f t="shared" ref="B39:G39" si="3">B38/$J$38</f>
        <v>#DIV/0!</v>
      </c>
      <c r="C39" s="64" t="e">
        <f t="shared" si="3"/>
        <v>#DIV/0!</v>
      </c>
      <c r="D39" s="64" t="e">
        <f t="shared" si="3"/>
        <v>#DIV/0!</v>
      </c>
      <c r="E39" s="64" t="e">
        <f t="shared" si="3"/>
        <v>#DIV/0!</v>
      </c>
      <c r="F39" s="64" t="e">
        <f t="shared" si="3"/>
        <v>#DIV/0!</v>
      </c>
      <c r="G39" s="64" t="e">
        <f t="shared" si="3"/>
        <v>#DIV/0!</v>
      </c>
      <c r="H39" s="64" t="e">
        <f>H38/$K$38</f>
        <v>#DIV/0!</v>
      </c>
      <c r="I39" s="64" t="e">
        <f>I38/$K$38</f>
        <v>#DIV/0!</v>
      </c>
      <c r="J39" s="64" t="e">
        <f>J38/$J$38</f>
        <v>#DIV/0!</v>
      </c>
      <c r="K39" s="64" t="e">
        <f>J38/K38</f>
        <v>#DIV/0!</v>
      </c>
    </row>
  </sheetData>
  <protectedRanges>
    <protectedRange sqref="B14" name="区域4_10_2_1_2"/>
    <protectedRange sqref="B14" name="区域2_10_2_1_2"/>
    <protectedRange sqref="B14" name="区域1_10_2_1_2"/>
    <protectedRange sqref="B14" name="区域3_9_2_1_2"/>
    <protectedRange sqref="B15" name="区域4_10_5_1_1_1_1"/>
    <protectedRange sqref="B15" name="区域2_10_5_1_1_1_1"/>
    <protectedRange sqref="B15" name="区域1_10_5_1_1_1_1"/>
    <protectedRange sqref="B15" name="区域3_9_5_1_1_1_1"/>
    <protectedRange sqref="B16" name="区域4_10_25_1_2"/>
    <protectedRange sqref="B16" name="区域2_10_25_1_2"/>
    <protectedRange sqref="B16" name="区域1_10_25_1_2"/>
    <protectedRange sqref="B16" name="区域3_9_25_1_2"/>
    <protectedRange sqref="B17" name="区域4_10_27_1_2_1"/>
    <protectedRange sqref="B17" name="区域2_10_27_1_2_1"/>
    <protectedRange sqref="B17" name="区域1_10_27_1_2_1"/>
    <protectedRange sqref="B17" name="区域3_9_27_1_2_1"/>
    <protectedRange sqref="B18" name="区域4_10_27_1_1_1_1_1"/>
    <protectedRange sqref="B18" name="区域2_10_27_1_1_1_1_1"/>
    <protectedRange sqref="B18" name="区域1_10_27_1_1_1_1_1"/>
    <protectedRange sqref="B18" name="区域3_9_27_1_1_1_1_1"/>
    <protectedRange sqref="B19" name="区域4_10_6_1_5_1_1"/>
    <protectedRange sqref="B19" name="区域2_10_6_1_5_1_1"/>
    <protectedRange sqref="B19" name="区域1_10_6_1_5_1_1"/>
    <protectedRange sqref="B19" name="区域3_9_6_1_5_1_1"/>
    <protectedRange sqref="B20" name="区域4_10_6_1_5_2"/>
    <protectedRange sqref="B20" name="区域2_10_6_1_5_2"/>
    <protectedRange sqref="B20" name="区域1_10_6_1_5_2"/>
    <protectedRange sqref="B20" name="区域3_9_6_1_5_2"/>
    <protectedRange sqref="B21:B22" name="区域4_10_7_1_4_1"/>
    <protectedRange sqref="B21:B22" name="区域2_10_7_1_4_1"/>
    <protectedRange sqref="B21:B22" name="区域1_10_7_1_4_1"/>
    <protectedRange sqref="B21:B22" name="区域3_9_7_1_4_1"/>
    <protectedRange sqref="B23" name="区域4_10_8_1_4_1"/>
    <protectedRange sqref="B23" name="区域2_10_8_1_4_1"/>
    <protectedRange sqref="B23" name="区域1_10_8_1_4_1"/>
    <protectedRange sqref="B23" name="区域3_9_8_1_4_1"/>
    <protectedRange sqref="B24" name="区域4_10_10_1_5_1_1"/>
    <protectedRange sqref="B24" name="区域2_10_10_1_5_1_1"/>
    <protectedRange sqref="B24" name="区域1_10_10_1_5_1_1"/>
    <protectedRange sqref="B24" name="区域3_9_10_1_5_1_1"/>
    <protectedRange sqref="B25" name="区域4_10_10_1_2_1_1"/>
    <protectedRange sqref="B25" name="区域2_10_10_1_2_1_1"/>
    <protectedRange sqref="B25" name="区域1_10_10_1_2_1_1"/>
    <protectedRange sqref="B25" name="区域3_9_10_1_2_1_1"/>
    <protectedRange sqref="B26" name="区域4_10_11_1_5_1"/>
    <protectedRange sqref="B26" name="区域2_10_11_1_5_1"/>
    <protectedRange sqref="B26" name="区域1_10_11_1_5_1"/>
    <protectedRange sqref="B26" name="区域3_9_11_1_5_1"/>
    <protectedRange sqref="B27:B28" name="区域4_10_11_1_5_2"/>
    <protectedRange sqref="B27:B28" name="区域2_10_11_1_5_2"/>
    <protectedRange sqref="B27:B28" name="区域1_10_11_1_5_2"/>
    <protectedRange sqref="B27:B28" name="区域3_9_11_1_5_2"/>
    <protectedRange sqref="B29" name="区域4_10_11_1_2_4_1"/>
    <protectedRange sqref="B29" name="区域2_10_11_1_2_4_1"/>
    <protectedRange sqref="B29" name="区域1_10_11_1_2_4_1"/>
    <protectedRange sqref="B29" name="区域3_9_11_1_2_4_1"/>
    <protectedRange sqref="B30" name="区域4_10_11_1_2_4_2"/>
    <protectedRange sqref="B30" name="区域2_10_11_1_2_4_2"/>
    <protectedRange sqref="B30" name="区域1_10_11_1_2_4_2"/>
    <protectedRange sqref="B30" name="区域3_9_11_1_2_4_2"/>
    <protectedRange sqref="B32" name="区域4_10_13_1_2_1_1"/>
    <protectedRange sqref="B32" name="区域2_10_13_1_2_1_1"/>
    <protectedRange sqref="B32" name="区域1_10_13_1_2_1_1"/>
    <protectedRange sqref="B32" name="区域3_9_13_1_2_1_1"/>
    <protectedRange sqref="B34:B35" name="区域4_10_20_1_2_1_1"/>
    <protectedRange sqref="B34:B35" name="区域2_10_20_1_2_1_1"/>
    <protectedRange sqref="B34:B35" name="区域1_10_20_1_2_1_1"/>
    <protectedRange sqref="B34:B35" name="区域3_9_20_1_2_1_1"/>
    <protectedRange sqref="B33" name="区域4_10_13_1_3_1_1_1"/>
    <protectedRange sqref="B33" name="区域2_10_13_1_3_1_1_1"/>
    <protectedRange sqref="B33" name="区域1_10_13_1_3_1_1_1"/>
    <protectedRange sqref="B33" name="区域3_9_13_1_3_1_1_1"/>
    <protectedRange sqref="B31" name="区域4_10_12_1_3_1_1"/>
    <protectedRange sqref="B31" name="区域2_10_12_1_3_1_1"/>
    <protectedRange sqref="B31" name="区域1_10_12_1_3_1_1"/>
    <protectedRange sqref="B31" name="区域3_9_12_1_3_1_1"/>
    <protectedRange sqref="B9" name="区域4_1_1_1_2_1"/>
    <protectedRange sqref="B9" name="区域2_1_1_1_2_1"/>
    <protectedRange sqref="B9" name="区域1_1_1_1_2_1"/>
    <protectedRange sqref="B9" name="区域3_1_1_1_2_1"/>
    <protectedRange sqref="B12" name="区域4_10_23_1_1_1"/>
    <protectedRange sqref="B12" name="区域2_10_23_1_1_1"/>
    <protectedRange sqref="B12" name="区域1_10_23_1_1_1"/>
    <protectedRange sqref="B12" name="区域3_9_23_1_1_1"/>
    <protectedRange sqref="B10:B11" name="区域4_4_1_1_1"/>
    <protectedRange sqref="B10:B11" name="区域2_4_1_1_1"/>
    <protectedRange sqref="B10:B11" name="区域1_4_1_1_1"/>
    <protectedRange sqref="B10:B11" name="区域3_4_1_1_1"/>
    <protectedRange sqref="B13" name="区域4_10_2_1_1_1_1"/>
    <protectedRange sqref="B13" name="区域2_10_2_1_1_1_1"/>
    <protectedRange sqref="B13" name="区域1_10_2_1_1_1_1"/>
    <protectedRange sqref="B13" name="区域3_9_2_1_1_1_1"/>
    <protectedRange sqref="B7" name="区域4_10_9_1_1_1"/>
    <protectedRange sqref="B7" name="区域2_10_9_1_1_1"/>
    <protectedRange sqref="B7" name="区域1_10_9_1_1_1"/>
    <protectedRange sqref="B7" name="区域3_9_9_1_1_1"/>
    <protectedRange sqref="B8" name="区域4_1_1_1_1_1_2"/>
    <protectedRange sqref="B8" name="区域2_1_1_1_1_1_2"/>
    <protectedRange sqref="B8" name="区域1_1_1_1_1_1_2"/>
    <protectedRange sqref="B8" name="区域3_1_1_1_1_1_2"/>
    <protectedRange sqref="H19:H25" name="区域4_10_12_8"/>
    <protectedRange sqref="H19:H25" name="区域2_10_12_8"/>
    <protectedRange sqref="H19:H25" name="区域1_10_12_8"/>
    <protectedRange sqref="H19:H25" name="区域3_9_12_8"/>
    <protectedRange sqref="H18" name="区域4_10_12_7_2"/>
    <protectedRange sqref="H18" name="区域2_10_12_7_2"/>
    <protectedRange sqref="H18" name="区域1_10_12_7_2"/>
    <protectedRange sqref="H18" name="区域3_9_12_7_2"/>
    <protectedRange sqref="H12:H13" name="区域4_10_12_8_2"/>
    <protectedRange sqref="H12:H13" name="区域2_10_12_8_2"/>
    <protectedRange sqref="H12:H13" name="区域1_10_12_8_2"/>
    <protectedRange sqref="H12:H13" name="区域3_9_12_8_2"/>
    <protectedRange sqref="H10:H11" name="区域4_4_10_2"/>
    <protectedRange sqref="H10:H11" name="区域2_4_10_2"/>
    <protectedRange sqref="H10:H11" name="区域1_4_10_2"/>
    <protectedRange sqref="H10:H11" name="区域3_4_10_2"/>
    <protectedRange sqref="I13" name="区域4_10_12_7_1"/>
    <protectedRange sqref="I13" name="区域2_10_12_7_1"/>
    <protectedRange sqref="I13" name="区域1_10_12_7_1"/>
    <protectedRange sqref="I13" name="区域3_9_12_7_1"/>
    <protectedRange sqref="I14" name="区域4_10_14_5_2"/>
    <protectedRange sqref="I14" name="区域2_10_14_5_2"/>
    <protectedRange sqref="I14" name="区域1_10_14_5_2"/>
    <protectedRange sqref="I14" name="区域3_9_14_5_2"/>
  </protectedRanges>
  <mergeCells count="4">
    <mergeCell ref="E4:G4"/>
    <mergeCell ref="B5:J5"/>
    <mergeCell ref="A5:A6"/>
    <mergeCell ref="A1:I2"/>
  </mergeCells>
  <phoneticPr fontId="1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44"/>
  <sheetViews>
    <sheetView tabSelected="1" workbookViewId="0">
      <pane xSplit="1" ySplit="4" topLeftCell="Q29" activePane="bottomRight" state="frozen"/>
      <selection pane="topRight"/>
      <selection pane="bottomLeft"/>
      <selection pane="bottomRight" activeCell="Y35" sqref="Y35"/>
    </sheetView>
  </sheetViews>
  <sheetFormatPr defaultColWidth="5.5" defaultRowHeight="14.25"/>
  <cols>
    <col min="1" max="1" width="13" style="1" customWidth="1"/>
    <col min="2" max="2" width="6.875" style="1" customWidth="1"/>
    <col min="3" max="4" width="5.75" style="1" customWidth="1"/>
    <col min="5" max="6" width="5.5" style="1"/>
    <col min="7" max="7" width="6.125" style="1" customWidth="1"/>
    <col min="8" max="8" width="5.875" style="1" customWidth="1"/>
    <col min="9" max="10" width="5.5" style="1"/>
    <col min="11" max="11" width="5.875" style="1" customWidth="1"/>
    <col min="12" max="12" width="6.25" style="1" customWidth="1"/>
    <col min="13" max="13" width="6.625" style="1" customWidth="1"/>
    <col min="14" max="14" width="6.375" style="1" customWidth="1"/>
    <col min="15" max="15" width="6.5" style="1" customWidth="1"/>
    <col min="16" max="16" width="6" style="1" customWidth="1"/>
    <col min="17" max="17" width="6.25" style="1" customWidth="1"/>
    <col min="18" max="18" width="6.375" style="1" customWidth="1"/>
    <col min="19" max="20" width="6.25" style="1" customWidth="1"/>
    <col min="21" max="21" width="6.125" style="1" customWidth="1"/>
    <col min="22" max="22" width="6.375" style="1" customWidth="1"/>
    <col min="23" max="23" width="5.875" style="1" customWidth="1"/>
    <col min="24" max="24" width="6.25" style="1" customWidth="1"/>
    <col min="25" max="25" width="10.5" style="1" bestFit="1" customWidth="1"/>
    <col min="26" max="26" width="8.375" style="1" customWidth="1"/>
    <col min="27" max="27" width="15.875" style="1" customWidth="1"/>
    <col min="28" max="48" width="5.5" style="1"/>
    <col min="49" max="16384" width="5.5" style="2"/>
  </cols>
  <sheetData>
    <row r="1" spans="1:69" ht="30" customHeight="1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</row>
    <row r="2" spans="1:69">
      <c r="A2" s="86" t="s">
        <v>17</v>
      </c>
      <c r="B2" s="86"/>
      <c r="C2" s="86"/>
      <c r="D2" s="86"/>
      <c r="E2" s="86"/>
      <c r="F2" s="86"/>
      <c r="G2" s="86"/>
      <c r="H2" s="86"/>
      <c r="I2" s="86"/>
      <c r="J2" s="86"/>
      <c r="K2" s="39"/>
      <c r="L2" s="39"/>
      <c r="M2" s="39"/>
      <c r="N2" s="39"/>
      <c r="O2" s="39"/>
      <c r="P2" s="76"/>
      <c r="T2" s="79" t="s">
        <v>64</v>
      </c>
      <c r="U2" s="39"/>
      <c r="V2" s="39"/>
      <c r="W2" s="74"/>
      <c r="X2" s="18"/>
      <c r="Y2" s="18"/>
      <c r="Z2" s="18"/>
      <c r="AA2" s="18"/>
      <c r="AD2" s="39"/>
      <c r="AE2" s="39"/>
      <c r="AF2" s="39"/>
      <c r="AG2" s="18"/>
      <c r="AH2" s="18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s="37" customFormat="1" ht="20.25" customHeight="1">
      <c r="A3" s="88" t="s">
        <v>2</v>
      </c>
      <c r="B3" s="87" t="s">
        <v>18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75"/>
      <c r="X3" s="40"/>
      <c r="Y3" s="73"/>
      <c r="Z3" s="47"/>
      <c r="AA3" s="47"/>
      <c r="AB3" s="87" t="s">
        <v>19</v>
      </c>
      <c r="AC3" s="87"/>
      <c r="AD3" s="87"/>
      <c r="AE3" s="87"/>
      <c r="AF3" s="87"/>
      <c r="AG3" s="87"/>
      <c r="AH3" s="87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</row>
    <row r="4" spans="1:69" s="37" customFormat="1" ht="32.25" customHeight="1">
      <c r="A4" s="88"/>
      <c r="B4" s="41" t="s">
        <v>61</v>
      </c>
      <c r="C4" s="41" t="s">
        <v>20</v>
      </c>
      <c r="D4" s="41" t="s">
        <v>53</v>
      </c>
      <c r="E4" s="41" t="s">
        <v>55</v>
      </c>
      <c r="F4" s="41" t="s">
        <v>57</v>
      </c>
      <c r="G4" s="41">
        <v>3</v>
      </c>
      <c r="H4" s="41" t="s">
        <v>21</v>
      </c>
      <c r="I4" s="41" t="s">
        <v>22</v>
      </c>
      <c r="J4" s="42" t="s">
        <v>62</v>
      </c>
      <c r="K4" s="42" t="s">
        <v>63</v>
      </c>
      <c r="L4" s="42" t="s">
        <v>23</v>
      </c>
      <c r="M4" s="42" t="s">
        <v>24</v>
      </c>
      <c r="N4" s="42" t="s">
        <v>25</v>
      </c>
      <c r="O4" s="42" t="s">
        <v>54</v>
      </c>
      <c r="P4" s="42" t="s">
        <v>58</v>
      </c>
      <c r="Q4" s="42" t="s">
        <v>26</v>
      </c>
      <c r="R4" s="42" t="s">
        <v>60</v>
      </c>
      <c r="S4" s="42" t="s">
        <v>27</v>
      </c>
      <c r="T4" s="42" t="s">
        <v>28</v>
      </c>
      <c r="U4" s="42" t="s">
        <v>29</v>
      </c>
      <c r="V4" s="42" t="s">
        <v>30</v>
      </c>
      <c r="W4" s="42" t="s">
        <v>56</v>
      </c>
      <c r="X4" s="42" t="s">
        <v>51</v>
      </c>
      <c r="Y4" s="42" t="s">
        <v>59</v>
      </c>
      <c r="Z4" s="48" t="s">
        <v>13</v>
      </c>
      <c r="AA4" s="48" t="s">
        <v>31</v>
      </c>
      <c r="AB4" s="42" t="s">
        <v>23</v>
      </c>
      <c r="AC4" s="42" t="s">
        <v>26</v>
      </c>
      <c r="AD4" s="42" t="s">
        <v>28</v>
      </c>
      <c r="AE4" s="42" t="s">
        <v>30</v>
      </c>
      <c r="AF4" s="42" t="s">
        <v>52</v>
      </c>
      <c r="AG4" s="53" t="s">
        <v>13</v>
      </c>
      <c r="AH4" s="43" t="s">
        <v>14</v>
      </c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</row>
    <row r="5" spans="1:69" s="38" customFormat="1" ht="20.100000000000001" customHeight="1">
      <c r="A5" s="71">
        <v>43709</v>
      </c>
      <c r="B5" s="78">
        <f>577+118+68</f>
        <v>763</v>
      </c>
      <c r="C5" s="78">
        <v>11</v>
      </c>
      <c r="D5" s="78"/>
      <c r="E5" s="78"/>
      <c r="F5" s="78"/>
      <c r="G5" s="78">
        <v>27</v>
      </c>
      <c r="H5" s="78">
        <v>46</v>
      </c>
      <c r="I5" s="78"/>
      <c r="J5" s="78"/>
      <c r="K5" s="78"/>
      <c r="L5" s="78">
        <v>2</v>
      </c>
      <c r="M5" s="78"/>
      <c r="N5" s="78"/>
      <c r="O5" s="78">
        <v>58</v>
      </c>
      <c r="P5" s="78"/>
      <c r="Q5" s="78">
        <f>43+71</f>
        <v>114</v>
      </c>
      <c r="R5" s="78">
        <v>74</v>
      </c>
      <c r="S5" s="78">
        <v>30</v>
      </c>
      <c r="T5" s="78">
        <f>24+50+48</f>
        <v>122</v>
      </c>
      <c r="U5" s="78">
        <v>29</v>
      </c>
      <c r="V5" s="78">
        <v>35</v>
      </c>
      <c r="W5" s="78">
        <v>46</v>
      </c>
      <c r="X5" s="78"/>
      <c r="Y5" s="78">
        <f>2356+346.5+1562+440+45</f>
        <v>4749.5</v>
      </c>
      <c r="Z5" s="49">
        <f t="shared" ref="Z5:Z36" si="0">SUM(B5:X5)</f>
        <v>1357</v>
      </c>
      <c r="AA5" s="50">
        <f>B5*1+C5*2+G5*3+H5*5+F5*5+I5*6+J5*7+K5*8+L5*10+M5*11+N5*12+O5*13+P5*14+Q5*15+S5*18+T5*20+U5*25+V5*30+X5*50+D5*2+Y5+R5*17+W5*35+E5*3</f>
        <v>15952.5</v>
      </c>
      <c r="AB5" s="67"/>
      <c r="AC5" s="67"/>
      <c r="AD5" s="69"/>
      <c r="AE5" s="69"/>
      <c r="AF5" s="66"/>
      <c r="AG5" s="51">
        <f t="shared" ref="AG5:AG35" si="1">SUM(AB5:AE5)</f>
        <v>0</v>
      </c>
      <c r="AH5" s="45">
        <f>AB5*10+AC5*15+AD5*20+AE5*30+AF5</f>
        <v>0</v>
      </c>
    </row>
    <row r="6" spans="1:69" s="38" customFormat="1" ht="20.100000000000001" customHeight="1">
      <c r="A6" s="71">
        <v>43710</v>
      </c>
      <c r="B6" s="78">
        <f>166+759</f>
        <v>925</v>
      </c>
      <c r="C6" s="78">
        <v>32</v>
      </c>
      <c r="D6" s="78"/>
      <c r="E6" s="78"/>
      <c r="F6" s="78"/>
      <c r="G6" s="78">
        <v>48</v>
      </c>
      <c r="H6" s="78">
        <v>66</v>
      </c>
      <c r="I6" s="78"/>
      <c r="J6" s="78"/>
      <c r="K6" s="78"/>
      <c r="L6" s="78">
        <v>2</v>
      </c>
      <c r="M6" s="78"/>
      <c r="N6" s="78"/>
      <c r="O6" s="78">
        <f>108+179</f>
        <v>287</v>
      </c>
      <c r="P6" s="78"/>
      <c r="Q6" s="78">
        <f>78+327</f>
        <v>405</v>
      </c>
      <c r="R6" s="78">
        <f>45+74</f>
        <v>119</v>
      </c>
      <c r="S6" s="78">
        <v>56</v>
      </c>
      <c r="T6" s="78">
        <f>108+301</f>
        <v>409</v>
      </c>
      <c r="U6" s="78">
        <v>38</v>
      </c>
      <c r="V6" s="78">
        <f>49+68</f>
        <v>117</v>
      </c>
      <c r="W6" s="78">
        <v>15</v>
      </c>
      <c r="X6" s="78"/>
      <c r="Y6" s="78">
        <f>280.5+308+748+990+198+220+364</f>
        <v>3108.5</v>
      </c>
      <c r="Z6" s="49">
        <f t="shared" si="0"/>
        <v>2519</v>
      </c>
      <c r="AA6" s="50">
        <f t="shared" ref="AA6:AA35" si="2">B6*1+C6*2+G6*3+H6*5+F6*5+I6*6+J6*7+K6*8+L6*10+M6*11+N6*12+O6*13+P6*14+Q6*15+S6*18+T6*20+U6*25+V6*30+X6*50+D6*2+Y6+R6*17+W6*35+E6*3</f>
        <v>30593.5</v>
      </c>
      <c r="AB6" s="67"/>
      <c r="AC6" s="67"/>
      <c r="AD6" s="67"/>
      <c r="AE6" s="67"/>
      <c r="AF6" s="77"/>
      <c r="AG6" s="51">
        <f t="shared" si="1"/>
        <v>0</v>
      </c>
      <c r="AH6" s="45">
        <f t="shared" ref="AH6:AH35" si="3">AB6*10+AC6*15+AD6*20+AE6*30+AF6</f>
        <v>0</v>
      </c>
    </row>
    <row r="7" spans="1:69" s="70" customFormat="1" ht="20.100000000000001" customHeight="1">
      <c r="A7" s="71">
        <v>43711</v>
      </c>
      <c r="B7" s="78">
        <f>582+210+82</f>
        <v>874</v>
      </c>
      <c r="C7" s="78">
        <v>11</v>
      </c>
      <c r="D7" s="78"/>
      <c r="E7" s="78"/>
      <c r="F7" s="78"/>
      <c r="G7" s="78">
        <v>42</v>
      </c>
      <c r="H7" s="78">
        <v>63</v>
      </c>
      <c r="I7" s="78"/>
      <c r="J7" s="78"/>
      <c r="K7" s="78"/>
      <c r="L7" s="78">
        <v>3</v>
      </c>
      <c r="M7" s="78"/>
      <c r="N7" s="78">
        <v>26</v>
      </c>
      <c r="O7" s="78">
        <v>288</v>
      </c>
      <c r="P7" s="78"/>
      <c r="Q7" s="78">
        <f>247+69</f>
        <v>316</v>
      </c>
      <c r="R7" s="78">
        <v>98</v>
      </c>
      <c r="S7" s="78">
        <v>91</v>
      </c>
      <c r="T7" s="78">
        <f>316+40+71</f>
        <v>427</v>
      </c>
      <c r="U7" s="78">
        <v>20</v>
      </c>
      <c r="V7" s="78">
        <f>56+94</f>
        <v>150</v>
      </c>
      <c r="W7" s="78">
        <v>11</v>
      </c>
      <c r="X7" s="78"/>
      <c r="Y7" s="78">
        <f>660+990+1204.5+90</f>
        <v>2944.5</v>
      </c>
      <c r="Z7" s="49">
        <f t="shared" si="0"/>
        <v>2420</v>
      </c>
      <c r="AA7" s="50">
        <f t="shared" si="2"/>
        <v>30336.5</v>
      </c>
      <c r="AB7" s="69"/>
      <c r="AC7" s="69"/>
      <c r="AD7" s="69"/>
      <c r="AE7" s="69"/>
      <c r="AF7" s="77"/>
      <c r="AG7" s="51"/>
      <c r="AH7" s="45"/>
    </row>
    <row r="8" spans="1:69" s="38" customFormat="1" ht="20.100000000000001" customHeight="1">
      <c r="A8" s="71">
        <v>43712</v>
      </c>
      <c r="B8" s="78">
        <f>558+50+92+221+54</f>
        <v>975</v>
      </c>
      <c r="C8" s="78">
        <v>55</v>
      </c>
      <c r="D8" s="78"/>
      <c r="E8" s="78"/>
      <c r="F8" s="78"/>
      <c r="G8" s="78">
        <v>43</v>
      </c>
      <c r="H8" s="78">
        <f>31+14+18</f>
        <v>63</v>
      </c>
      <c r="I8" s="78"/>
      <c r="J8" s="78"/>
      <c r="K8" s="78"/>
      <c r="L8" s="78">
        <v>2</v>
      </c>
      <c r="M8" s="78"/>
      <c r="N8" s="78">
        <v>25</v>
      </c>
      <c r="O8" s="78">
        <f>173+108</f>
        <v>281</v>
      </c>
      <c r="P8" s="78"/>
      <c r="Q8" s="78">
        <f>217+36+73</f>
        <v>326</v>
      </c>
      <c r="R8" s="78">
        <v>95</v>
      </c>
      <c r="S8" s="78">
        <v>63</v>
      </c>
      <c r="T8" s="78">
        <f>350+79+23</f>
        <v>452</v>
      </c>
      <c r="U8" s="78">
        <v>27</v>
      </c>
      <c r="V8" s="78">
        <f>103+3</f>
        <v>106</v>
      </c>
      <c r="W8" s="78">
        <v>13</v>
      </c>
      <c r="X8" s="78"/>
      <c r="Y8" s="78">
        <f>973.5+506+330+220+176+374+242+297+94</f>
        <v>3212.5</v>
      </c>
      <c r="Z8" s="49">
        <f t="shared" si="0"/>
        <v>2526</v>
      </c>
      <c r="AA8" s="50">
        <f t="shared" si="2"/>
        <v>29703.5</v>
      </c>
      <c r="AB8" s="67"/>
      <c r="AC8" s="69"/>
      <c r="AD8" s="67"/>
      <c r="AE8" s="67"/>
      <c r="AF8" s="77"/>
      <c r="AG8" s="51">
        <f t="shared" si="1"/>
        <v>0</v>
      </c>
      <c r="AH8" s="45">
        <f t="shared" si="3"/>
        <v>0</v>
      </c>
    </row>
    <row r="9" spans="1:69" s="38" customFormat="1" ht="20.100000000000001" customHeight="1">
      <c r="A9" s="71">
        <v>43713</v>
      </c>
      <c r="B9" s="78">
        <v>946</v>
      </c>
      <c r="C9" s="78">
        <v>22</v>
      </c>
      <c r="D9" s="78"/>
      <c r="E9" s="78"/>
      <c r="F9" s="78"/>
      <c r="G9" s="78">
        <v>65</v>
      </c>
      <c r="H9" s="78">
        <v>87</v>
      </c>
      <c r="I9" s="78"/>
      <c r="J9" s="78"/>
      <c r="K9" s="78"/>
      <c r="L9" s="78">
        <v>2</v>
      </c>
      <c r="M9" s="78"/>
      <c r="N9" s="78">
        <v>25</v>
      </c>
      <c r="O9" s="78">
        <v>291</v>
      </c>
      <c r="P9" s="78"/>
      <c r="Q9" s="78">
        <v>354</v>
      </c>
      <c r="R9" s="78">
        <v>96</v>
      </c>
      <c r="S9" s="78">
        <v>66</v>
      </c>
      <c r="T9" s="78">
        <v>543</v>
      </c>
      <c r="U9" s="78">
        <v>38</v>
      </c>
      <c r="V9" s="78">
        <v>125</v>
      </c>
      <c r="W9" s="78">
        <v>19</v>
      </c>
      <c r="X9" s="78"/>
      <c r="Y9" s="78">
        <v>6133</v>
      </c>
      <c r="Z9" s="49">
        <f t="shared" si="0"/>
        <v>2679</v>
      </c>
      <c r="AA9" s="50">
        <f t="shared" si="2"/>
        <v>36211</v>
      </c>
      <c r="AB9" s="67"/>
      <c r="AC9" s="67"/>
      <c r="AD9" s="67"/>
      <c r="AE9" s="67"/>
      <c r="AF9" s="77"/>
      <c r="AG9" s="51">
        <f t="shared" si="1"/>
        <v>0</v>
      </c>
      <c r="AH9" s="45">
        <f t="shared" si="3"/>
        <v>0</v>
      </c>
    </row>
    <row r="10" spans="1:69" s="38" customFormat="1" ht="20.100000000000001" customHeight="1">
      <c r="A10" s="71">
        <v>43714</v>
      </c>
      <c r="B10" s="78">
        <v>1033</v>
      </c>
      <c r="C10" s="78">
        <v>15</v>
      </c>
      <c r="D10" s="78"/>
      <c r="E10" s="78"/>
      <c r="F10" s="78"/>
      <c r="G10" s="78">
        <v>42</v>
      </c>
      <c r="H10" s="78">
        <v>75</v>
      </c>
      <c r="I10" s="78"/>
      <c r="J10" s="78"/>
      <c r="K10" s="78"/>
      <c r="L10" s="78">
        <v>23</v>
      </c>
      <c r="M10" s="78"/>
      <c r="N10" s="78">
        <v>27</v>
      </c>
      <c r="O10" s="78">
        <v>274</v>
      </c>
      <c r="P10" s="78"/>
      <c r="Q10" s="78">
        <v>456</v>
      </c>
      <c r="R10" s="78">
        <v>99</v>
      </c>
      <c r="S10" s="78">
        <v>68</v>
      </c>
      <c r="T10" s="78">
        <v>485</v>
      </c>
      <c r="U10" s="78">
        <v>23</v>
      </c>
      <c r="V10" s="78">
        <v>15</v>
      </c>
      <c r="W10" s="78">
        <v>13</v>
      </c>
      <c r="X10" s="78"/>
      <c r="Y10" s="78">
        <f>3454+530</f>
        <v>3984</v>
      </c>
      <c r="Z10" s="49">
        <f t="shared" si="0"/>
        <v>2648</v>
      </c>
      <c r="AA10" s="50">
        <f t="shared" si="2"/>
        <v>30591</v>
      </c>
      <c r="AB10" s="67"/>
      <c r="AC10" s="67"/>
      <c r="AD10" s="67"/>
      <c r="AE10" s="67"/>
      <c r="AF10" s="66"/>
      <c r="AG10" s="51">
        <f t="shared" si="1"/>
        <v>0</v>
      </c>
      <c r="AH10" s="45">
        <f t="shared" si="3"/>
        <v>0</v>
      </c>
    </row>
    <row r="11" spans="1:69" s="38" customFormat="1" ht="17.25" customHeight="1">
      <c r="A11" s="71">
        <v>43715</v>
      </c>
      <c r="B11" s="78">
        <f>722+258+210</f>
        <v>1190</v>
      </c>
      <c r="C11" s="78">
        <v>38</v>
      </c>
      <c r="D11" s="78"/>
      <c r="E11" s="78"/>
      <c r="F11" s="78"/>
      <c r="G11" s="78">
        <f>21+24+32</f>
        <v>77</v>
      </c>
      <c r="H11" s="78">
        <v>66</v>
      </c>
      <c r="I11" s="78"/>
      <c r="J11" s="78"/>
      <c r="K11" s="78"/>
      <c r="L11" s="78">
        <v>2</v>
      </c>
      <c r="M11" s="78"/>
      <c r="N11" s="78"/>
      <c r="O11" s="78">
        <v>89</v>
      </c>
      <c r="P11" s="78"/>
      <c r="Q11" s="78">
        <f>109+149</f>
        <v>258</v>
      </c>
      <c r="R11" s="78">
        <v>79</v>
      </c>
      <c r="S11" s="78">
        <v>15</v>
      </c>
      <c r="T11" s="78">
        <f>107+89+51</f>
        <v>247</v>
      </c>
      <c r="U11" s="78">
        <v>39</v>
      </c>
      <c r="V11" s="78">
        <f>47+35+45</f>
        <v>127</v>
      </c>
      <c r="W11" s="78">
        <v>53</v>
      </c>
      <c r="X11" s="78"/>
      <c r="Y11" s="78">
        <f>4585+528+2354+682</f>
        <v>8149</v>
      </c>
      <c r="Z11" s="49">
        <f t="shared" si="0"/>
        <v>2280</v>
      </c>
      <c r="AA11" s="50">
        <f t="shared" si="2"/>
        <v>28216</v>
      </c>
      <c r="AB11" s="67"/>
      <c r="AC11" s="67"/>
      <c r="AD11" s="67"/>
      <c r="AE11" s="67"/>
      <c r="AF11" s="66"/>
      <c r="AG11" s="51">
        <f t="shared" si="1"/>
        <v>0</v>
      </c>
      <c r="AH11" s="45">
        <f t="shared" si="3"/>
        <v>0</v>
      </c>
      <c r="AI11" s="52"/>
    </row>
    <row r="12" spans="1:69" s="38" customFormat="1" ht="20.100000000000001" customHeight="1">
      <c r="A12" s="71">
        <v>43716</v>
      </c>
      <c r="B12" s="78">
        <f>544+94+90</f>
        <v>728</v>
      </c>
      <c r="C12" s="78">
        <v>7</v>
      </c>
      <c r="D12" s="78"/>
      <c r="E12" s="78"/>
      <c r="F12" s="78"/>
      <c r="G12" s="78">
        <v>21</v>
      </c>
      <c r="H12" s="78">
        <v>57</v>
      </c>
      <c r="I12" s="78"/>
      <c r="J12" s="78"/>
      <c r="K12" s="78"/>
      <c r="L12" s="78">
        <v>2</v>
      </c>
      <c r="M12" s="78"/>
      <c r="N12" s="78"/>
      <c r="O12" s="78">
        <v>68</v>
      </c>
      <c r="P12" s="78"/>
      <c r="Q12" s="78">
        <f>88+63</f>
        <v>151</v>
      </c>
      <c r="R12" s="78">
        <v>85</v>
      </c>
      <c r="S12" s="78">
        <v>6</v>
      </c>
      <c r="T12" s="78">
        <v>87</v>
      </c>
      <c r="U12" s="78">
        <v>26</v>
      </c>
      <c r="V12" s="78">
        <f>183+19+17</f>
        <v>219</v>
      </c>
      <c r="W12" s="78">
        <v>37</v>
      </c>
      <c r="X12" s="78"/>
      <c r="Y12" s="78">
        <f>20500+561+484+220+220</f>
        <v>21985</v>
      </c>
      <c r="Z12" s="49">
        <f t="shared" si="0"/>
        <v>1494</v>
      </c>
      <c r="AA12" s="50">
        <f t="shared" si="2"/>
        <v>38052</v>
      </c>
      <c r="AB12" s="67"/>
      <c r="AC12" s="67"/>
      <c r="AD12" s="67"/>
      <c r="AE12" s="67"/>
      <c r="AF12" s="66"/>
      <c r="AG12" s="51">
        <f t="shared" si="1"/>
        <v>0</v>
      </c>
      <c r="AH12" s="45">
        <f t="shared" si="3"/>
        <v>0</v>
      </c>
      <c r="AI12" s="52"/>
    </row>
    <row r="13" spans="1:69" s="38" customFormat="1" ht="20.100000000000001" customHeight="1">
      <c r="A13" s="71">
        <v>43717</v>
      </c>
      <c r="B13" s="78">
        <f>68+673</f>
        <v>741</v>
      </c>
      <c r="C13" s="78">
        <v>3</v>
      </c>
      <c r="D13" s="78"/>
      <c r="E13" s="78"/>
      <c r="F13" s="78"/>
      <c r="G13" s="78">
        <v>52</v>
      </c>
      <c r="H13" s="78">
        <v>57</v>
      </c>
      <c r="I13" s="78"/>
      <c r="J13" s="78"/>
      <c r="K13" s="78"/>
      <c r="L13" s="78">
        <v>2</v>
      </c>
      <c r="M13" s="78"/>
      <c r="N13" s="78">
        <v>28</v>
      </c>
      <c r="O13" s="78">
        <f>94+178</f>
        <v>272</v>
      </c>
      <c r="P13" s="78"/>
      <c r="Q13" s="78">
        <f>299+7</f>
        <v>306</v>
      </c>
      <c r="R13" s="78">
        <f>47+77</f>
        <v>124</v>
      </c>
      <c r="S13" s="78">
        <v>73</v>
      </c>
      <c r="T13" s="78">
        <f>137+298+40</f>
        <v>475</v>
      </c>
      <c r="U13" s="78">
        <v>23</v>
      </c>
      <c r="V13" s="78">
        <v>30</v>
      </c>
      <c r="W13" s="78">
        <v>16</v>
      </c>
      <c r="X13" s="78"/>
      <c r="Y13" s="78">
        <f>231+44+22+336+22+1023+902+18</f>
        <v>2598</v>
      </c>
      <c r="Z13" s="49">
        <f t="shared" si="0"/>
        <v>2202</v>
      </c>
      <c r="AA13" s="50">
        <f t="shared" si="2"/>
        <v>27225</v>
      </c>
      <c r="AB13" s="67"/>
      <c r="AC13" s="67"/>
      <c r="AD13" s="67"/>
      <c r="AE13" s="67"/>
      <c r="AF13" s="66"/>
      <c r="AG13" s="51">
        <f t="shared" si="1"/>
        <v>0</v>
      </c>
      <c r="AH13" s="45">
        <f t="shared" si="3"/>
        <v>0</v>
      </c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37"/>
    </row>
    <row r="14" spans="1:69" s="38" customFormat="1" ht="20.100000000000001" customHeight="1">
      <c r="A14" s="71">
        <v>43718</v>
      </c>
      <c r="B14" s="78">
        <v>1080</v>
      </c>
      <c r="C14" s="78">
        <v>17</v>
      </c>
      <c r="D14" s="78"/>
      <c r="E14" s="78"/>
      <c r="F14" s="78"/>
      <c r="G14" s="78">
        <v>35</v>
      </c>
      <c r="H14" s="78">
        <v>61</v>
      </c>
      <c r="I14" s="78"/>
      <c r="J14" s="78"/>
      <c r="K14" s="78"/>
      <c r="L14" s="78">
        <v>2</v>
      </c>
      <c r="M14" s="78"/>
      <c r="N14" s="78">
        <v>25</v>
      </c>
      <c r="O14" s="78">
        <v>285</v>
      </c>
      <c r="P14" s="78"/>
      <c r="Q14" s="78">
        <f>240+100</f>
        <v>340</v>
      </c>
      <c r="R14" s="78">
        <v>46</v>
      </c>
      <c r="S14" s="78">
        <v>76</v>
      </c>
      <c r="T14" s="78">
        <f>319+45+40</f>
        <v>404</v>
      </c>
      <c r="U14" s="78">
        <v>18</v>
      </c>
      <c r="V14" s="78">
        <f>77+48+25</f>
        <v>150</v>
      </c>
      <c r="W14" s="78">
        <v>39</v>
      </c>
      <c r="X14" s="78"/>
      <c r="Y14" s="78">
        <f>1270.5+23+726+132</f>
        <v>2151.5</v>
      </c>
      <c r="Z14" s="49">
        <f t="shared" si="0"/>
        <v>2578</v>
      </c>
      <c r="AA14" s="50">
        <f t="shared" si="2"/>
        <v>29345.5</v>
      </c>
      <c r="AB14" s="67"/>
      <c r="AC14" s="67"/>
      <c r="AD14" s="67"/>
      <c r="AE14" s="67"/>
      <c r="AF14" s="66"/>
      <c r="AG14" s="51">
        <f>SUM(AB14:AF14)</f>
        <v>0</v>
      </c>
      <c r="AH14" s="45">
        <f t="shared" si="3"/>
        <v>0</v>
      </c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</row>
    <row r="15" spans="1:69" s="38" customFormat="1" ht="20.100000000000001" customHeight="1">
      <c r="A15" s="71">
        <v>43719</v>
      </c>
      <c r="B15" s="78">
        <f>734+132+76</f>
        <v>942</v>
      </c>
      <c r="C15" s="78">
        <v>7</v>
      </c>
      <c r="D15" s="78"/>
      <c r="E15" s="78"/>
      <c r="F15" s="78"/>
      <c r="G15" s="78">
        <v>29</v>
      </c>
      <c r="H15" s="78">
        <v>63</v>
      </c>
      <c r="I15" s="78"/>
      <c r="J15" s="78"/>
      <c r="K15" s="78"/>
      <c r="L15" s="78">
        <v>3</v>
      </c>
      <c r="M15" s="78"/>
      <c r="N15" s="78">
        <v>24</v>
      </c>
      <c r="O15" s="78">
        <v>294</v>
      </c>
      <c r="P15" s="78"/>
      <c r="Q15" s="78">
        <f>276+206</f>
        <v>482</v>
      </c>
      <c r="R15" s="78">
        <v>72</v>
      </c>
      <c r="S15" s="78">
        <v>72</v>
      </c>
      <c r="T15" s="78">
        <f>349+5+57+58</f>
        <v>469</v>
      </c>
      <c r="U15" s="78">
        <v>50</v>
      </c>
      <c r="V15" s="78">
        <f>61+23+45</f>
        <v>129</v>
      </c>
      <c r="W15" s="78">
        <v>32</v>
      </c>
      <c r="X15" s="78"/>
      <c r="Y15" s="78">
        <f>506+902+1155</f>
        <v>2563</v>
      </c>
      <c r="Z15" s="49">
        <f t="shared" si="0"/>
        <v>2668</v>
      </c>
      <c r="AA15" s="50">
        <f t="shared" si="2"/>
        <v>33431</v>
      </c>
      <c r="AB15" s="67"/>
      <c r="AD15" s="67"/>
      <c r="AE15" s="67"/>
      <c r="AF15" s="66"/>
      <c r="AG15" s="51">
        <f t="shared" si="1"/>
        <v>0</v>
      </c>
      <c r="AH15" s="45">
        <f t="shared" si="3"/>
        <v>0</v>
      </c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</row>
    <row r="16" spans="1:69" s="38" customFormat="1" ht="20.100000000000001" customHeight="1">
      <c r="A16" s="71">
        <v>43720</v>
      </c>
      <c r="B16" s="78">
        <f>845+326</f>
        <v>1171</v>
      </c>
      <c r="C16" s="78">
        <v>15</v>
      </c>
      <c r="D16" s="78"/>
      <c r="E16" s="78"/>
      <c r="F16" s="78"/>
      <c r="G16" s="78">
        <v>32</v>
      </c>
      <c r="H16" s="78">
        <v>45</v>
      </c>
      <c r="I16" s="78"/>
      <c r="J16" s="78"/>
      <c r="K16" s="78"/>
      <c r="L16" s="78">
        <v>2</v>
      </c>
      <c r="M16" s="78"/>
      <c r="N16" s="78">
        <v>26</v>
      </c>
      <c r="O16" s="78">
        <v>173</v>
      </c>
      <c r="P16" s="78"/>
      <c r="Q16" s="78">
        <v>356</v>
      </c>
      <c r="R16" s="78">
        <v>117</v>
      </c>
      <c r="S16" s="78">
        <v>67</v>
      </c>
      <c r="T16" s="78">
        <v>458</v>
      </c>
      <c r="U16" s="78">
        <v>23</v>
      </c>
      <c r="V16" s="78">
        <v>35</v>
      </c>
      <c r="W16" s="78">
        <v>14</v>
      </c>
      <c r="X16" s="78"/>
      <c r="Y16" s="78">
        <f>3534+290</f>
        <v>3824</v>
      </c>
      <c r="Z16" s="49">
        <f t="shared" si="0"/>
        <v>2534</v>
      </c>
      <c r="AA16" s="50">
        <f t="shared" si="2"/>
        <v>27737</v>
      </c>
      <c r="AB16" s="67"/>
      <c r="AC16" s="67"/>
      <c r="AD16" s="69"/>
      <c r="AE16" s="67"/>
      <c r="AF16" s="66"/>
      <c r="AG16" s="51">
        <f t="shared" si="1"/>
        <v>0</v>
      </c>
      <c r="AH16" s="45">
        <f t="shared" si="3"/>
        <v>0</v>
      </c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</row>
    <row r="17" spans="1:67" s="38" customFormat="1" ht="20.100000000000001" customHeight="1">
      <c r="A17" s="71">
        <v>43721</v>
      </c>
      <c r="B17" s="78">
        <f>116+35+222</f>
        <v>373</v>
      </c>
      <c r="C17" s="78">
        <v>3</v>
      </c>
      <c r="D17" s="78"/>
      <c r="E17" s="78"/>
      <c r="F17" s="78"/>
      <c r="G17" s="78">
        <v>16</v>
      </c>
      <c r="H17" s="78">
        <v>36</v>
      </c>
      <c r="I17" s="78"/>
      <c r="J17" s="78"/>
      <c r="K17" s="78"/>
      <c r="L17" s="78"/>
      <c r="M17" s="78"/>
      <c r="N17" s="78"/>
      <c r="O17" s="78"/>
      <c r="P17" s="78"/>
      <c r="Q17" s="78">
        <v>43</v>
      </c>
      <c r="R17" s="78">
        <v>8</v>
      </c>
      <c r="S17" s="78">
        <v>6</v>
      </c>
      <c r="T17" s="78">
        <f>24+7+14</f>
        <v>45</v>
      </c>
      <c r="U17" s="78">
        <v>17</v>
      </c>
      <c r="V17" s="78">
        <v>52</v>
      </c>
      <c r="W17" s="78">
        <v>11</v>
      </c>
      <c r="X17" s="78"/>
      <c r="Y17" s="78">
        <f>66+572+286</f>
        <v>924</v>
      </c>
      <c r="Z17" s="49">
        <f t="shared" si="0"/>
        <v>610</v>
      </c>
      <c r="AA17" s="50">
        <f t="shared" si="2"/>
        <v>5690</v>
      </c>
      <c r="AB17" s="67"/>
      <c r="AC17" s="67"/>
      <c r="AD17" s="67"/>
      <c r="AE17" s="67"/>
      <c r="AF17" s="66"/>
      <c r="AG17" s="51">
        <f t="shared" si="1"/>
        <v>0</v>
      </c>
      <c r="AH17" s="45">
        <f t="shared" si="3"/>
        <v>0</v>
      </c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</row>
    <row r="18" spans="1:67" s="38" customFormat="1" ht="20.100000000000001" customHeight="1">
      <c r="A18" s="71">
        <v>43722</v>
      </c>
      <c r="B18" s="78">
        <f>457+96+191</f>
        <v>744</v>
      </c>
      <c r="C18" s="78">
        <v>11</v>
      </c>
      <c r="D18" s="78"/>
      <c r="E18" s="78"/>
      <c r="F18" s="78"/>
      <c r="G18" s="78">
        <v>19</v>
      </c>
      <c r="H18" s="78">
        <v>49</v>
      </c>
      <c r="I18" s="78"/>
      <c r="J18" s="78"/>
      <c r="K18" s="78"/>
      <c r="L18" s="78">
        <v>4</v>
      </c>
      <c r="M18" s="78"/>
      <c r="N18" s="78"/>
      <c r="O18" s="78">
        <v>117</v>
      </c>
      <c r="P18" s="78"/>
      <c r="Q18" s="78">
        <v>100</v>
      </c>
      <c r="R18" s="78">
        <v>82</v>
      </c>
      <c r="S18" s="78">
        <v>6</v>
      </c>
      <c r="T18" s="78">
        <v>77</v>
      </c>
      <c r="U18" s="78">
        <v>9</v>
      </c>
      <c r="V18" s="78">
        <v>25</v>
      </c>
      <c r="W18" s="78">
        <v>13</v>
      </c>
      <c r="X18" s="78"/>
      <c r="Y18" s="78">
        <f>363+1122+352</f>
        <v>1837</v>
      </c>
      <c r="Z18" s="49">
        <f t="shared" si="0"/>
        <v>1256</v>
      </c>
      <c r="AA18" s="50">
        <f t="shared" si="2"/>
        <v>10438</v>
      </c>
      <c r="AB18" s="67"/>
      <c r="AC18" s="67"/>
      <c r="AD18" s="67"/>
      <c r="AE18" s="67"/>
      <c r="AF18" s="66"/>
      <c r="AG18" s="51">
        <f t="shared" si="1"/>
        <v>0</v>
      </c>
      <c r="AH18" s="45">
        <f t="shared" si="3"/>
        <v>0</v>
      </c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</row>
    <row r="19" spans="1:67" s="38" customFormat="1" ht="20.100000000000001" customHeight="1">
      <c r="A19" s="71">
        <v>43723</v>
      </c>
      <c r="B19" s="78">
        <f>440+37+40</f>
        <v>517</v>
      </c>
      <c r="C19" s="78">
        <v>10</v>
      </c>
      <c r="D19" s="78"/>
      <c r="E19" s="78"/>
      <c r="F19" s="78"/>
      <c r="G19" s="78">
        <v>143</v>
      </c>
      <c r="H19" s="78">
        <v>61</v>
      </c>
      <c r="I19" s="78"/>
      <c r="J19" s="78"/>
      <c r="K19" s="78"/>
      <c r="L19" s="78">
        <v>2</v>
      </c>
      <c r="M19" s="78"/>
      <c r="N19" s="78"/>
      <c r="O19" s="78">
        <f>69+52</f>
        <v>121</v>
      </c>
      <c r="P19" s="78"/>
      <c r="Q19" s="78">
        <v>235</v>
      </c>
      <c r="R19" s="78">
        <f>37+25</f>
        <v>62</v>
      </c>
      <c r="S19" s="78">
        <v>6</v>
      </c>
      <c r="T19" s="78">
        <f>40+9+6</f>
        <v>55</v>
      </c>
      <c r="U19" s="78">
        <v>6</v>
      </c>
      <c r="V19" s="78">
        <v>21</v>
      </c>
      <c r="W19" s="78">
        <v>18</v>
      </c>
      <c r="X19" s="78"/>
      <c r="Y19" s="78">
        <f>264+616+264+264+23+132+66</f>
        <v>1629</v>
      </c>
      <c r="Z19" s="49">
        <f t="shared" si="0"/>
        <v>1257</v>
      </c>
      <c r="AA19" s="50">
        <f t="shared" si="2"/>
        <v>11690</v>
      </c>
      <c r="AB19" s="67"/>
      <c r="AC19" s="69"/>
      <c r="AD19" s="67"/>
      <c r="AE19" s="69"/>
      <c r="AF19" s="66"/>
      <c r="AG19" s="51">
        <f t="shared" si="1"/>
        <v>0</v>
      </c>
      <c r="AH19" s="45">
        <f t="shared" si="3"/>
        <v>0</v>
      </c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</row>
    <row r="20" spans="1:67" s="38" customFormat="1" ht="20.100000000000001" customHeight="1">
      <c r="A20" s="71">
        <v>43724</v>
      </c>
      <c r="B20" s="78">
        <f>112+652+124+88</f>
        <v>976</v>
      </c>
      <c r="C20" s="78">
        <v>16</v>
      </c>
      <c r="D20" s="78"/>
      <c r="E20" s="78"/>
      <c r="F20" s="78"/>
      <c r="G20" s="78">
        <f>16+31</f>
        <v>47</v>
      </c>
      <c r="H20" s="78">
        <f>21+6+48</f>
        <v>75</v>
      </c>
      <c r="I20" s="78"/>
      <c r="J20" s="78"/>
      <c r="K20" s="78"/>
      <c r="L20" s="78">
        <v>2</v>
      </c>
      <c r="M20" s="78"/>
      <c r="N20" s="78">
        <v>30</v>
      </c>
      <c r="O20" s="78">
        <f>119+180</f>
        <v>299</v>
      </c>
      <c r="P20" s="78"/>
      <c r="Q20" s="78">
        <f>192+61+28</f>
        <v>281</v>
      </c>
      <c r="R20" s="78">
        <f>46+78</f>
        <v>124</v>
      </c>
      <c r="S20" s="78">
        <v>64</v>
      </c>
      <c r="T20" s="78">
        <f>80+30+242+26+8+26</f>
        <v>412</v>
      </c>
      <c r="U20" s="78">
        <v>23</v>
      </c>
      <c r="V20" s="78">
        <f>12+39</f>
        <v>51</v>
      </c>
      <c r="W20" s="78">
        <v>11</v>
      </c>
      <c r="X20" s="78"/>
      <c r="Y20" s="78">
        <f>110+44+247.5+308+528+1056+63</f>
        <v>2356.5</v>
      </c>
      <c r="Z20" s="49">
        <f t="shared" si="0"/>
        <v>2411</v>
      </c>
      <c r="AA20" s="50">
        <f t="shared" si="2"/>
        <v>26352.5</v>
      </c>
      <c r="AB20" s="67"/>
      <c r="AC20" s="67"/>
      <c r="AD20" s="67"/>
      <c r="AE20" s="67"/>
      <c r="AF20" s="68"/>
      <c r="AG20" s="51">
        <f t="shared" si="1"/>
        <v>0</v>
      </c>
      <c r="AH20" s="45">
        <f t="shared" si="3"/>
        <v>0</v>
      </c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</row>
    <row r="21" spans="1:67" s="70" customFormat="1" ht="20.100000000000001" customHeight="1">
      <c r="A21" s="71">
        <v>43725</v>
      </c>
      <c r="B21" s="78">
        <f>459+284+134</f>
        <v>877</v>
      </c>
      <c r="C21" s="78">
        <v>10</v>
      </c>
      <c r="D21" s="78"/>
      <c r="E21" s="78"/>
      <c r="F21" s="78"/>
      <c r="G21" s="78">
        <v>51</v>
      </c>
      <c r="H21" s="78">
        <v>69</v>
      </c>
      <c r="I21" s="78"/>
      <c r="J21" s="78"/>
      <c r="K21" s="78"/>
      <c r="L21" s="78">
        <v>2</v>
      </c>
      <c r="M21" s="78"/>
      <c r="N21" s="78">
        <v>30</v>
      </c>
      <c r="O21" s="78">
        <v>288</v>
      </c>
      <c r="P21" s="78"/>
      <c r="Q21" s="78">
        <f>34+242</f>
        <v>276</v>
      </c>
      <c r="R21" s="78">
        <v>122</v>
      </c>
      <c r="S21" s="78">
        <v>67</v>
      </c>
      <c r="T21" s="78">
        <f>312+4+104+87</f>
        <v>507</v>
      </c>
      <c r="U21" s="78">
        <v>27</v>
      </c>
      <c r="V21" s="78">
        <f>32+25</f>
        <v>57</v>
      </c>
      <c r="W21" s="78">
        <v>29</v>
      </c>
      <c r="X21" s="78"/>
      <c r="Y21" s="78">
        <f>638+1694+1204.5</f>
        <v>3536.5</v>
      </c>
      <c r="Z21" s="49">
        <f t="shared" si="0"/>
        <v>2412</v>
      </c>
      <c r="AA21" s="50">
        <f t="shared" si="2"/>
        <v>30015.5</v>
      </c>
      <c r="AB21" s="69"/>
      <c r="AC21" s="69"/>
      <c r="AD21" s="69"/>
      <c r="AE21" s="69"/>
      <c r="AF21" s="68"/>
      <c r="AG21" s="51">
        <f t="shared" si="1"/>
        <v>0</v>
      </c>
      <c r="AH21" s="45">
        <f t="shared" si="3"/>
        <v>0</v>
      </c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</row>
    <row r="22" spans="1:67" s="38" customFormat="1" ht="20.100000000000001" customHeight="1">
      <c r="A22" s="71">
        <v>43726</v>
      </c>
      <c r="B22" s="78">
        <f>415+212+126+78+38+2</f>
        <v>871</v>
      </c>
      <c r="C22" s="78">
        <v>18</v>
      </c>
      <c r="D22" s="78"/>
      <c r="E22" s="78"/>
      <c r="F22" s="78"/>
      <c r="G22" s="78">
        <v>46</v>
      </c>
      <c r="H22" s="78">
        <v>73</v>
      </c>
      <c r="I22" s="78"/>
      <c r="J22" s="78"/>
      <c r="K22" s="78"/>
      <c r="L22" s="78">
        <v>8</v>
      </c>
      <c r="M22" s="78"/>
      <c r="N22" s="78">
        <v>27</v>
      </c>
      <c r="O22" s="78">
        <f>171+116</f>
        <v>287</v>
      </c>
      <c r="P22" s="78"/>
      <c r="Q22" s="78">
        <f>227+67+9</f>
        <v>303</v>
      </c>
      <c r="R22" s="78">
        <f>77+52</f>
        <v>129</v>
      </c>
      <c r="S22" s="78">
        <v>58</v>
      </c>
      <c r="T22" s="78">
        <f>341+86</f>
        <v>427</v>
      </c>
      <c r="U22" s="78">
        <f>83+31</f>
        <v>114</v>
      </c>
      <c r="V22" s="78">
        <f>192+22</f>
        <v>214</v>
      </c>
      <c r="W22" s="78">
        <v>15</v>
      </c>
      <c r="X22" s="78">
        <v>10</v>
      </c>
      <c r="Y22" s="78">
        <f>9+1650+374+924+27+44+330+247.5+22+81</f>
        <v>3708.5</v>
      </c>
      <c r="Z22" s="49">
        <f t="shared" si="0"/>
        <v>2600</v>
      </c>
      <c r="AA22" s="50">
        <f t="shared" si="2"/>
        <v>35870.5</v>
      </c>
      <c r="AB22" s="67"/>
      <c r="AC22" s="67"/>
      <c r="AD22" s="67"/>
      <c r="AE22" s="67"/>
      <c r="AF22" s="66"/>
      <c r="AG22" s="51">
        <f t="shared" si="1"/>
        <v>0</v>
      </c>
      <c r="AH22" s="45">
        <f t="shared" si="3"/>
        <v>0</v>
      </c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</row>
    <row r="23" spans="1:67" s="38" customFormat="1" ht="20.100000000000001" customHeight="1">
      <c r="A23" s="71">
        <v>43727</v>
      </c>
      <c r="B23" s="78">
        <f>620+152+132+154+1</f>
        <v>1059</v>
      </c>
      <c r="C23" s="78">
        <v>4</v>
      </c>
      <c r="D23" s="78"/>
      <c r="E23" s="78"/>
      <c r="F23" s="78"/>
      <c r="G23" s="78">
        <v>48</v>
      </c>
      <c r="H23" s="78">
        <f>68+14</f>
        <v>82</v>
      </c>
      <c r="I23" s="78"/>
      <c r="J23" s="78"/>
      <c r="K23" s="78"/>
      <c r="L23" s="78">
        <v>2</v>
      </c>
      <c r="M23" s="78"/>
      <c r="N23" s="78">
        <v>33</v>
      </c>
      <c r="O23" s="78">
        <f>178+117</f>
        <v>295</v>
      </c>
      <c r="P23" s="78"/>
      <c r="Q23" s="78">
        <f>257+66+4</f>
        <v>327</v>
      </c>
      <c r="R23" s="78">
        <f>77+50</f>
        <v>127</v>
      </c>
      <c r="S23" s="78">
        <f>71+25</f>
        <v>96</v>
      </c>
      <c r="T23" s="78">
        <f>321+104</f>
        <v>425</v>
      </c>
      <c r="U23" s="78">
        <v>15</v>
      </c>
      <c r="V23" s="78">
        <f>182+34</f>
        <v>216</v>
      </c>
      <c r="W23" s="78">
        <v>22</v>
      </c>
      <c r="X23" s="78"/>
      <c r="Y23" s="78">
        <f>940.5+1188+330+66+286+247.5+32</f>
        <v>3090</v>
      </c>
      <c r="Z23" s="49">
        <f t="shared" si="0"/>
        <v>2751</v>
      </c>
      <c r="AA23" s="50">
        <f t="shared" si="2"/>
        <v>33879</v>
      </c>
      <c r="AB23" s="67"/>
      <c r="AC23" s="67"/>
      <c r="AD23" s="67"/>
      <c r="AE23" s="67"/>
      <c r="AF23" s="66"/>
      <c r="AG23" s="51">
        <f t="shared" si="1"/>
        <v>0</v>
      </c>
      <c r="AH23" s="45">
        <f t="shared" si="3"/>
        <v>0</v>
      </c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</row>
    <row r="24" spans="1:67" s="38" customFormat="1" ht="20.100000000000001" customHeight="1">
      <c r="A24" s="71">
        <v>43728</v>
      </c>
      <c r="B24" s="78">
        <f>364+146+74+130</f>
        <v>714</v>
      </c>
      <c r="C24" s="78">
        <v>10</v>
      </c>
      <c r="D24" s="78"/>
      <c r="E24" s="78"/>
      <c r="F24" s="78"/>
      <c r="G24" s="78">
        <v>45</v>
      </c>
      <c r="H24" s="78">
        <v>70</v>
      </c>
      <c r="I24" s="78"/>
      <c r="J24" s="78"/>
      <c r="K24" s="78"/>
      <c r="L24" s="78">
        <v>2</v>
      </c>
      <c r="M24" s="78"/>
      <c r="N24" s="78">
        <v>34</v>
      </c>
      <c r="O24" s="78">
        <f>178+109</f>
        <v>287</v>
      </c>
      <c r="P24" s="78"/>
      <c r="Q24" s="78">
        <f>258+57+5</f>
        <v>320</v>
      </c>
      <c r="R24" s="78">
        <f>77+27+22</f>
        <v>126</v>
      </c>
      <c r="S24" s="78">
        <f>57+4</f>
        <v>61</v>
      </c>
      <c r="T24" s="78">
        <f>412+65+5+13</f>
        <v>495</v>
      </c>
      <c r="U24" s="78">
        <v>42</v>
      </c>
      <c r="V24" s="78">
        <f>210+38</f>
        <v>248</v>
      </c>
      <c r="W24" s="78">
        <v>39</v>
      </c>
      <c r="X24" s="78"/>
      <c r="Y24" s="78">
        <f>990+200+1012+594+22+330+247.5</f>
        <v>3395.5</v>
      </c>
      <c r="Z24" s="49">
        <f t="shared" si="0"/>
        <v>2493</v>
      </c>
      <c r="AA24" s="50">
        <f t="shared" si="2"/>
        <v>36568.5</v>
      </c>
      <c r="AB24" s="67"/>
      <c r="AC24" s="67"/>
      <c r="AD24" s="67"/>
      <c r="AE24" s="67"/>
      <c r="AF24" s="66"/>
      <c r="AG24" s="51">
        <f t="shared" si="1"/>
        <v>0</v>
      </c>
      <c r="AH24" s="45">
        <f t="shared" si="3"/>
        <v>0</v>
      </c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</row>
    <row r="25" spans="1:67" s="38" customFormat="1" ht="20.100000000000001" customHeight="1">
      <c r="A25" s="71">
        <v>43729</v>
      </c>
      <c r="B25" s="78">
        <f>155+110+56</f>
        <v>321</v>
      </c>
      <c r="C25" s="78">
        <v>12</v>
      </c>
      <c r="D25" s="78"/>
      <c r="E25" s="78"/>
      <c r="F25" s="78"/>
      <c r="G25" s="78">
        <f>153+16</f>
        <v>169</v>
      </c>
      <c r="H25" s="78">
        <v>43</v>
      </c>
      <c r="I25" s="78"/>
      <c r="J25" s="78"/>
      <c r="K25" s="78"/>
      <c r="L25" s="78">
        <v>7</v>
      </c>
      <c r="M25" s="78"/>
      <c r="N25" s="78">
        <v>8</v>
      </c>
      <c r="O25" s="78">
        <v>198</v>
      </c>
      <c r="P25" s="78"/>
      <c r="Q25" s="78">
        <f>95+64</f>
        <v>159</v>
      </c>
      <c r="R25" s="78">
        <v>85</v>
      </c>
      <c r="S25" s="78">
        <v>8</v>
      </c>
      <c r="T25" s="78">
        <f>146+35+32</f>
        <v>213</v>
      </c>
      <c r="U25" s="78">
        <v>17</v>
      </c>
      <c r="V25" s="78">
        <f>119+53+79</f>
        <v>251</v>
      </c>
      <c r="W25" s="78">
        <v>15</v>
      </c>
      <c r="X25" s="78"/>
      <c r="Y25" s="78">
        <f>640+495+330+902+3080</f>
        <v>5447</v>
      </c>
      <c r="Z25" s="49">
        <f t="shared" si="0"/>
        <v>1506</v>
      </c>
      <c r="AA25" s="50">
        <f t="shared" si="2"/>
        <v>25968</v>
      </c>
      <c r="AB25" s="67"/>
      <c r="AC25" s="67"/>
      <c r="AD25" s="67"/>
      <c r="AE25" s="67"/>
      <c r="AF25" s="66"/>
      <c r="AG25" s="51">
        <f t="shared" si="1"/>
        <v>0</v>
      </c>
      <c r="AH25" s="45">
        <f t="shared" si="3"/>
        <v>0</v>
      </c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</row>
    <row r="26" spans="1:67" s="38" customFormat="1" ht="20.100000000000001" customHeight="1">
      <c r="A26" s="71">
        <v>43730</v>
      </c>
      <c r="B26" s="78">
        <f>323+54</f>
        <v>377</v>
      </c>
      <c r="C26" s="78">
        <v>3</v>
      </c>
      <c r="D26" s="78"/>
      <c r="E26" s="78"/>
      <c r="F26" s="78"/>
      <c r="G26" s="78">
        <v>38</v>
      </c>
      <c r="H26" s="78">
        <v>35</v>
      </c>
      <c r="I26" s="78"/>
      <c r="J26" s="78"/>
      <c r="K26" s="78"/>
      <c r="L26" s="78"/>
      <c r="M26" s="78"/>
      <c r="N26" s="78">
        <v>8</v>
      </c>
      <c r="O26" s="78">
        <v>158</v>
      </c>
      <c r="P26" s="78"/>
      <c r="Q26" s="78">
        <f>89+54</f>
        <v>143</v>
      </c>
      <c r="R26" s="78">
        <v>94</v>
      </c>
      <c r="S26" s="78">
        <v>6</v>
      </c>
      <c r="T26" s="78">
        <f>24+38+1+29</f>
        <v>92</v>
      </c>
      <c r="U26" s="78">
        <v>100</v>
      </c>
      <c r="V26" s="78">
        <f>104+51+66</f>
        <v>221</v>
      </c>
      <c r="W26" s="78">
        <v>12</v>
      </c>
      <c r="X26" s="78"/>
      <c r="Y26" s="78">
        <f>412.5+2000+1760+342+210</f>
        <v>4724.5</v>
      </c>
      <c r="Z26" s="49">
        <f t="shared" si="0"/>
        <v>1287</v>
      </c>
      <c r="AA26" s="50">
        <f t="shared" si="2"/>
        <v>22787.5</v>
      </c>
      <c r="AB26" s="36"/>
      <c r="AC26" s="36"/>
      <c r="AD26" s="36"/>
      <c r="AE26" s="36"/>
      <c r="AF26" s="35"/>
      <c r="AG26" s="51">
        <f t="shared" si="1"/>
        <v>0</v>
      </c>
      <c r="AH26" s="45">
        <f t="shared" si="3"/>
        <v>0</v>
      </c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</row>
    <row r="27" spans="1:67" s="38" customFormat="1" ht="20.100000000000001" customHeight="1">
      <c r="A27" s="71">
        <v>43731</v>
      </c>
      <c r="B27" s="78">
        <f>434+80+34+38+24+32+14</f>
        <v>656</v>
      </c>
      <c r="C27" s="78">
        <v>21</v>
      </c>
      <c r="D27" s="78"/>
      <c r="E27" s="78"/>
      <c r="F27" s="78"/>
      <c r="G27" s="78">
        <f>49+9</f>
        <v>58</v>
      </c>
      <c r="H27" s="78">
        <v>74</v>
      </c>
      <c r="I27" s="78"/>
      <c r="J27" s="78"/>
      <c r="K27" s="78"/>
      <c r="L27" s="78">
        <v>5</v>
      </c>
      <c r="M27" s="78"/>
      <c r="N27" s="78">
        <v>35</v>
      </c>
      <c r="O27" s="78">
        <f>169+117</f>
        <v>286</v>
      </c>
      <c r="P27" s="78"/>
      <c r="Q27" s="78">
        <f>228+63+12</f>
        <v>303</v>
      </c>
      <c r="R27" s="78">
        <f>82+49</f>
        <v>131</v>
      </c>
      <c r="S27" s="78">
        <v>64</v>
      </c>
      <c r="T27" s="78">
        <f>313+108+1+9</f>
        <v>431</v>
      </c>
      <c r="U27" s="78">
        <v>52</v>
      </c>
      <c r="V27" s="78">
        <f>57+17+28</f>
        <v>102</v>
      </c>
      <c r="W27" s="78">
        <v>31</v>
      </c>
      <c r="X27" s="78"/>
      <c r="Y27" s="78">
        <f>990+528+291+132+132+198+247.5+570+70+374</f>
        <v>3532.5</v>
      </c>
      <c r="Z27" s="49">
        <f t="shared" si="0"/>
        <v>2249</v>
      </c>
      <c r="AA27" s="50">
        <f t="shared" si="2"/>
        <v>30951.5</v>
      </c>
      <c r="AB27" s="36"/>
      <c r="AC27" s="36"/>
      <c r="AD27" s="36"/>
      <c r="AE27" s="36"/>
      <c r="AF27" s="35"/>
      <c r="AG27" s="51">
        <f t="shared" si="1"/>
        <v>0</v>
      </c>
      <c r="AH27" s="45">
        <f t="shared" si="3"/>
        <v>0</v>
      </c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</row>
    <row r="28" spans="1:67" s="70" customFormat="1" ht="20.100000000000001" customHeight="1">
      <c r="A28" s="71">
        <v>43732</v>
      </c>
      <c r="B28" s="78">
        <f>315+1+158+80+28+31+52+4</f>
        <v>669</v>
      </c>
      <c r="C28" s="78">
        <v>65</v>
      </c>
      <c r="D28" s="78"/>
      <c r="E28" s="78"/>
      <c r="F28" s="78"/>
      <c r="G28" s="78">
        <v>42</v>
      </c>
      <c r="H28" s="78">
        <v>47</v>
      </c>
      <c r="I28" s="78"/>
      <c r="J28" s="78"/>
      <c r="K28" s="78"/>
      <c r="L28" s="78">
        <v>3</v>
      </c>
      <c r="M28" s="78"/>
      <c r="N28" s="78">
        <v>32</v>
      </c>
      <c r="O28" s="78">
        <f>170+115</f>
        <v>285</v>
      </c>
      <c r="P28" s="78"/>
      <c r="Q28" s="78">
        <v>366</v>
      </c>
      <c r="R28" s="78">
        <v>139</v>
      </c>
      <c r="S28" s="78">
        <v>62</v>
      </c>
      <c r="T28" s="78">
        <f>256+2+56+52+94</f>
        <v>460</v>
      </c>
      <c r="U28" s="78">
        <v>29</v>
      </c>
      <c r="V28" s="78">
        <v>59</v>
      </c>
      <c r="W28" s="78">
        <v>62</v>
      </c>
      <c r="X28" s="78">
        <v>2</v>
      </c>
      <c r="Y28" s="78">
        <f>2660+907.5+814+110+308+44+22+374+264</f>
        <v>5503.5</v>
      </c>
      <c r="Z28" s="49">
        <f t="shared" si="0"/>
        <v>2322</v>
      </c>
      <c r="AA28" s="50">
        <f t="shared" si="2"/>
        <v>33716.5</v>
      </c>
      <c r="AB28" s="69"/>
      <c r="AC28" s="69"/>
      <c r="AD28" s="69"/>
      <c r="AE28" s="69"/>
      <c r="AF28" s="77"/>
      <c r="AG28" s="51"/>
      <c r="AH28" s="45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</row>
    <row r="29" spans="1:67" s="38" customFormat="1" ht="20.100000000000001" customHeight="1">
      <c r="A29" s="71">
        <v>43733</v>
      </c>
      <c r="B29" s="78">
        <f>429+186+28+76+38+32</f>
        <v>789</v>
      </c>
      <c r="C29" s="78">
        <v>38</v>
      </c>
      <c r="D29" s="78"/>
      <c r="E29" s="78"/>
      <c r="F29" s="78"/>
      <c r="G29" s="78">
        <v>38</v>
      </c>
      <c r="H29" s="78">
        <f>45+13</f>
        <v>58</v>
      </c>
      <c r="I29" s="78"/>
      <c r="J29" s="78"/>
      <c r="K29" s="78"/>
      <c r="L29" s="78">
        <v>4</v>
      </c>
      <c r="M29" s="78"/>
      <c r="N29" s="78">
        <v>30</v>
      </c>
      <c r="O29" s="78">
        <f>174+104</f>
        <v>278</v>
      </c>
      <c r="P29" s="78"/>
      <c r="Q29" s="78">
        <f>224+78</f>
        <v>302</v>
      </c>
      <c r="R29" s="78">
        <f>74+57</f>
        <v>131</v>
      </c>
      <c r="S29" s="78">
        <v>57</v>
      </c>
      <c r="T29" s="78">
        <f>275+93+1+17</f>
        <v>386</v>
      </c>
      <c r="U29" s="78">
        <v>71</v>
      </c>
      <c r="V29" s="78">
        <f>57+29</f>
        <v>86</v>
      </c>
      <c r="W29" s="78">
        <v>25</v>
      </c>
      <c r="X29" s="78"/>
      <c r="Y29" s="78">
        <f>907.5+1615+1408+308+418+128+14+66+46+855+247.5+343+53</f>
        <v>6409</v>
      </c>
      <c r="Z29" s="49">
        <f t="shared" si="0"/>
        <v>2293</v>
      </c>
      <c r="AA29" s="50">
        <f t="shared" si="2"/>
        <v>32425</v>
      </c>
      <c r="AB29" s="36"/>
      <c r="AC29" s="36"/>
      <c r="AD29" s="36"/>
      <c r="AE29" s="36"/>
      <c r="AF29" s="77"/>
      <c r="AG29" s="51">
        <f t="shared" si="1"/>
        <v>0</v>
      </c>
      <c r="AH29" s="45">
        <f t="shared" si="3"/>
        <v>0</v>
      </c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</row>
    <row r="30" spans="1:67" s="70" customFormat="1" ht="20.100000000000001" customHeight="1">
      <c r="A30" s="71">
        <v>43734</v>
      </c>
      <c r="B30" s="78">
        <f>292+106+44+26</f>
        <v>468</v>
      </c>
      <c r="C30" s="78">
        <v>9</v>
      </c>
      <c r="D30" s="78"/>
      <c r="E30" s="78"/>
      <c r="F30" s="78"/>
      <c r="G30" s="78">
        <v>53</v>
      </c>
      <c r="H30" s="78">
        <v>65</v>
      </c>
      <c r="I30" s="78"/>
      <c r="J30" s="78"/>
      <c r="K30" s="78"/>
      <c r="L30" s="78"/>
      <c r="M30" s="78"/>
      <c r="N30" s="78">
        <v>25</v>
      </c>
      <c r="O30" s="78">
        <f>164+110</f>
        <v>274</v>
      </c>
      <c r="P30" s="78"/>
      <c r="Q30" s="78">
        <f>208+79</f>
        <v>287</v>
      </c>
      <c r="R30" s="78">
        <v>80</v>
      </c>
      <c r="S30" s="78">
        <v>66</v>
      </c>
      <c r="T30" s="78">
        <f>356+72+18+3</f>
        <v>449</v>
      </c>
      <c r="U30" s="78">
        <v>101</v>
      </c>
      <c r="V30" s="78">
        <v>94</v>
      </c>
      <c r="W30" s="78">
        <v>48</v>
      </c>
      <c r="X30" s="78"/>
      <c r="Y30" s="78">
        <f>1235+891+682+110+770+855+484+247.5+22+727+1019</f>
        <v>7042.5</v>
      </c>
      <c r="Z30" s="49">
        <f t="shared" si="0"/>
        <v>2019</v>
      </c>
      <c r="AA30" s="50">
        <f t="shared" si="2"/>
        <v>34732.5</v>
      </c>
      <c r="AB30" s="69"/>
      <c r="AC30" s="69"/>
      <c r="AD30" s="69"/>
      <c r="AE30" s="69"/>
      <c r="AF30" s="77"/>
      <c r="AG30" s="51"/>
      <c r="AH30" s="45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</row>
    <row r="31" spans="1:67" s="70" customFormat="1" ht="20.100000000000001" customHeight="1">
      <c r="A31" s="71">
        <v>43735</v>
      </c>
      <c r="B31" s="78">
        <f>546+262+104+2</f>
        <v>914</v>
      </c>
      <c r="C31" s="78">
        <v>65</v>
      </c>
      <c r="D31" s="78"/>
      <c r="E31" s="78"/>
      <c r="F31" s="78"/>
      <c r="G31" s="78">
        <v>52</v>
      </c>
      <c r="H31" s="78">
        <v>63</v>
      </c>
      <c r="I31" s="78"/>
      <c r="J31" s="78"/>
      <c r="K31" s="78"/>
      <c r="L31" s="78">
        <v>4</v>
      </c>
      <c r="M31" s="78"/>
      <c r="N31" s="78">
        <v>26</v>
      </c>
      <c r="O31" s="78">
        <v>932</v>
      </c>
      <c r="P31" s="78"/>
      <c r="Q31" s="78">
        <f>225+150</f>
        <v>375</v>
      </c>
      <c r="R31" s="78">
        <v>132</v>
      </c>
      <c r="S31" s="78">
        <v>70</v>
      </c>
      <c r="T31" s="78">
        <f>452+40+45</f>
        <v>537</v>
      </c>
      <c r="U31" s="78">
        <v>84</v>
      </c>
      <c r="V31" s="78">
        <f>44+29+30</f>
        <v>103</v>
      </c>
      <c r="W31" s="78">
        <v>37</v>
      </c>
      <c r="X31" s="78"/>
      <c r="Y31" s="78">
        <f>2565+1138.8+1078+198+462+9</f>
        <v>5450.8</v>
      </c>
      <c r="Z31" s="49">
        <f t="shared" si="0"/>
        <v>3394</v>
      </c>
      <c r="AA31" s="50">
        <f t="shared" si="2"/>
        <v>45787.8</v>
      </c>
      <c r="AB31" s="69"/>
      <c r="AC31" s="69"/>
      <c r="AD31" s="69"/>
      <c r="AE31" s="69"/>
      <c r="AF31" s="77"/>
      <c r="AG31" s="51"/>
      <c r="AH31" s="45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</row>
    <row r="32" spans="1:67" s="70" customFormat="1" ht="20.100000000000001" customHeight="1">
      <c r="A32" s="71">
        <v>43736</v>
      </c>
      <c r="B32" s="78">
        <f>370+148+140</f>
        <v>658</v>
      </c>
      <c r="C32" s="78">
        <v>22</v>
      </c>
      <c r="D32" s="78"/>
      <c r="E32" s="78"/>
      <c r="F32" s="78"/>
      <c r="G32" s="78">
        <v>37</v>
      </c>
      <c r="H32" s="78">
        <v>51</v>
      </c>
      <c r="I32" s="78"/>
      <c r="J32" s="78"/>
      <c r="K32" s="78"/>
      <c r="L32" s="78">
        <v>2</v>
      </c>
      <c r="M32" s="78"/>
      <c r="N32" s="78"/>
      <c r="O32" s="78">
        <v>110</v>
      </c>
      <c r="P32" s="78"/>
      <c r="Q32" s="78">
        <v>167</v>
      </c>
      <c r="R32" s="78">
        <v>95</v>
      </c>
      <c r="S32" s="78">
        <v>43</v>
      </c>
      <c r="T32" s="78">
        <f>239+47+1+53+1</f>
        <v>341</v>
      </c>
      <c r="U32" s="78">
        <v>7</v>
      </c>
      <c r="V32" s="78">
        <f>73+48+55</f>
        <v>176</v>
      </c>
      <c r="W32" s="78">
        <v>20</v>
      </c>
      <c r="X32" s="78"/>
      <c r="Y32" s="78">
        <f>1122+1330+23+858+264+264</f>
        <v>3861</v>
      </c>
      <c r="Z32" s="49">
        <f t="shared" si="0"/>
        <v>1729</v>
      </c>
      <c r="AA32" s="50">
        <f t="shared" si="2"/>
        <v>24248</v>
      </c>
      <c r="AB32" s="69"/>
      <c r="AC32" s="69"/>
      <c r="AD32" s="69"/>
      <c r="AE32" s="69"/>
      <c r="AF32" s="77"/>
      <c r="AG32" s="51"/>
      <c r="AH32" s="45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</row>
    <row r="33" spans="1:69" s="70" customFormat="1" ht="20.100000000000001" customHeight="1">
      <c r="A33" s="71">
        <v>43737</v>
      </c>
      <c r="B33" s="78">
        <f>551+88+96+58+2+72</f>
        <v>867</v>
      </c>
      <c r="C33" s="78">
        <v>10</v>
      </c>
      <c r="D33" s="78"/>
      <c r="E33" s="78"/>
      <c r="F33" s="78"/>
      <c r="G33" s="78">
        <v>47</v>
      </c>
      <c r="H33" s="78">
        <v>63</v>
      </c>
      <c r="I33" s="78"/>
      <c r="J33" s="78"/>
      <c r="K33" s="78"/>
      <c r="L33" s="78">
        <v>2</v>
      </c>
      <c r="M33" s="78"/>
      <c r="N33" s="78">
        <v>28</v>
      </c>
      <c r="O33" s="78">
        <f>237+104</f>
        <v>341</v>
      </c>
      <c r="P33" s="78"/>
      <c r="Q33" s="78">
        <f>179+49</f>
        <v>228</v>
      </c>
      <c r="R33" s="78">
        <f>35+52</f>
        <v>87</v>
      </c>
      <c r="S33" s="78">
        <v>55</v>
      </c>
      <c r="T33" s="78">
        <v>448</v>
      </c>
      <c r="U33" s="78">
        <v>17</v>
      </c>
      <c r="V33" s="78">
        <v>41</v>
      </c>
      <c r="W33" s="78">
        <v>11</v>
      </c>
      <c r="X33" s="78"/>
      <c r="Y33" s="78">
        <f>363+570+880+176+594+129+1215</f>
        <v>3927</v>
      </c>
      <c r="Z33" s="49">
        <f t="shared" si="0"/>
        <v>2245</v>
      </c>
      <c r="AA33" s="50">
        <f t="shared" si="2"/>
        <v>26948</v>
      </c>
      <c r="AB33" s="69"/>
      <c r="AC33" s="69"/>
      <c r="AD33" s="69"/>
      <c r="AE33" s="69"/>
      <c r="AF33" s="77"/>
      <c r="AG33" s="51"/>
      <c r="AH33" s="45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</row>
    <row r="34" spans="1:69" s="70" customFormat="1" ht="20.100000000000001" customHeight="1">
      <c r="A34" s="71">
        <v>43738</v>
      </c>
      <c r="B34" s="78">
        <f>301+72+78+32</f>
        <v>483</v>
      </c>
      <c r="C34" s="78">
        <v>5</v>
      </c>
      <c r="D34" s="78"/>
      <c r="E34" s="78"/>
      <c r="F34" s="78"/>
      <c r="G34" s="78">
        <v>23</v>
      </c>
      <c r="H34" s="78">
        <f>32+11</f>
        <v>43</v>
      </c>
      <c r="I34" s="78"/>
      <c r="J34" s="78"/>
      <c r="K34" s="78"/>
      <c r="L34" s="78">
        <v>2</v>
      </c>
      <c r="M34" s="78"/>
      <c r="N34" s="78">
        <v>23</v>
      </c>
      <c r="O34" s="78">
        <f>152+37</f>
        <v>189</v>
      </c>
      <c r="P34" s="78"/>
      <c r="Q34" s="78">
        <f>155+37</f>
        <v>192</v>
      </c>
      <c r="R34" s="78">
        <f>69+62</f>
        <v>131</v>
      </c>
      <c r="S34" s="78">
        <v>46</v>
      </c>
      <c r="T34" s="78">
        <f>572+61+1+4</f>
        <v>638</v>
      </c>
      <c r="U34" s="78">
        <v>21</v>
      </c>
      <c r="V34" s="78">
        <v>200</v>
      </c>
      <c r="W34" s="78">
        <v>10</v>
      </c>
      <c r="X34" s="78"/>
      <c r="Y34" s="78">
        <f>1039.5+484+308+127+49.5+44+22</f>
        <v>2074</v>
      </c>
      <c r="Z34" s="49"/>
      <c r="AA34" s="50">
        <f t="shared" si="2"/>
        <v>31174</v>
      </c>
      <c r="AB34" s="69"/>
      <c r="AC34" s="69"/>
      <c r="AD34" s="69"/>
      <c r="AE34" s="69"/>
      <c r="AF34" s="77"/>
      <c r="AG34" s="51"/>
      <c r="AH34" s="45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</row>
    <row r="35" spans="1:69" s="38" customFormat="1" ht="20.100000000000001" customHeight="1">
      <c r="A35" s="71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49">
        <f t="shared" si="0"/>
        <v>0</v>
      </c>
      <c r="AA35" s="50">
        <f t="shared" si="2"/>
        <v>0</v>
      </c>
      <c r="AB35" s="36"/>
      <c r="AC35" s="36"/>
      <c r="AD35" s="36"/>
      <c r="AE35" s="36"/>
      <c r="AF35" s="35"/>
      <c r="AG35" s="51">
        <f t="shared" si="1"/>
        <v>0</v>
      </c>
      <c r="AH35" s="45">
        <f t="shared" si="3"/>
        <v>0</v>
      </c>
    </row>
    <row r="36" spans="1:69" s="37" customFormat="1" ht="29.25" customHeight="1">
      <c r="A36" s="43" t="s">
        <v>15</v>
      </c>
      <c r="B36" s="72">
        <f t="shared" ref="B36:Y36" si="4">SUM(B5:B35)</f>
        <v>23701</v>
      </c>
      <c r="C36" s="44">
        <f t="shared" si="4"/>
        <v>565</v>
      </c>
      <c r="D36" s="72">
        <f t="shared" si="4"/>
        <v>0</v>
      </c>
      <c r="E36" s="72">
        <f t="shared" si="4"/>
        <v>0</v>
      </c>
      <c r="F36" s="72">
        <f t="shared" si="4"/>
        <v>0</v>
      </c>
      <c r="G36" s="72">
        <f t="shared" si="4"/>
        <v>1485</v>
      </c>
      <c r="H36" s="72">
        <f t="shared" si="4"/>
        <v>1806</v>
      </c>
      <c r="I36" s="72">
        <f t="shared" si="4"/>
        <v>0</v>
      </c>
      <c r="J36" s="72">
        <f t="shared" si="4"/>
        <v>0</v>
      </c>
      <c r="K36" s="72">
        <f t="shared" si="4"/>
        <v>0</v>
      </c>
      <c r="L36" s="72">
        <f t="shared" si="4"/>
        <v>98</v>
      </c>
      <c r="M36" s="72">
        <f t="shared" si="4"/>
        <v>0</v>
      </c>
      <c r="N36" s="72">
        <f t="shared" si="4"/>
        <v>575</v>
      </c>
      <c r="O36" s="72">
        <f t="shared" si="4"/>
        <v>7405</v>
      </c>
      <c r="P36" s="72">
        <f t="shared" si="4"/>
        <v>0</v>
      </c>
      <c r="Q36" s="72">
        <f t="shared" si="4"/>
        <v>8271</v>
      </c>
      <c r="R36" s="72">
        <f t="shared" si="4"/>
        <v>2989</v>
      </c>
      <c r="S36" s="72">
        <f t="shared" si="4"/>
        <v>1524</v>
      </c>
      <c r="T36" s="72">
        <f t="shared" si="4"/>
        <v>11016</v>
      </c>
      <c r="U36" s="72">
        <f t="shared" si="4"/>
        <v>1106</v>
      </c>
      <c r="V36" s="72">
        <f t="shared" si="4"/>
        <v>3455</v>
      </c>
      <c r="W36" s="72">
        <f t="shared" si="4"/>
        <v>737</v>
      </c>
      <c r="X36" s="72">
        <f t="shared" si="4"/>
        <v>12</v>
      </c>
      <c r="Y36" s="72">
        <f t="shared" si="4"/>
        <v>133851.29999999999</v>
      </c>
      <c r="Z36" s="49">
        <f t="shared" si="0"/>
        <v>64745</v>
      </c>
      <c r="AA36" s="50">
        <f>B36*1+C36*2+G36*3+H36*5+F36*5+I36*6+J36*7+K36*8+L36*10+M36*11+N36*12+O36*13+P36*14+Q36*15+S36*18+T36*20+U36*25+V36*30+X36*50+D36*2+Y36+R36*17+W36*35+E36*3</f>
        <v>856637.3</v>
      </c>
      <c r="AB36" s="51">
        <f t="shared" ref="AB36:AG36" si="5">SUM(AB5:AB35)</f>
        <v>0</v>
      </c>
      <c r="AC36" s="51">
        <f t="shared" si="5"/>
        <v>0</v>
      </c>
      <c r="AD36" s="51">
        <f t="shared" si="5"/>
        <v>0</v>
      </c>
      <c r="AE36" s="51">
        <f t="shared" si="5"/>
        <v>0</v>
      </c>
      <c r="AF36" s="51">
        <f t="shared" si="5"/>
        <v>0</v>
      </c>
      <c r="AG36" s="51">
        <f t="shared" si="5"/>
        <v>0</v>
      </c>
      <c r="AH36" s="45">
        <f>AB36*10+AC36*15+AD36*20+AE36*30+AF36</f>
        <v>0</v>
      </c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</row>
    <row r="37" spans="1:69" s="37" customFormat="1" ht="18.75" customHeight="1">
      <c r="A37" s="45" t="s">
        <v>16</v>
      </c>
      <c r="B37" s="46">
        <f>B36/Z36</f>
        <v>0.36606687775117769</v>
      </c>
      <c r="C37" s="46">
        <f t="shared" ref="C37:Z37" si="6">C36/AA36</f>
        <v>6.5955568360144946E-4</v>
      </c>
      <c r="D37" s="46" t="e">
        <f t="shared" si="6"/>
        <v>#DIV/0!</v>
      </c>
      <c r="E37" s="46" t="e">
        <f t="shared" si="6"/>
        <v>#DIV/0!</v>
      </c>
      <c r="F37" s="46" t="e">
        <f t="shared" si="6"/>
        <v>#DIV/0!</v>
      </c>
      <c r="G37" s="46" t="e">
        <f t="shared" si="6"/>
        <v>#DIV/0!</v>
      </c>
      <c r="H37" s="46" t="e">
        <f t="shared" si="6"/>
        <v>#DIV/0!</v>
      </c>
      <c r="I37" s="46" t="e">
        <f t="shared" si="6"/>
        <v>#DIV/0!</v>
      </c>
      <c r="J37" s="46" t="e">
        <f t="shared" si="6"/>
        <v>#DIV/0!</v>
      </c>
      <c r="K37" s="46" t="e">
        <f t="shared" si="6"/>
        <v>#DIV/0!</v>
      </c>
      <c r="L37" s="46" t="e">
        <f t="shared" si="6"/>
        <v>#DIV/0!</v>
      </c>
      <c r="M37" s="46" t="e">
        <f t="shared" si="6"/>
        <v>#DIV/0!</v>
      </c>
      <c r="N37" s="46" t="e">
        <f t="shared" si="6"/>
        <v>#DIV/0!</v>
      </c>
      <c r="O37" s="46" t="e">
        <f t="shared" si="6"/>
        <v>#DIV/0!</v>
      </c>
      <c r="P37" s="46" t="e">
        <f t="shared" si="6"/>
        <v>#DIV/0!</v>
      </c>
      <c r="Q37" s="46" t="e">
        <f t="shared" si="6"/>
        <v>#DIV/0!</v>
      </c>
      <c r="R37" s="46" t="e">
        <f t="shared" si="6"/>
        <v>#DIV/0!</v>
      </c>
      <c r="S37" s="46" t="e">
        <f t="shared" si="6"/>
        <v>#DIV/0!</v>
      </c>
      <c r="T37" s="46" t="e">
        <f t="shared" si="6"/>
        <v>#DIV/0!</v>
      </c>
      <c r="U37" s="46" t="e">
        <f t="shared" si="6"/>
        <v>#DIV/0!</v>
      </c>
      <c r="V37" s="46" t="e">
        <f t="shared" si="6"/>
        <v>#DIV/0!</v>
      </c>
      <c r="W37" s="46" t="e">
        <f t="shared" si="6"/>
        <v>#DIV/0!</v>
      </c>
      <c r="X37" s="46" t="e">
        <f t="shared" si="6"/>
        <v>#DIV/0!</v>
      </c>
      <c r="Y37" s="46" t="e">
        <f t="shared" si="6"/>
        <v>#DIV/0!</v>
      </c>
      <c r="Z37" s="46" t="e">
        <f t="shared" si="6"/>
        <v>#DIV/0!</v>
      </c>
      <c r="AA37" s="50" t="e">
        <f t="shared" ref="AA37" si="7">B37*1+C37*2+G37*3+H37*5+F37*5+I37*6+J37*8+K37*9+L37*10+M37*11+N37*12+O37*13+P37*14+Q37*15+S37*18+T37*20+U37*25+V37*30+X37+D37*2+Y37+R37*16+W37*35+E37*3</f>
        <v>#DIV/0!</v>
      </c>
      <c r="AB37" s="46" t="e">
        <f>AB36/$AG36</f>
        <v>#DIV/0!</v>
      </c>
      <c r="AC37" s="46" t="e">
        <f>AC36/$AG36</f>
        <v>#DIV/0!</v>
      </c>
      <c r="AD37" s="46" t="e">
        <f>AD36/$AG36</f>
        <v>#DIV/0!</v>
      </c>
      <c r="AE37" s="46" t="e">
        <f>AE36/$AG36</f>
        <v>#DIV/0!</v>
      </c>
      <c r="AF37" s="46" t="e">
        <f>AF36/$AG36</f>
        <v>#DIV/0!</v>
      </c>
      <c r="AG37" s="54">
        <f>AG36</f>
        <v>0</v>
      </c>
      <c r="AH37" s="54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Q37" s="37">
        <v>6</v>
      </c>
    </row>
    <row r="39" spans="1:69">
      <c r="B39" s="80" t="s">
        <v>65</v>
      </c>
    </row>
    <row r="40" spans="1:69">
      <c r="B40" s="80" t="s">
        <v>66</v>
      </c>
    </row>
    <row r="41" spans="1:69">
      <c r="B41" s="80" t="s">
        <v>68</v>
      </c>
    </row>
    <row r="42" spans="1:69">
      <c r="B42" s="80" t="s">
        <v>69</v>
      </c>
    </row>
    <row r="43" spans="1:69">
      <c r="B43" s="80" t="s">
        <v>70</v>
      </c>
      <c r="C43" s="1">
        <v>165</v>
      </c>
    </row>
    <row r="44" spans="1:69">
      <c r="B44" s="80" t="s">
        <v>67</v>
      </c>
      <c r="C44" s="1">
        <v>112</v>
      </c>
    </row>
  </sheetData>
  <mergeCells count="5">
    <mergeCell ref="A1:AH1"/>
    <mergeCell ref="A2:J2"/>
    <mergeCell ref="B3:V3"/>
    <mergeCell ref="AB3:AH3"/>
    <mergeCell ref="A3:A4"/>
  </mergeCells>
  <phoneticPr fontId="11" type="noConversion"/>
  <pageMargins left="0.75" right="0.75" top="1" bottom="1" header="0.5" footer="0.5"/>
  <pageSetup paperSize="9" orientation="portrait" horizont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39"/>
  <sheetViews>
    <sheetView workbookViewId="0">
      <pane xSplit="1" ySplit="6" topLeftCell="B7" activePane="bottomRight" state="frozen"/>
      <selection pane="topRight"/>
      <selection pane="bottomLeft"/>
      <selection pane="bottomRight" sqref="A1:IV65536"/>
    </sheetView>
  </sheetViews>
  <sheetFormatPr defaultColWidth="8.25" defaultRowHeight="14.25"/>
  <cols>
    <col min="1" max="1" width="10.375" style="1" customWidth="1"/>
    <col min="2" max="3" width="8.25" style="1" customWidth="1"/>
    <col min="4" max="4" width="10.5" style="1" customWidth="1"/>
    <col min="5" max="5" width="8.25" style="1" customWidth="1"/>
    <col min="6" max="7" width="10.875" style="1" customWidth="1"/>
    <col min="8" max="9" width="8.25" style="1" customWidth="1"/>
    <col min="10" max="10" width="12.25" style="1" customWidth="1"/>
    <col min="11" max="11" width="8.875" style="1" customWidth="1"/>
    <col min="12" max="25" width="8.25" style="1" customWidth="1"/>
    <col min="26" max="26" width="11.375" style="1" customWidth="1"/>
    <col min="27" max="71" width="8.25" style="1" customWidth="1"/>
    <col min="72" max="16384" width="8.25" style="2"/>
  </cols>
  <sheetData>
    <row r="1" spans="1:26">
      <c r="A1" s="85" t="s">
        <v>33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>
      <c r="A4" s="81" t="s">
        <v>34</v>
      </c>
      <c r="B4" s="81"/>
      <c r="C4" s="81"/>
      <c r="F4" s="81" t="s">
        <v>32</v>
      </c>
      <c r="G4" s="81"/>
      <c r="H4" s="81"/>
      <c r="J4" s="18" t="s">
        <v>35</v>
      </c>
      <c r="K4" s="18"/>
      <c r="L4" s="18"/>
      <c r="R4" s="81"/>
      <c r="S4" s="81"/>
      <c r="T4" s="81"/>
      <c r="V4" s="18"/>
      <c r="W4" s="18"/>
      <c r="X4" s="18"/>
    </row>
    <row r="5" spans="1:26" ht="15">
      <c r="A5" s="90" t="s">
        <v>2</v>
      </c>
      <c r="B5" s="89" t="s">
        <v>18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19" t="s">
        <v>4</v>
      </c>
      <c r="N5" s="89" t="s">
        <v>36</v>
      </c>
      <c r="O5" s="89"/>
      <c r="P5" s="89"/>
      <c r="Q5" s="89"/>
      <c r="R5" s="89"/>
      <c r="S5" s="89"/>
      <c r="T5" s="89"/>
      <c r="U5" s="89"/>
      <c r="V5" s="89"/>
      <c r="W5" s="89"/>
      <c r="X5" s="89"/>
      <c r="Y5" s="19" t="s">
        <v>4</v>
      </c>
      <c r="Z5" s="28" t="s">
        <v>37</v>
      </c>
    </row>
    <row r="6" spans="1:26" ht="15">
      <c r="A6" s="91"/>
      <c r="B6" s="5" t="s">
        <v>38</v>
      </c>
      <c r="C6" s="5" t="s">
        <v>39</v>
      </c>
      <c r="D6" s="5" t="s">
        <v>40</v>
      </c>
      <c r="E6" s="5" t="s">
        <v>41</v>
      </c>
      <c r="F6" s="5" t="s">
        <v>42</v>
      </c>
      <c r="G6" s="6" t="s">
        <v>43</v>
      </c>
      <c r="H6" s="6" t="s">
        <v>44</v>
      </c>
      <c r="I6" s="5" t="s">
        <v>45</v>
      </c>
      <c r="J6" s="5" t="s">
        <v>46</v>
      </c>
      <c r="K6" s="20" t="s">
        <v>47</v>
      </c>
      <c r="L6" s="21" t="s">
        <v>13</v>
      </c>
      <c r="M6" s="22" t="s">
        <v>14</v>
      </c>
      <c r="N6" s="5" t="s">
        <v>38</v>
      </c>
      <c r="O6" s="5" t="s">
        <v>39</v>
      </c>
      <c r="P6" s="5" t="s">
        <v>40</v>
      </c>
      <c r="Q6" s="5" t="s">
        <v>41</v>
      </c>
      <c r="R6" s="5" t="s">
        <v>42</v>
      </c>
      <c r="S6" s="6" t="s">
        <v>43</v>
      </c>
      <c r="T6" s="6" t="s">
        <v>44</v>
      </c>
      <c r="U6" s="5" t="s">
        <v>45</v>
      </c>
      <c r="V6" s="5" t="s">
        <v>46</v>
      </c>
      <c r="W6" s="20" t="s">
        <v>47</v>
      </c>
      <c r="X6" s="21" t="s">
        <v>13</v>
      </c>
      <c r="Y6" s="22" t="s">
        <v>14</v>
      </c>
      <c r="Z6" s="29" t="s">
        <v>14</v>
      </c>
    </row>
    <row r="7" spans="1:26" customFormat="1" ht="15">
      <c r="A7" s="33">
        <v>39083</v>
      </c>
      <c r="B7" s="8"/>
      <c r="C7" s="8"/>
      <c r="D7" s="8"/>
      <c r="E7" s="8"/>
      <c r="F7" s="8"/>
      <c r="G7" s="8"/>
      <c r="H7" s="8"/>
      <c r="I7" s="8"/>
      <c r="J7" s="8"/>
      <c r="K7" s="23"/>
      <c r="L7" s="24">
        <f t="shared" ref="L7:L37" si="0">SUM(B7:K7)</f>
        <v>0</v>
      </c>
      <c r="M7" s="25">
        <f t="shared" ref="M7:M37" si="1">K7*1+J7*20+I7*15+H7*12+G7*7.5+F7*10+E7*8+D7*6+C7*5+B7*2</f>
        <v>0</v>
      </c>
      <c r="N7" s="8"/>
      <c r="O7" s="8"/>
      <c r="P7" s="8"/>
      <c r="Q7" s="8"/>
      <c r="R7" s="8"/>
      <c r="S7" s="8"/>
      <c r="T7" s="8"/>
      <c r="U7" s="8"/>
      <c r="V7" s="8"/>
      <c r="W7" s="23"/>
      <c r="X7" s="27">
        <f t="shared" ref="X7:X37" si="2">SUM(N7:W7)</f>
        <v>0</v>
      </c>
      <c r="Y7" s="30">
        <f t="shared" ref="Y7:Y37" si="3">W7*1+V7*20+U7*15+T7*10+S7*7.5+R7*10+Q7*8+P7*6+O7*5+N7*2</f>
        <v>0</v>
      </c>
      <c r="Z7" s="31">
        <f t="shared" ref="Z7:Z37" si="4">M7-Y7</f>
        <v>0</v>
      </c>
    </row>
    <row r="8" spans="1:26" customFormat="1" ht="15.75">
      <c r="A8" s="33">
        <v>39084</v>
      </c>
      <c r="B8" s="9"/>
      <c r="C8" s="9"/>
      <c r="D8" s="9"/>
      <c r="E8" s="9"/>
      <c r="F8" s="9"/>
      <c r="G8" s="9"/>
      <c r="H8" s="9"/>
      <c r="I8" s="9"/>
      <c r="J8" s="9"/>
      <c r="K8" s="23"/>
      <c r="L8" s="24">
        <f t="shared" si="0"/>
        <v>0</v>
      </c>
      <c r="M8" s="25">
        <f t="shared" si="1"/>
        <v>0</v>
      </c>
      <c r="N8" s="9"/>
      <c r="O8" s="9"/>
      <c r="P8" s="10"/>
      <c r="Q8" s="9"/>
      <c r="R8" s="9"/>
      <c r="S8" s="8"/>
      <c r="T8" s="9"/>
      <c r="U8" s="9"/>
      <c r="V8" s="9"/>
      <c r="W8" s="23"/>
      <c r="X8" s="27">
        <f t="shared" si="2"/>
        <v>0</v>
      </c>
      <c r="Y8" s="30">
        <f t="shared" si="3"/>
        <v>0</v>
      </c>
      <c r="Z8" s="31">
        <f t="shared" si="4"/>
        <v>0</v>
      </c>
    </row>
    <row r="9" spans="1:26" customFormat="1" ht="15.75">
      <c r="A9" s="33">
        <v>39085</v>
      </c>
      <c r="B9" s="10"/>
      <c r="C9" s="9"/>
      <c r="D9" s="9"/>
      <c r="E9" s="9"/>
      <c r="F9" s="9"/>
      <c r="G9" s="9"/>
      <c r="H9" s="9"/>
      <c r="I9" s="9"/>
      <c r="J9" s="9"/>
      <c r="K9" s="23"/>
      <c r="L9" s="24">
        <f t="shared" si="0"/>
        <v>0</v>
      </c>
      <c r="M9" s="25">
        <f t="shared" si="1"/>
        <v>0</v>
      </c>
      <c r="N9" s="10"/>
      <c r="O9" s="9"/>
      <c r="P9" s="9"/>
      <c r="Q9" s="9"/>
      <c r="R9" s="9"/>
      <c r="S9" s="9"/>
      <c r="T9" s="9"/>
      <c r="U9" s="9"/>
      <c r="V9" s="9"/>
      <c r="W9" s="23"/>
      <c r="X9" s="27">
        <f t="shared" si="2"/>
        <v>0</v>
      </c>
      <c r="Y9" s="30">
        <f t="shared" si="3"/>
        <v>0</v>
      </c>
      <c r="Z9" s="31">
        <f t="shared" si="4"/>
        <v>0</v>
      </c>
    </row>
    <row r="10" spans="1:26" customFormat="1" ht="15">
      <c r="A10" s="33">
        <v>39086</v>
      </c>
      <c r="B10" s="9"/>
      <c r="C10" s="9"/>
      <c r="D10" s="9"/>
      <c r="E10" s="9"/>
      <c r="F10" s="9"/>
      <c r="G10" s="9"/>
      <c r="H10" s="9"/>
      <c r="I10" s="9"/>
      <c r="J10" s="9"/>
      <c r="K10" s="23"/>
      <c r="L10" s="24">
        <f t="shared" si="0"/>
        <v>0</v>
      </c>
      <c r="M10" s="25">
        <f t="shared" si="1"/>
        <v>0</v>
      </c>
      <c r="N10" s="9"/>
      <c r="O10" s="9"/>
      <c r="P10" s="9"/>
      <c r="Q10" s="9"/>
      <c r="R10" s="9"/>
      <c r="S10" s="9"/>
      <c r="T10" s="9"/>
      <c r="U10" s="9"/>
      <c r="V10" s="9"/>
      <c r="W10" s="23"/>
      <c r="X10" s="27">
        <f t="shared" si="2"/>
        <v>0</v>
      </c>
      <c r="Y10" s="30">
        <f t="shared" si="3"/>
        <v>0</v>
      </c>
      <c r="Z10" s="31">
        <f t="shared" si="4"/>
        <v>0</v>
      </c>
    </row>
    <row r="11" spans="1:26" customFormat="1" ht="15">
      <c r="A11" s="33">
        <v>39087</v>
      </c>
      <c r="B11" s="9"/>
      <c r="C11" s="9"/>
      <c r="D11" s="9"/>
      <c r="E11" s="9"/>
      <c r="F11" s="9"/>
      <c r="G11" s="9"/>
      <c r="H11" s="9"/>
      <c r="I11" s="9"/>
      <c r="J11" s="9"/>
      <c r="K11" s="23"/>
      <c r="L11" s="24">
        <f t="shared" si="0"/>
        <v>0</v>
      </c>
      <c r="M11" s="25">
        <f t="shared" si="1"/>
        <v>0</v>
      </c>
      <c r="N11" s="9"/>
      <c r="O11" s="9"/>
      <c r="P11" s="9"/>
      <c r="Q11" s="9"/>
      <c r="R11" s="9"/>
      <c r="S11" s="9"/>
      <c r="T11" s="9"/>
      <c r="U11" s="9"/>
      <c r="V11" s="9"/>
      <c r="W11" s="23"/>
      <c r="X11" s="27">
        <f t="shared" si="2"/>
        <v>0</v>
      </c>
      <c r="Y11" s="30">
        <f t="shared" si="3"/>
        <v>0</v>
      </c>
      <c r="Z11" s="31">
        <f t="shared" si="4"/>
        <v>0</v>
      </c>
    </row>
    <row r="12" spans="1:26" customFormat="1" ht="15">
      <c r="A12" s="33">
        <v>39088</v>
      </c>
      <c r="B12" s="9"/>
      <c r="C12" s="9"/>
      <c r="D12" s="9"/>
      <c r="E12" s="9"/>
      <c r="F12" s="9"/>
      <c r="G12" s="9"/>
      <c r="H12" s="9"/>
      <c r="I12" s="9"/>
      <c r="J12" s="9"/>
      <c r="K12" s="23"/>
      <c r="L12" s="24">
        <f t="shared" si="0"/>
        <v>0</v>
      </c>
      <c r="M12" s="25">
        <f t="shared" si="1"/>
        <v>0</v>
      </c>
      <c r="N12" s="9"/>
      <c r="O12" s="9"/>
      <c r="P12" s="9"/>
      <c r="Q12" s="9"/>
      <c r="R12" s="9"/>
      <c r="S12" s="9"/>
      <c r="T12" s="9"/>
      <c r="U12" s="9"/>
      <c r="V12" s="9"/>
      <c r="W12" s="23"/>
      <c r="X12" s="27">
        <f t="shared" si="2"/>
        <v>0</v>
      </c>
      <c r="Y12" s="30">
        <f t="shared" si="3"/>
        <v>0</v>
      </c>
      <c r="Z12" s="31">
        <f t="shared" si="4"/>
        <v>0</v>
      </c>
    </row>
    <row r="13" spans="1:26" customFormat="1" ht="15">
      <c r="A13" s="33">
        <v>39089</v>
      </c>
      <c r="B13" s="9"/>
      <c r="C13" s="9"/>
      <c r="D13" s="9"/>
      <c r="E13" s="9"/>
      <c r="F13" s="9"/>
      <c r="G13" s="9"/>
      <c r="H13" s="9"/>
      <c r="I13" s="9"/>
      <c r="J13" s="9"/>
      <c r="K13" s="23"/>
      <c r="L13" s="24">
        <f t="shared" si="0"/>
        <v>0</v>
      </c>
      <c r="M13" s="25">
        <f t="shared" si="1"/>
        <v>0</v>
      </c>
      <c r="N13" s="9"/>
      <c r="O13" s="9"/>
      <c r="P13" s="9"/>
      <c r="Q13" s="9"/>
      <c r="R13" s="9"/>
      <c r="S13" s="9"/>
      <c r="T13" s="9"/>
      <c r="U13" s="9"/>
      <c r="V13" s="9"/>
      <c r="W13" s="23"/>
      <c r="X13" s="27">
        <f t="shared" si="2"/>
        <v>0</v>
      </c>
      <c r="Y13" s="30">
        <f t="shared" si="3"/>
        <v>0</v>
      </c>
      <c r="Z13" s="31">
        <f t="shared" si="4"/>
        <v>0</v>
      </c>
    </row>
    <row r="14" spans="1:26" customFormat="1" ht="15">
      <c r="A14" s="33">
        <v>39090</v>
      </c>
      <c r="B14" s="9"/>
      <c r="C14" s="9"/>
      <c r="D14" s="9"/>
      <c r="E14" s="9"/>
      <c r="F14" s="9"/>
      <c r="G14" s="9"/>
      <c r="H14" s="9"/>
      <c r="I14" s="9"/>
      <c r="J14" s="9"/>
      <c r="K14" s="23"/>
      <c r="L14" s="24">
        <f t="shared" si="0"/>
        <v>0</v>
      </c>
      <c r="M14" s="25">
        <f t="shared" si="1"/>
        <v>0</v>
      </c>
      <c r="N14" s="9"/>
      <c r="O14" s="9"/>
      <c r="P14" s="9"/>
      <c r="Q14" s="9"/>
      <c r="R14" s="9"/>
      <c r="S14" s="9"/>
      <c r="T14" s="9"/>
      <c r="U14" s="9"/>
      <c r="V14" s="9"/>
      <c r="W14" s="23"/>
      <c r="X14" s="27">
        <f t="shared" si="2"/>
        <v>0</v>
      </c>
      <c r="Y14" s="30">
        <f t="shared" si="3"/>
        <v>0</v>
      </c>
      <c r="Z14" s="31">
        <f t="shared" si="4"/>
        <v>0</v>
      </c>
    </row>
    <row r="15" spans="1:26" customFormat="1" ht="15">
      <c r="A15" s="33">
        <v>39091</v>
      </c>
      <c r="B15" s="9"/>
      <c r="C15" s="9"/>
      <c r="D15" s="9"/>
      <c r="E15" s="9"/>
      <c r="F15" s="9"/>
      <c r="G15" s="9"/>
      <c r="H15" s="9"/>
      <c r="I15" s="9"/>
      <c r="J15" s="9"/>
      <c r="K15" s="23"/>
      <c r="L15" s="24">
        <f t="shared" si="0"/>
        <v>0</v>
      </c>
      <c r="M15" s="25">
        <f t="shared" si="1"/>
        <v>0</v>
      </c>
      <c r="N15" s="9"/>
      <c r="O15" s="9"/>
      <c r="P15" s="9"/>
      <c r="Q15" s="9"/>
      <c r="R15" s="9"/>
      <c r="S15" s="9"/>
      <c r="T15" s="9"/>
      <c r="U15" s="9"/>
      <c r="V15" s="9"/>
      <c r="W15" s="23"/>
      <c r="X15" s="27">
        <f t="shared" si="2"/>
        <v>0</v>
      </c>
      <c r="Y15" s="30">
        <f t="shared" si="3"/>
        <v>0</v>
      </c>
      <c r="Z15" s="31">
        <f t="shared" si="4"/>
        <v>0</v>
      </c>
    </row>
    <row r="16" spans="1:26" customFormat="1" ht="15.75">
      <c r="A16" s="33">
        <v>39092</v>
      </c>
      <c r="B16" s="9"/>
      <c r="C16" s="9"/>
      <c r="D16" s="9"/>
      <c r="E16" s="9"/>
      <c r="F16" s="9"/>
      <c r="G16" s="9"/>
      <c r="H16" s="9"/>
      <c r="I16" s="9"/>
      <c r="J16" s="9"/>
      <c r="K16" s="23"/>
      <c r="L16" s="24">
        <f t="shared" si="0"/>
        <v>0</v>
      </c>
      <c r="M16" s="25">
        <f t="shared" si="1"/>
        <v>0</v>
      </c>
      <c r="N16" s="9"/>
      <c r="O16" s="9"/>
      <c r="P16" s="9"/>
      <c r="Q16" s="10"/>
      <c r="R16" s="9"/>
      <c r="S16" s="9"/>
      <c r="T16" s="9"/>
      <c r="U16" s="9"/>
      <c r="V16" s="9"/>
      <c r="W16" s="23"/>
      <c r="X16" s="27">
        <f t="shared" si="2"/>
        <v>0</v>
      </c>
      <c r="Y16" s="30">
        <f t="shared" si="3"/>
        <v>0</v>
      </c>
      <c r="Z16" s="31">
        <f t="shared" si="4"/>
        <v>0</v>
      </c>
    </row>
    <row r="17" spans="1:71" customFormat="1" ht="15.75">
      <c r="A17" s="33">
        <v>39093</v>
      </c>
      <c r="B17" s="9"/>
      <c r="C17" s="9"/>
      <c r="D17" s="9"/>
      <c r="E17" s="9"/>
      <c r="F17" s="9"/>
      <c r="G17" s="9"/>
      <c r="H17" s="9"/>
      <c r="I17" s="9"/>
      <c r="J17" s="10"/>
      <c r="K17" s="23"/>
      <c r="L17" s="24">
        <f t="shared" si="0"/>
        <v>0</v>
      </c>
      <c r="M17" s="25">
        <f t="shared" si="1"/>
        <v>0</v>
      </c>
      <c r="N17" s="9"/>
      <c r="O17" s="9"/>
      <c r="P17" s="9"/>
      <c r="Q17" s="9"/>
      <c r="R17" s="9"/>
      <c r="S17" s="9"/>
      <c r="T17" s="9"/>
      <c r="U17" s="9"/>
      <c r="V17" s="9"/>
      <c r="W17" s="23"/>
      <c r="X17" s="27">
        <f t="shared" si="2"/>
        <v>0</v>
      </c>
      <c r="Y17" s="30">
        <f t="shared" si="3"/>
        <v>0</v>
      </c>
      <c r="Z17" s="31">
        <f t="shared" si="4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customFormat="1" ht="15">
      <c r="A18" s="33">
        <v>39094</v>
      </c>
      <c r="B18" s="9"/>
      <c r="C18" s="9"/>
      <c r="D18" s="9"/>
      <c r="E18" s="9"/>
      <c r="F18" s="9"/>
      <c r="G18" s="9"/>
      <c r="H18" s="9"/>
      <c r="I18" s="9"/>
      <c r="J18" s="9"/>
      <c r="K18" s="23"/>
      <c r="L18" s="24">
        <f t="shared" si="0"/>
        <v>0</v>
      </c>
      <c r="M18" s="25">
        <f t="shared" si="1"/>
        <v>0</v>
      </c>
      <c r="N18" s="9"/>
      <c r="O18" s="9"/>
      <c r="P18" s="9"/>
      <c r="Q18" s="9"/>
      <c r="R18" s="9"/>
      <c r="S18" s="9"/>
      <c r="T18" s="9"/>
      <c r="U18" s="9"/>
      <c r="V18" s="9"/>
      <c r="W18" s="23"/>
      <c r="X18" s="27">
        <f t="shared" si="2"/>
        <v>0</v>
      </c>
      <c r="Y18" s="30">
        <f t="shared" si="3"/>
        <v>0</v>
      </c>
      <c r="Z18" s="31">
        <f t="shared" si="4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customFormat="1" ht="15">
      <c r="A19" s="33">
        <v>39095</v>
      </c>
      <c r="B19" s="9"/>
      <c r="C19" s="9"/>
      <c r="D19" s="9"/>
      <c r="E19" s="9"/>
      <c r="F19" s="9"/>
      <c r="G19" s="9"/>
      <c r="H19" s="9"/>
      <c r="I19" s="9"/>
      <c r="J19" s="23"/>
      <c r="K19" s="23"/>
      <c r="L19" s="24">
        <f t="shared" si="0"/>
        <v>0</v>
      </c>
      <c r="M19" s="25">
        <f t="shared" si="1"/>
        <v>0</v>
      </c>
      <c r="N19" s="9"/>
      <c r="O19" s="9"/>
      <c r="P19" s="9"/>
      <c r="Q19" s="9"/>
      <c r="R19" s="9"/>
      <c r="S19" s="9"/>
      <c r="T19" s="9"/>
      <c r="U19" s="9"/>
      <c r="V19" s="23"/>
      <c r="W19" s="23"/>
      <c r="X19" s="27">
        <f t="shared" si="2"/>
        <v>0</v>
      </c>
      <c r="Y19" s="30">
        <f t="shared" si="3"/>
        <v>0</v>
      </c>
      <c r="Z19" s="31">
        <f t="shared" si="4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2"/>
    </row>
    <row r="20" spans="1:71" customFormat="1" ht="15">
      <c r="A20" s="33">
        <v>39096</v>
      </c>
      <c r="B20" s="9"/>
      <c r="C20" s="9"/>
      <c r="D20" s="9"/>
      <c r="E20" s="9"/>
      <c r="F20" s="9"/>
      <c r="G20" s="9"/>
      <c r="H20" s="9"/>
      <c r="I20" s="9"/>
      <c r="J20" s="9"/>
      <c r="K20" s="23"/>
      <c r="L20" s="24">
        <f t="shared" si="0"/>
        <v>0</v>
      </c>
      <c r="M20" s="25">
        <f t="shared" si="1"/>
        <v>0</v>
      </c>
      <c r="N20" s="9"/>
      <c r="O20" s="9"/>
      <c r="P20" s="9"/>
      <c r="Q20" s="9"/>
      <c r="R20" s="9"/>
      <c r="S20" s="9"/>
      <c r="T20" s="9"/>
      <c r="U20" s="9"/>
      <c r="V20" s="9"/>
      <c r="W20" s="23"/>
      <c r="X20" s="27">
        <f t="shared" si="2"/>
        <v>0</v>
      </c>
      <c r="Y20" s="30">
        <f t="shared" si="3"/>
        <v>0</v>
      </c>
      <c r="Z20" s="31">
        <f t="shared" si="4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customFormat="1" ht="15">
      <c r="A21" s="33">
        <v>39097</v>
      </c>
      <c r="B21" s="9"/>
      <c r="C21" s="9"/>
      <c r="D21" s="9"/>
      <c r="E21" s="9"/>
      <c r="F21" s="9"/>
      <c r="G21" s="9"/>
      <c r="H21" s="9"/>
      <c r="I21" s="9"/>
      <c r="J21" s="9"/>
      <c r="K21" s="23"/>
      <c r="L21" s="24">
        <f t="shared" si="0"/>
        <v>0</v>
      </c>
      <c r="M21" s="25">
        <f t="shared" si="1"/>
        <v>0</v>
      </c>
      <c r="N21" s="9"/>
      <c r="O21" s="9"/>
      <c r="P21" s="9"/>
      <c r="Q21" s="9"/>
      <c r="R21" s="9"/>
      <c r="S21" s="9"/>
      <c r="T21" s="9"/>
      <c r="U21" s="9"/>
      <c r="V21" s="9"/>
      <c r="W21" s="23"/>
      <c r="X21" s="27">
        <f t="shared" si="2"/>
        <v>0</v>
      </c>
      <c r="Y21" s="30">
        <f t="shared" si="3"/>
        <v>0</v>
      </c>
      <c r="Z21" s="31">
        <f t="shared" si="4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customFormat="1" ht="15">
      <c r="A22" s="33">
        <v>39098</v>
      </c>
      <c r="B22" s="9"/>
      <c r="C22" s="9"/>
      <c r="D22" s="9"/>
      <c r="E22" s="9"/>
      <c r="F22" s="9"/>
      <c r="G22" s="1"/>
      <c r="H22" s="9"/>
      <c r="I22" s="9"/>
      <c r="J22" s="9"/>
      <c r="K22" s="23"/>
      <c r="L22" s="24">
        <f t="shared" si="0"/>
        <v>0</v>
      </c>
      <c r="M22" s="25">
        <f t="shared" si="1"/>
        <v>0</v>
      </c>
      <c r="N22" s="9"/>
      <c r="O22" s="9"/>
      <c r="P22" s="9"/>
      <c r="Q22" s="9"/>
      <c r="R22" s="9"/>
      <c r="S22" s="9"/>
      <c r="T22" s="9"/>
      <c r="U22" s="9"/>
      <c r="V22" s="9"/>
      <c r="W22" s="23"/>
      <c r="X22" s="27">
        <f t="shared" si="2"/>
        <v>0</v>
      </c>
      <c r="Y22" s="30">
        <f t="shared" si="3"/>
        <v>0</v>
      </c>
      <c r="Z22" s="31">
        <f t="shared" si="4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customFormat="1" ht="15">
      <c r="A23" s="33">
        <v>39099</v>
      </c>
      <c r="B23" s="9"/>
      <c r="C23" s="9"/>
      <c r="D23" s="1"/>
      <c r="E23" s="9"/>
      <c r="F23" s="9"/>
      <c r="G23" s="9"/>
      <c r="H23" s="9"/>
      <c r="I23" s="9"/>
      <c r="J23" s="9"/>
      <c r="K23" s="23"/>
      <c r="L23" s="24">
        <f t="shared" si="0"/>
        <v>0</v>
      </c>
      <c r="M23" s="25">
        <f t="shared" si="1"/>
        <v>0</v>
      </c>
      <c r="N23" s="9"/>
      <c r="O23" s="9"/>
      <c r="P23" s="9"/>
      <c r="Q23" s="9"/>
      <c r="R23" s="9"/>
      <c r="S23" s="9"/>
      <c r="T23" s="9"/>
      <c r="U23" s="9"/>
      <c r="V23" s="9"/>
      <c r="W23" s="23"/>
      <c r="X23" s="27">
        <f t="shared" si="2"/>
        <v>0</v>
      </c>
      <c r="Y23" s="30">
        <f t="shared" si="3"/>
        <v>0</v>
      </c>
      <c r="Z23" s="31">
        <f t="shared" si="4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customFormat="1" ht="15">
      <c r="A24" s="33">
        <v>39100</v>
      </c>
      <c r="B24" s="9"/>
      <c r="C24" s="9"/>
      <c r="D24" s="9"/>
      <c r="E24" s="9"/>
      <c r="F24" s="9"/>
      <c r="G24" s="9"/>
      <c r="H24" s="9"/>
      <c r="I24" s="9"/>
      <c r="J24" s="9"/>
      <c r="K24" s="23"/>
      <c r="L24" s="24">
        <f t="shared" si="0"/>
        <v>0</v>
      </c>
      <c r="M24" s="25">
        <f t="shared" si="1"/>
        <v>0</v>
      </c>
      <c r="N24" s="9"/>
      <c r="O24" s="9"/>
      <c r="P24" s="9"/>
      <c r="Q24" s="9"/>
      <c r="R24" s="9"/>
      <c r="S24" s="9"/>
      <c r="T24" s="9"/>
      <c r="U24" s="9"/>
      <c r="V24" s="9"/>
      <c r="W24" s="23"/>
      <c r="X24" s="27">
        <f t="shared" si="2"/>
        <v>0</v>
      </c>
      <c r="Y24" s="30">
        <f t="shared" si="3"/>
        <v>0</v>
      </c>
      <c r="Z24" s="31">
        <f t="shared" si="4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customFormat="1" ht="15">
      <c r="A25" s="33">
        <v>39101</v>
      </c>
      <c r="B25" s="9"/>
      <c r="C25" s="9"/>
      <c r="D25" s="9"/>
      <c r="E25" s="9"/>
      <c r="F25" s="9"/>
      <c r="G25" s="9"/>
      <c r="H25" s="9"/>
      <c r="I25" s="9"/>
      <c r="J25" s="9"/>
      <c r="K25" s="23"/>
      <c r="L25" s="24">
        <f t="shared" si="0"/>
        <v>0</v>
      </c>
      <c r="M25" s="25">
        <f t="shared" si="1"/>
        <v>0</v>
      </c>
      <c r="N25" s="9"/>
      <c r="O25" s="9"/>
      <c r="P25" s="9"/>
      <c r="Q25" s="9"/>
      <c r="R25" s="9"/>
      <c r="S25" s="9"/>
      <c r="T25" s="9"/>
      <c r="U25" s="9"/>
      <c r="V25" s="9"/>
      <c r="W25" s="23"/>
      <c r="X25" s="27">
        <f t="shared" si="2"/>
        <v>0</v>
      </c>
      <c r="Y25" s="30">
        <f t="shared" si="3"/>
        <v>0</v>
      </c>
      <c r="Z25" s="31">
        <f t="shared" si="4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customFormat="1" ht="15">
      <c r="A26" s="33">
        <v>39102</v>
      </c>
      <c r="B26" s="9"/>
      <c r="C26" s="9"/>
      <c r="D26" s="9"/>
      <c r="E26" s="9"/>
      <c r="F26" s="9"/>
      <c r="G26" s="9"/>
      <c r="H26" s="9"/>
      <c r="I26" s="9"/>
      <c r="J26" s="9"/>
      <c r="K26" s="23"/>
      <c r="L26" s="24">
        <f t="shared" si="0"/>
        <v>0</v>
      </c>
      <c r="M26" s="25">
        <f t="shared" si="1"/>
        <v>0</v>
      </c>
      <c r="N26" s="9"/>
      <c r="O26" s="9"/>
      <c r="P26" s="9"/>
      <c r="Q26" s="9"/>
      <c r="R26" s="9"/>
      <c r="S26" s="9"/>
      <c r="T26" s="9"/>
      <c r="U26" s="9"/>
      <c r="V26" s="9"/>
      <c r="W26" s="23"/>
      <c r="X26" s="27">
        <f t="shared" si="2"/>
        <v>0</v>
      </c>
      <c r="Y26" s="30">
        <f t="shared" si="3"/>
        <v>0</v>
      </c>
      <c r="Z26" s="31">
        <f t="shared" si="4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customFormat="1" ht="15.75">
      <c r="A27" s="33">
        <v>39103</v>
      </c>
      <c r="B27" s="9"/>
      <c r="C27" s="34"/>
      <c r="D27" s="9"/>
      <c r="E27" s="9"/>
      <c r="F27" s="9"/>
      <c r="G27" s="9"/>
      <c r="H27" s="9"/>
      <c r="I27" s="9"/>
      <c r="J27" s="9"/>
      <c r="K27" s="23"/>
      <c r="L27" s="24">
        <f t="shared" si="0"/>
        <v>0</v>
      </c>
      <c r="M27" s="25">
        <f t="shared" si="1"/>
        <v>0</v>
      </c>
      <c r="N27" s="9"/>
      <c r="O27" s="9"/>
      <c r="P27" s="10"/>
      <c r="Q27" s="9"/>
      <c r="R27" s="9"/>
      <c r="S27" s="9"/>
      <c r="T27" s="9"/>
      <c r="U27" s="9"/>
      <c r="V27" s="9"/>
      <c r="W27" s="23"/>
      <c r="X27" s="27">
        <f t="shared" si="2"/>
        <v>0</v>
      </c>
      <c r="Y27" s="30">
        <f t="shared" si="3"/>
        <v>0</v>
      </c>
      <c r="Z27" s="31">
        <f t="shared" si="4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customFormat="1" ht="15">
      <c r="A28" s="33">
        <v>39104</v>
      </c>
      <c r="B28" s="9"/>
      <c r="C28" s="9"/>
      <c r="D28" s="9"/>
      <c r="E28" s="9"/>
      <c r="F28" s="9"/>
      <c r="G28" s="9"/>
      <c r="H28" s="9"/>
      <c r="I28" s="9"/>
      <c r="J28" s="9"/>
      <c r="K28" s="23"/>
      <c r="L28" s="24">
        <f t="shared" si="0"/>
        <v>0</v>
      </c>
      <c r="M28" s="25">
        <f t="shared" si="1"/>
        <v>0</v>
      </c>
      <c r="N28" s="9"/>
      <c r="O28" s="9"/>
      <c r="P28" s="9"/>
      <c r="Q28" s="9"/>
      <c r="R28" s="9"/>
      <c r="S28" s="9"/>
      <c r="T28" s="9"/>
      <c r="U28" s="9"/>
      <c r="V28" s="9"/>
      <c r="W28" s="23"/>
      <c r="X28" s="27">
        <f t="shared" si="2"/>
        <v>0</v>
      </c>
      <c r="Y28" s="30">
        <f t="shared" si="3"/>
        <v>0</v>
      </c>
      <c r="Z28" s="31">
        <f t="shared" si="4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customFormat="1" ht="15">
      <c r="A29" s="33">
        <v>39105</v>
      </c>
      <c r="B29" s="9"/>
      <c r="C29" s="9"/>
      <c r="D29" s="9"/>
      <c r="E29" s="9"/>
      <c r="F29" s="9"/>
      <c r="G29" s="9"/>
      <c r="H29" s="9"/>
      <c r="I29" s="9"/>
      <c r="J29" s="9"/>
      <c r="K29" s="23"/>
      <c r="L29" s="24">
        <f t="shared" si="0"/>
        <v>0</v>
      </c>
      <c r="M29" s="25">
        <f t="shared" si="1"/>
        <v>0</v>
      </c>
      <c r="N29" s="9"/>
      <c r="O29" s="9"/>
      <c r="P29" s="9"/>
      <c r="Q29" s="9"/>
      <c r="R29" s="9"/>
      <c r="S29" s="9"/>
      <c r="T29" s="9"/>
      <c r="U29" s="9"/>
      <c r="V29" s="9"/>
      <c r="W29" s="23"/>
      <c r="X29" s="27">
        <f t="shared" si="2"/>
        <v>0</v>
      </c>
      <c r="Y29" s="30">
        <f t="shared" si="3"/>
        <v>0</v>
      </c>
      <c r="Z29" s="31">
        <f t="shared" si="4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customFormat="1" ht="15.75">
      <c r="A30" s="33">
        <v>39106</v>
      </c>
      <c r="B30" s="9"/>
      <c r="C30" s="9"/>
      <c r="D30" s="10"/>
      <c r="E30" s="9"/>
      <c r="F30" s="9"/>
      <c r="G30" s="10"/>
      <c r="H30" s="9"/>
      <c r="I30" s="9"/>
      <c r="J30" s="9"/>
      <c r="K30" s="23"/>
      <c r="L30" s="24">
        <f t="shared" si="0"/>
        <v>0</v>
      </c>
      <c r="M30" s="25">
        <f t="shared" si="1"/>
        <v>0</v>
      </c>
      <c r="N30" s="9"/>
      <c r="O30" s="9"/>
      <c r="P30" s="9"/>
      <c r="Q30" s="9"/>
      <c r="R30" s="9"/>
      <c r="S30" s="9"/>
      <c r="T30" s="9"/>
      <c r="U30" s="9"/>
      <c r="V30" s="9"/>
      <c r="W30" s="23"/>
      <c r="X30" s="27">
        <f t="shared" si="2"/>
        <v>0</v>
      </c>
      <c r="Y30" s="30">
        <f t="shared" si="3"/>
        <v>0</v>
      </c>
      <c r="Z30" s="31">
        <f t="shared" si="4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customFormat="1" ht="15">
      <c r="A31" s="33">
        <v>39107</v>
      </c>
      <c r="B31" s="9"/>
      <c r="C31" s="9"/>
      <c r="D31" s="9"/>
      <c r="E31" s="9"/>
      <c r="F31" s="9"/>
      <c r="G31" s="9"/>
      <c r="H31" s="9"/>
      <c r="I31" s="9"/>
      <c r="J31" s="9"/>
      <c r="K31" s="23"/>
      <c r="L31" s="24">
        <f t="shared" si="0"/>
        <v>0</v>
      </c>
      <c r="M31" s="25">
        <f t="shared" si="1"/>
        <v>0</v>
      </c>
      <c r="N31" s="9"/>
      <c r="O31" s="9"/>
      <c r="P31" s="9"/>
      <c r="Q31" s="9"/>
      <c r="R31" s="9"/>
      <c r="S31" s="9"/>
      <c r="T31" s="9"/>
      <c r="U31" s="9"/>
      <c r="V31" s="9"/>
      <c r="W31" s="23"/>
      <c r="X31" s="27">
        <f t="shared" si="2"/>
        <v>0</v>
      </c>
      <c r="Y31" s="30">
        <f t="shared" si="3"/>
        <v>0</v>
      </c>
      <c r="Z31" s="31">
        <f t="shared" si="4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customFormat="1" ht="15.75">
      <c r="A32" s="33">
        <v>39108</v>
      </c>
      <c r="B32" s="10"/>
      <c r="C32" s="9"/>
      <c r="D32" s="9"/>
      <c r="E32" s="9"/>
      <c r="F32" s="9"/>
      <c r="G32" s="9"/>
      <c r="H32" s="9"/>
      <c r="I32" s="9"/>
      <c r="J32" s="9"/>
      <c r="K32" s="23"/>
      <c r="L32" s="24">
        <f t="shared" si="0"/>
        <v>0</v>
      </c>
      <c r="M32" s="25">
        <f t="shared" si="1"/>
        <v>0</v>
      </c>
      <c r="N32" s="9"/>
      <c r="O32" s="9"/>
      <c r="P32" s="9"/>
      <c r="Q32" s="9"/>
      <c r="R32" s="9"/>
      <c r="S32" s="9"/>
      <c r="T32" s="9"/>
      <c r="U32" s="9"/>
      <c r="V32" s="9"/>
      <c r="W32" s="23"/>
      <c r="X32" s="27">
        <f t="shared" si="2"/>
        <v>0</v>
      </c>
      <c r="Y32" s="30">
        <f t="shared" si="3"/>
        <v>0</v>
      </c>
      <c r="Z32" s="31">
        <f t="shared" si="4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29" customFormat="1" ht="15">
      <c r="A33" s="33">
        <v>39109</v>
      </c>
      <c r="B33" s="9"/>
      <c r="C33" s="9"/>
      <c r="D33" s="9"/>
      <c r="E33" s="9"/>
      <c r="F33" s="9"/>
      <c r="G33" s="9"/>
      <c r="H33" s="9"/>
      <c r="I33" s="9"/>
      <c r="J33" s="9"/>
      <c r="K33" s="23"/>
      <c r="L33" s="24">
        <f t="shared" si="0"/>
        <v>0</v>
      </c>
      <c r="M33" s="25">
        <f t="shared" si="1"/>
        <v>0</v>
      </c>
      <c r="N33" s="9"/>
      <c r="O33" s="9"/>
      <c r="P33" s="9"/>
      <c r="Q33" s="9"/>
      <c r="R33" s="9"/>
      <c r="S33" s="9"/>
      <c r="T33" s="9"/>
      <c r="U33" s="9"/>
      <c r="V33" s="9"/>
      <c r="W33" s="23"/>
      <c r="X33" s="27">
        <f t="shared" si="2"/>
        <v>0</v>
      </c>
      <c r="Y33" s="30">
        <f t="shared" si="3"/>
        <v>0</v>
      </c>
      <c r="Z33" s="31">
        <f t="shared" si="4"/>
        <v>0</v>
      </c>
    </row>
    <row r="34" spans="1:29" customFormat="1" ht="15">
      <c r="A34" s="33">
        <v>39110</v>
      </c>
      <c r="B34" s="9"/>
      <c r="C34" s="9"/>
      <c r="D34" s="9"/>
      <c r="E34" s="9"/>
      <c r="F34" s="9"/>
      <c r="G34" s="9"/>
      <c r="H34" s="9"/>
      <c r="I34" s="9"/>
      <c r="J34" s="9"/>
      <c r="K34" s="23"/>
      <c r="L34" s="24">
        <f t="shared" si="0"/>
        <v>0</v>
      </c>
      <c r="M34" s="25">
        <f t="shared" si="1"/>
        <v>0</v>
      </c>
      <c r="N34" s="9"/>
      <c r="O34" s="9"/>
      <c r="P34" s="9"/>
      <c r="Q34" s="9"/>
      <c r="R34" s="9"/>
      <c r="S34" s="9"/>
      <c r="T34" s="9"/>
      <c r="U34" s="9"/>
      <c r="V34" s="9"/>
      <c r="W34" s="23"/>
      <c r="X34" s="27">
        <f t="shared" si="2"/>
        <v>0</v>
      </c>
      <c r="Y34" s="30">
        <f t="shared" si="3"/>
        <v>0</v>
      </c>
      <c r="Z34" s="31">
        <f t="shared" si="4"/>
        <v>0</v>
      </c>
    </row>
    <row r="35" spans="1:29" customFormat="1" ht="15">
      <c r="A35" s="33">
        <v>39111</v>
      </c>
      <c r="B35" s="9"/>
      <c r="C35" s="9"/>
      <c r="D35" s="9"/>
      <c r="E35" s="34"/>
      <c r="F35" s="9"/>
      <c r="G35" s="9"/>
      <c r="H35" s="9"/>
      <c r="I35" s="9"/>
      <c r="J35" s="9"/>
      <c r="K35" s="23"/>
      <c r="L35" s="24">
        <f t="shared" si="0"/>
        <v>0</v>
      </c>
      <c r="M35" s="25">
        <f t="shared" si="1"/>
        <v>0</v>
      </c>
      <c r="N35" s="9"/>
      <c r="O35" s="9"/>
      <c r="P35" s="9"/>
      <c r="Q35" s="9"/>
      <c r="R35" s="9"/>
      <c r="S35" s="9"/>
      <c r="T35" s="9"/>
      <c r="U35" s="9"/>
      <c r="V35" s="9"/>
      <c r="W35" s="23"/>
      <c r="X35" s="27">
        <f t="shared" si="2"/>
        <v>0</v>
      </c>
      <c r="Y35" s="30">
        <f t="shared" si="3"/>
        <v>0</v>
      </c>
      <c r="Z35" s="31">
        <f t="shared" si="4"/>
        <v>0</v>
      </c>
    </row>
    <row r="36" spans="1:29" customFormat="1" ht="15">
      <c r="A36" s="33">
        <v>39112</v>
      </c>
      <c r="B36" s="9"/>
      <c r="C36" s="9"/>
      <c r="D36" s="9"/>
      <c r="E36" s="9"/>
      <c r="F36" s="9"/>
      <c r="G36" s="9"/>
      <c r="H36" s="9"/>
      <c r="I36" s="9"/>
      <c r="J36" s="9"/>
      <c r="K36" s="23"/>
      <c r="L36" s="24">
        <f t="shared" si="0"/>
        <v>0</v>
      </c>
      <c r="M36" s="25">
        <f t="shared" si="1"/>
        <v>0</v>
      </c>
      <c r="N36" s="9"/>
      <c r="O36" s="9"/>
      <c r="P36" s="9"/>
      <c r="Q36" s="9"/>
      <c r="R36" s="9"/>
      <c r="S36" s="9"/>
      <c r="T36" s="9"/>
      <c r="U36" s="9"/>
      <c r="V36" s="9"/>
      <c r="W36" s="23"/>
      <c r="X36" s="27">
        <f t="shared" si="2"/>
        <v>0</v>
      </c>
      <c r="Y36" s="30">
        <f t="shared" si="3"/>
        <v>0</v>
      </c>
      <c r="Z36" s="31">
        <f t="shared" si="4"/>
        <v>0</v>
      </c>
    </row>
    <row r="37" spans="1:29" customFormat="1" ht="15">
      <c r="A37" s="33">
        <v>39113</v>
      </c>
      <c r="B37" s="13"/>
      <c r="C37" s="13"/>
      <c r="D37" s="13"/>
      <c r="E37" s="13"/>
      <c r="F37" s="9"/>
      <c r="G37" s="13"/>
      <c r="H37" s="13"/>
      <c r="I37" s="13"/>
      <c r="J37" s="13"/>
      <c r="K37" s="26"/>
      <c r="L37" s="24">
        <f t="shared" si="0"/>
        <v>0</v>
      </c>
      <c r="M37" s="25">
        <f t="shared" si="1"/>
        <v>0</v>
      </c>
      <c r="N37" s="13"/>
      <c r="O37" s="13"/>
      <c r="P37" s="13"/>
      <c r="Q37" s="13"/>
      <c r="R37" s="13"/>
      <c r="S37" s="13"/>
      <c r="T37" s="13"/>
      <c r="U37" s="13"/>
      <c r="V37" s="13"/>
      <c r="W37" s="26"/>
      <c r="X37" s="27">
        <f t="shared" si="2"/>
        <v>0</v>
      </c>
      <c r="Y37" s="30">
        <f t="shared" si="3"/>
        <v>0</v>
      </c>
      <c r="Z37" s="31">
        <f t="shared" si="4"/>
        <v>0</v>
      </c>
    </row>
    <row r="38" spans="1:29" ht="18" customHeight="1">
      <c r="A38" s="14" t="s">
        <v>15</v>
      </c>
      <c r="B38" s="15">
        <f>SUM(B7:B37)</f>
        <v>0</v>
      </c>
      <c r="C38" s="15">
        <f t="shared" ref="C38:Z38" si="5">SUM(C7:C37)</f>
        <v>0</v>
      </c>
      <c r="D38" s="15">
        <f t="shared" si="5"/>
        <v>0</v>
      </c>
      <c r="E38" s="15">
        <f t="shared" si="5"/>
        <v>0</v>
      </c>
      <c r="F38" s="15">
        <f t="shared" si="5"/>
        <v>0</v>
      </c>
      <c r="G38" s="15">
        <f t="shared" si="5"/>
        <v>0</v>
      </c>
      <c r="H38" s="15">
        <f t="shared" si="5"/>
        <v>0</v>
      </c>
      <c r="I38" s="15">
        <f t="shared" si="5"/>
        <v>0</v>
      </c>
      <c r="J38" s="15">
        <f t="shared" si="5"/>
        <v>0</v>
      </c>
      <c r="K38" s="15">
        <f t="shared" si="5"/>
        <v>0</v>
      </c>
      <c r="L38" s="15">
        <f t="shared" si="5"/>
        <v>0</v>
      </c>
      <c r="M38" s="15">
        <f t="shared" si="5"/>
        <v>0</v>
      </c>
      <c r="N38" s="15">
        <f t="shared" si="5"/>
        <v>0</v>
      </c>
      <c r="O38" s="15">
        <f t="shared" si="5"/>
        <v>0</v>
      </c>
      <c r="P38" s="15">
        <f t="shared" si="5"/>
        <v>0</v>
      </c>
      <c r="Q38" s="15">
        <f t="shared" si="5"/>
        <v>0</v>
      </c>
      <c r="R38" s="15">
        <f t="shared" si="5"/>
        <v>0</v>
      </c>
      <c r="S38" s="15">
        <f t="shared" si="5"/>
        <v>0</v>
      </c>
      <c r="T38" s="15">
        <f t="shared" si="5"/>
        <v>0</v>
      </c>
      <c r="U38" s="15">
        <f t="shared" si="5"/>
        <v>0</v>
      </c>
      <c r="V38" s="15">
        <f t="shared" si="5"/>
        <v>0</v>
      </c>
      <c r="W38" s="15">
        <f t="shared" si="5"/>
        <v>0</v>
      </c>
      <c r="X38" s="15">
        <f t="shared" si="5"/>
        <v>0</v>
      </c>
      <c r="Y38" s="15">
        <f t="shared" si="5"/>
        <v>0</v>
      </c>
      <c r="Z38" s="15">
        <f t="shared" si="5"/>
        <v>0</v>
      </c>
    </row>
    <row r="39" spans="1:29" ht="18.75" customHeight="1">
      <c r="A39" s="16" t="s">
        <v>16</v>
      </c>
      <c r="B39" s="17" t="e">
        <f>B38/L38</f>
        <v>#DIV/0!</v>
      </c>
      <c r="C39" s="17" t="e">
        <f>C38/L38</f>
        <v>#DIV/0!</v>
      </c>
      <c r="D39" s="17" t="e">
        <f>D38/L38</f>
        <v>#DIV/0!</v>
      </c>
      <c r="E39" s="17" t="e">
        <f>E38/L38</f>
        <v>#DIV/0!</v>
      </c>
      <c r="F39" s="17" t="e">
        <f>F38/L38</f>
        <v>#DIV/0!</v>
      </c>
      <c r="G39" s="17" t="e">
        <f>G38/L38</f>
        <v>#DIV/0!</v>
      </c>
      <c r="H39" s="17" t="e">
        <f>H38/L38</f>
        <v>#DIV/0!</v>
      </c>
      <c r="I39" s="17" t="e">
        <f>I38/L38</f>
        <v>#DIV/0!</v>
      </c>
      <c r="J39" s="17" t="e">
        <f>J38/L38</f>
        <v>#DIV/0!</v>
      </c>
      <c r="K39" s="17" t="e">
        <f>K38/L38</f>
        <v>#DIV/0!</v>
      </c>
      <c r="L39" s="17" t="e">
        <f>L38/L38</f>
        <v>#DIV/0!</v>
      </c>
      <c r="M39" s="17" t="e">
        <f>M38/M38</f>
        <v>#DIV/0!</v>
      </c>
      <c r="N39" s="17" t="e">
        <f>N38/X38</f>
        <v>#DIV/0!</v>
      </c>
      <c r="O39" s="17" t="e">
        <f>O38/X38</f>
        <v>#DIV/0!</v>
      </c>
      <c r="P39" s="17" t="e">
        <f>P38/X38</f>
        <v>#DIV/0!</v>
      </c>
      <c r="Q39" s="17" t="e">
        <f>Q38/X38</f>
        <v>#DIV/0!</v>
      </c>
      <c r="R39" s="17" t="e">
        <f>R38/X38</f>
        <v>#DIV/0!</v>
      </c>
      <c r="S39" s="17" t="e">
        <f>S38/X38</f>
        <v>#DIV/0!</v>
      </c>
      <c r="T39" s="17" t="e">
        <f>T38/X38</f>
        <v>#DIV/0!</v>
      </c>
      <c r="U39" s="17" t="e">
        <f>U38/X38</f>
        <v>#DIV/0!</v>
      </c>
      <c r="V39" s="17" t="e">
        <f>V38/X38</f>
        <v>#DIV/0!</v>
      </c>
      <c r="W39" s="17" t="e">
        <f>W38/X38</f>
        <v>#DIV/0!</v>
      </c>
      <c r="X39" s="17" t="e">
        <f>X38/X38</f>
        <v>#DIV/0!</v>
      </c>
      <c r="Y39" s="17" t="e">
        <f>Y38/M38</f>
        <v>#DIV/0!</v>
      </c>
      <c r="Z39" s="17" t="e">
        <f>Z38/M38</f>
        <v>#DIV/0!</v>
      </c>
      <c r="AC39" s="1" t="s">
        <v>48</v>
      </c>
    </row>
  </sheetData>
  <mergeCells count="7">
    <mergeCell ref="B5:L5"/>
    <mergeCell ref="N5:X5"/>
    <mergeCell ref="A5:A6"/>
    <mergeCell ref="A1:Z2"/>
    <mergeCell ref="A4:C4"/>
    <mergeCell ref="F4:H4"/>
    <mergeCell ref="R4:T4"/>
  </mergeCells>
  <phoneticPr fontId="11" type="noConversion"/>
  <pageMargins left="0.75" right="0.75" top="1" bottom="1" header="0.5" footer="0.5"/>
  <pageSetup paperSize="9" orientation="portrait" horizontalDpi="36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S39"/>
  <sheetViews>
    <sheetView workbookViewId="0">
      <pane xSplit="1" ySplit="6" topLeftCell="B21" activePane="bottomRight" state="frozen"/>
      <selection pane="topRight"/>
      <selection pane="bottomLeft"/>
      <selection pane="bottomRight" sqref="A1:IV65536"/>
    </sheetView>
  </sheetViews>
  <sheetFormatPr defaultColWidth="7.875" defaultRowHeight="14.25"/>
  <cols>
    <col min="1" max="1" width="10.75" style="1" customWidth="1"/>
    <col min="2" max="2" width="8.625" style="1" customWidth="1"/>
    <col min="3" max="5" width="7.875" style="1" customWidth="1"/>
    <col min="6" max="15" width="10.25" style="1" customWidth="1"/>
    <col min="16" max="25" width="7.875" style="1" customWidth="1"/>
    <col min="26" max="26" width="12.125" style="1" customWidth="1"/>
    <col min="27" max="27" width="7.875" style="1" customWidth="1"/>
    <col min="28" max="28" width="10.875" style="1" customWidth="1"/>
    <col min="29" max="71" width="7.875" style="1" customWidth="1"/>
    <col min="72" max="16384" width="7.875" style="2"/>
  </cols>
  <sheetData>
    <row r="1" spans="1:26">
      <c r="A1" s="85" t="s">
        <v>33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>
      <c r="A4" s="81" t="s">
        <v>49</v>
      </c>
      <c r="B4" s="81"/>
      <c r="C4" s="81"/>
      <c r="F4" s="81" t="s">
        <v>32</v>
      </c>
      <c r="G4" s="81"/>
      <c r="H4" s="81"/>
      <c r="J4" s="18" t="s">
        <v>35</v>
      </c>
      <c r="K4" s="18"/>
      <c r="L4" s="18"/>
      <c r="R4" s="81"/>
      <c r="S4" s="81"/>
      <c r="T4" s="81"/>
      <c r="V4" s="18"/>
      <c r="W4" s="18"/>
      <c r="X4" s="18"/>
    </row>
    <row r="5" spans="1:26" ht="15">
      <c r="A5" s="90" t="s">
        <v>2</v>
      </c>
      <c r="B5" s="89" t="s">
        <v>18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19" t="s">
        <v>4</v>
      </c>
      <c r="N5" s="89" t="s">
        <v>36</v>
      </c>
      <c r="O5" s="89"/>
      <c r="P5" s="89"/>
      <c r="Q5" s="89"/>
      <c r="R5" s="89"/>
      <c r="S5" s="89"/>
      <c r="T5" s="89"/>
      <c r="U5" s="89"/>
      <c r="V5" s="89"/>
      <c r="W5" s="89"/>
      <c r="X5" s="89"/>
      <c r="Y5" s="19" t="s">
        <v>4</v>
      </c>
      <c r="Z5" s="28" t="s">
        <v>37</v>
      </c>
    </row>
    <row r="6" spans="1:26" ht="15">
      <c r="A6" s="91"/>
      <c r="B6" s="5" t="s">
        <v>38</v>
      </c>
      <c r="C6" s="5" t="s">
        <v>39</v>
      </c>
      <c r="D6" s="5" t="s">
        <v>40</v>
      </c>
      <c r="E6" s="5" t="s">
        <v>41</v>
      </c>
      <c r="F6" s="5" t="s">
        <v>42</v>
      </c>
      <c r="G6" s="6" t="s">
        <v>50</v>
      </c>
      <c r="H6" s="6" t="s">
        <v>44</v>
      </c>
      <c r="I6" s="5" t="s">
        <v>45</v>
      </c>
      <c r="J6" s="5" t="s">
        <v>46</v>
      </c>
      <c r="K6" s="20" t="s">
        <v>47</v>
      </c>
      <c r="L6" s="21" t="s">
        <v>13</v>
      </c>
      <c r="M6" s="22" t="s">
        <v>14</v>
      </c>
      <c r="N6" s="5" t="s">
        <v>38</v>
      </c>
      <c r="O6" s="5" t="s">
        <v>39</v>
      </c>
      <c r="P6" s="5" t="s">
        <v>40</v>
      </c>
      <c r="Q6" s="5" t="s">
        <v>41</v>
      </c>
      <c r="R6" s="5" t="s">
        <v>42</v>
      </c>
      <c r="S6" s="6" t="s">
        <v>50</v>
      </c>
      <c r="T6" s="6" t="s">
        <v>44</v>
      </c>
      <c r="U6" s="5" t="s">
        <v>45</v>
      </c>
      <c r="V6" s="5" t="s">
        <v>46</v>
      </c>
      <c r="W6" s="20" t="s">
        <v>47</v>
      </c>
      <c r="X6" s="21" t="s">
        <v>13</v>
      </c>
      <c r="Y6" s="22" t="s">
        <v>14</v>
      </c>
      <c r="Z6" s="29" t="s">
        <v>14</v>
      </c>
    </row>
    <row r="7" spans="1:26" customFormat="1">
      <c r="A7" s="7">
        <v>39083</v>
      </c>
      <c r="B7" s="8"/>
      <c r="C7" s="8"/>
      <c r="D7" s="8"/>
      <c r="E7" s="8"/>
      <c r="F7" s="8"/>
      <c r="G7" s="8"/>
      <c r="H7" s="8"/>
      <c r="I7" s="8"/>
      <c r="J7" s="8"/>
      <c r="K7" s="23"/>
      <c r="L7" s="24">
        <f t="shared" ref="L7:L14" si="0">SUM(B7:K7)</f>
        <v>0</v>
      </c>
      <c r="M7" s="25">
        <f t="shared" ref="M7:M14" si="1">B7*2+C7*5+D7*6+E7*8+F7*10+I7*15+J7*20+K7*1</f>
        <v>0</v>
      </c>
      <c r="N7" s="8"/>
      <c r="O7" s="8"/>
      <c r="P7" s="8"/>
      <c r="Q7" s="8"/>
      <c r="R7" s="8"/>
      <c r="S7" s="8"/>
      <c r="T7" s="8"/>
      <c r="U7" s="8"/>
      <c r="V7" s="8"/>
      <c r="W7" s="23"/>
      <c r="X7" s="27">
        <f t="shared" ref="X7:X14" si="2">SUM(N7:W7)</f>
        <v>0</v>
      </c>
      <c r="Y7" s="30">
        <f t="shared" ref="Y7:Y14" si="3">N7*2+O7*5+P7*6+Q7*8+R7*10+S7*7+T7*12+U7*15+V7*20+W7*1</f>
        <v>0</v>
      </c>
      <c r="Z7" s="31">
        <f t="shared" ref="Z7:Z14" si="4">M7-Y7</f>
        <v>0</v>
      </c>
    </row>
    <row r="8" spans="1:26" customFormat="1" ht="15.75">
      <c r="A8" s="7">
        <v>39084</v>
      </c>
      <c r="B8" s="9"/>
      <c r="C8" s="9"/>
      <c r="D8" s="9"/>
      <c r="E8" s="9"/>
      <c r="F8" s="9"/>
      <c r="G8" s="9"/>
      <c r="H8" s="9"/>
      <c r="I8" s="9"/>
      <c r="J8" s="9"/>
      <c r="K8" s="23"/>
      <c r="L8" s="24">
        <f t="shared" si="0"/>
        <v>0</v>
      </c>
      <c r="M8" s="25">
        <f t="shared" si="1"/>
        <v>0</v>
      </c>
      <c r="N8" s="9"/>
      <c r="O8" s="9"/>
      <c r="P8" s="10"/>
      <c r="Q8" s="9"/>
      <c r="R8" s="9"/>
      <c r="S8" s="9"/>
      <c r="T8" s="9"/>
      <c r="U8" s="9"/>
      <c r="V8" s="9"/>
      <c r="W8" s="23"/>
      <c r="X8" s="27">
        <f t="shared" si="2"/>
        <v>0</v>
      </c>
      <c r="Y8" s="30">
        <f t="shared" si="3"/>
        <v>0</v>
      </c>
      <c r="Z8" s="31">
        <f t="shared" si="4"/>
        <v>0</v>
      </c>
    </row>
    <row r="9" spans="1:26" customFormat="1" ht="15.75">
      <c r="A9" s="7">
        <v>39085</v>
      </c>
      <c r="B9" s="10"/>
      <c r="C9" s="9"/>
      <c r="D9" s="9"/>
      <c r="E9" s="9"/>
      <c r="F9" s="9"/>
      <c r="G9" s="9"/>
      <c r="H9" s="9"/>
      <c r="I9" s="9"/>
      <c r="J9" s="9"/>
      <c r="K9" s="23"/>
      <c r="L9" s="24">
        <f t="shared" si="0"/>
        <v>0</v>
      </c>
      <c r="M9" s="25">
        <f t="shared" si="1"/>
        <v>0</v>
      </c>
      <c r="N9" s="10"/>
      <c r="O9" s="9"/>
      <c r="P9" s="9"/>
      <c r="Q9" s="9"/>
      <c r="R9" s="9"/>
      <c r="S9" s="9"/>
      <c r="T9" s="9"/>
      <c r="U9" s="9"/>
      <c r="V9" s="9"/>
      <c r="W9" s="23"/>
      <c r="X9" s="27">
        <f t="shared" si="2"/>
        <v>0</v>
      </c>
      <c r="Y9" s="30">
        <f t="shared" si="3"/>
        <v>0</v>
      </c>
      <c r="Z9" s="31">
        <f t="shared" si="4"/>
        <v>0</v>
      </c>
    </row>
    <row r="10" spans="1:26" customFormat="1">
      <c r="A10" s="7">
        <v>39086</v>
      </c>
      <c r="B10" s="9"/>
      <c r="C10" s="9"/>
      <c r="D10" s="9"/>
      <c r="E10" s="9"/>
      <c r="F10" s="9"/>
      <c r="G10" s="9"/>
      <c r="H10" s="9"/>
      <c r="I10" s="9"/>
      <c r="J10" s="9"/>
      <c r="K10" s="23"/>
      <c r="L10" s="24">
        <f t="shared" si="0"/>
        <v>0</v>
      </c>
      <c r="M10" s="25">
        <f t="shared" si="1"/>
        <v>0</v>
      </c>
      <c r="N10" s="9"/>
      <c r="O10" s="9"/>
      <c r="P10" s="9"/>
      <c r="Q10" s="9"/>
      <c r="R10" s="9"/>
      <c r="S10" s="9"/>
      <c r="T10" s="9"/>
      <c r="U10" s="9"/>
      <c r="V10" s="9"/>
      <c r="W10" s="23"/>
      <c r="X10" s="27">
        <f t="shared" si="2"/>
        <v>0</v>
      </c>
      <c r="Y10" s="30">
        <f t="shared" si="3"/>
        <v>0</v>
      </c>
      <c r="Z10" s="31">
        <f t="shared" si="4"/>
        <v>0</v>
      </c>
    </row>
    <row r="11" spans="1:26" customFormat="1">
      <c r="A11" s="7">
        <v>39087</v>
      </c>
      <c r="B11" s="8"/>
      <c r="C11" s="8"/>
      <c r="D11" s="8"/>
      <c r="E11" s="8"/>
      <c r="F11" s="8"/>
      <c r="G11" s="8"/>
      <c r="H11" s="8"/>
      <c r="I11" s="8"/>
      <c r="J11" s="8"/>
      <c r="K11" s="23"/>
      <c r="L11" s="24">
        <f t="shared" si="0"/>
        <v>0</v>
      </c>
      <c r="M11" s="25">
        <f t="shared" si="1"/>
        <v>0</v>
      </c>
      <c r="N11" s="9"/>
      <c r="O11" s="9"/>
      <c r="P11" s="8"/>
      <c r="Q11" s="8"/>
      <c r="R11" s="8"/>
      <c r="S11" s="9"/>
      <c r="T11" s="9"/>
      <c r="U11" s="9"/>
      <c r="V11" s="9"/>
      <c r="W11" s="23"/>
      <c r="X11" s="27">
        <f t="shared" si="2"/>
        <v>0</v>
      </c>
      <c r="Y11" s="30">
        <f t="shared" si="3"/>
        <v>0</v>
      </c>
      <c r="Z11" s="31">
        <f t="shared" si="4"/>
        <v>0</v>
      </c>
    </row>
    <row r="12" spans="1:26" customFormat="1" ht="15.75">
      <c r="A12" s="7">
        <v>39088</v>
      </c>
      <c r="B12" s="9"/>
      <c r="C12" s="9"/>
      <c r="D12" s="9"/>
      <c r="E12" s="9"/>
      <c r="F12" s="9"/>
      <c r="G12" s="9"/>
      <c r="H12" s="9"/>
      <c r="I12" s="9"/>
      <c r="J12" s="9"/>
      <c r="K12" s="23"/>
      <c r="L12" s="24">
        <f t="shared" si="0"/>
        <v>0</v>
      </c>
      <c r="M12" s="25">
        <f t="shared" si="1"/>
        <v>0</v>
      </c>
      <c r="N12" s="9"/>
      <c r="O12" s="9"/>
      <c r="P12" s="10"/>
      <c r="Q12" s="9"/>
      <c r="R12" s="9"/>
      <c r="S12" s="9"/>
      <c r="T12" s="9"/>
      <c r="U12" s="9"/>
      <c r="V12" s="9"/>
      <c r="W12" s="23"/>
      <c r="X12" s="27">
        <f t="shared" si="2"/>
        <v>0</v>
      </c>
      <c r="Y12" s="30">
        <f t="shared" si="3"/>
        <v>0</v>
      </c>
      <c r="Z12" s="31">
        <f t="shared" si="4"/>
        <v>0</v>
      </c>
    </row>
    <row r="13" spans="1:26" customFormat="1">
      <c r="A13" s="7">
        <v>39089</v>
      </c>
      <c r="B13" s="9"/>
      <c r="C13" s="1"/>
      <c r="D13" s="9"/>
      <c r="E13" s="9"/>
      <c r="F13" s="9"/>
      <c r="G13" s="9"/>
      <c r="H13" s="9"/>
      <c r="I13" s="9"/>
      <c r="J13" s="9"/>
      <c r="K13" s="23"/>
      <c r="L13" s="24">
        <f t="shared" si="0"/>
        <v>0</v>
      </c>
      <c r="M13" s="25">
        <f t="shared" si="1"/>
        <v>0</v>
      </c>
      <c r="N13" s="9"/>
      <c r="O13" s="9"/>
      <c r="P13" s="9"/>
      <c r="Q13" s="9"/>
      <c r="R13" s="9"/>
      <c r="S13" s="9"/>
      <c r="T13" s="9"/>
      <c r="U13" s="9"/>
      <c r="V13" s="9"/>
      <c r="W13" s="23"/>
      <c r="X13" s="27">
        <f t="shared" si="2"/>
        <v>0</v>
      </c>
      <c r="Y13" s="30">
        <f t="shared" si="3"/>
        <v>0</v>
      </c>
      <c r="Z13" s="31">
        <f t="shared" si="4"/>
        <v>0</v>
      </c>
    </row>
    <row r="14" spans="1:26" customFormat="1">
      <c r="A14" s="7">
        <v>39090</v>
      </c>
      <c r="B14" s="9"/>
      <c r="C14" s="9"/>
      <c r="D14" s="9"/>
      <c r="E14" s="9"/>
      <c r="F14" s="9"/>
      <c r="G14" s="9"/>
      <c r="H14" s="11"/>
      <c r="I14" s="9"/>
      <c r="J14" s="9"/>
      <c r="K14" s="23"/>
      <c r="L14" s="24">
        <f t="shared" si="0"/>
        <v>0</v>
      </c>
      <c r="M14" s="25">
        <f t="shared" si="1"/>
        <v>0</v>
      </c>
      <c r="N14" s="9"/>
      <c r="O14" s="9"/>
      <c r="P14" s="9"/>
      <c r="Q14" s="9"/>
      <c r="R14" s="9"/>
      <c r="S14" s="9"/>
      <c r="T14" s="9"/>
      <c r="U14" s="9"/>
      <c r="V14" s="9"/>
      <c r="W14" s="23"/>
      <c r="X14" s="27">
        <f t="shared" si="2"/>
        <v>0</v>
      </c>
      <c r="Y14" s="30">
        <f t="shared" si="3"/>
        <v>0</v>
      </c>
      <c r="Z14" s="31">
        <f t="shared" si="4"/>
        <v>0</v>
      </c>
    </row>
    <row r="15" spans="1:26" customFormat="1">
      <c r="A15" s="7">
        <v>39091</v>
      </c>
      <c r="B15" s="9"/>
      <c r="C15" s="9"/>
      <c r="D15" s="9"/>
      <c r="E15" s="9"/>
      <c r="F15" s="9"/>
      <c r="G15" s="9"/>
      <c r="H15" s="9"/>
      <c r="I15" s="9"/>
      <c r="J15" s="9"/>
      <c r="K15" s="23"/>
      <c r="L15" s="24">
        <f t="shared" ref="L15:L37" si="5">SUM(B15:K15)</f>
        <v>0</v>
      </c>
      <c r="M15" s="25">
        <f t="shared" ref="M15:M37" si="6">B15*2+C15*5+D15*6+E15*8+F15*10+I15*15+J15*20+K15*1</f>
        <v>0</v>
      </c>
      <c r="N15" s="9"/>
      <c r="O15" s="9"/>
      <c r="P15" s="9"/>
      <c r="Q15" s="9"/>
      <c r="R15" s="9"/>
      <c r="S15" s="9"/>
      <c r="T15" s="9"/>
      <c r="U15" s="9"/>
      <c r="V15" s="9"/>
      <c r="W15" s="23"/>
      <c r="X15" s="27">
        <f t="shared" ref="X15:X37" si="7">SUM(N15:W15)</f>
        <v>0</v>
      </c>
      <c r="Y15" s="30">
        <f>W15*1+V15*20+U15*15+T15*12+S15*7+R15*10+Q15*8+P15*6+O15*5+N15*2</f>
        <v>0</v>
      </c>
      <c r="Z15" s="31">
        <f t="shared" ref="Z15:Z37" si="8">M15-Y15</f>
        <v>0</v>
      </c>
    </row>
    <row r="16" spans="1:26" customFormat="1" ht="15.75">
      <c r="A16" s="7">
        <v>39092</v>
      </c>
      <c r="B16" s="9"/>
      <c r="C16" s="9"/>
      <c r="D16" s="9"/>
      <c r="E16" s="9"/>
      <c r="F16" s="9"/>
      <c r="G16" s="9"/>
      <c r="H16" s="9"/>
      <c r="I16" s="9"/>
      <c r="J16" s="9"/>
      <c r="K16" s="23"/>
      <c r="L16" s="24">
        <f t="shared" si="5"/>
        <v>0</v>
      </c>
      <c r="M16" s="25">
        <f t="shared" si="6"/>
        <v>0</v>
      </c>
      <c r="N16" s="9"/>
      <c r="O16" s="9"/>
      <c r="P16" s="9"/>
      <c r="Q16" s="10"/>
      <c r="R16" s="9"/>
      <c r="S16" s="9"/>
      <c r="T16" s="9"/>
      <c r="U16" s="9"/>
      <c r="V16" s="9"/>
      <c r="W16" s="23"/>
      <c r="X16" s="27">
        <f t="shared" si="7"/>
        <v>0</v>
      </c>
      <c r="Y16" s="30">
        <f t="shared" ref="Y16:Y30" si="9">N16*2+O16*5+P16*6+Q16*8+R16*10+S16*7+T16*12+U16*15+V16*20+W16*1</f>
        <v>0</v>
      </c>
      <c r="Z16" s="31">
        <f t="shared" si="8"/>
        <v>0</v>
      </c>
    </row>
    <row r="17" spans="1:71" customFormat="1" ht="15.75">
      <c r="A17" s="7">
        <v>39093</v>
      </c>
      <c r="B17" s="9"/>
      <c r="C17" s="9"/>
      <c r="D17" s="9"/>
      <c r="E17" s="9"/>
      <c r="F17" s="9"/>
      <c r="G17" s="9"/>
      <c r="H17" s="9"/>
      <c r="I17" s="9"/>
      <c r="J17" s="10"/>
      <c r="K17" s="23"/>
      <c r="L17" s="24">
        <f t="shared" si="5"/>
        <v>0</v>
      </c>
      <c r="M17" s="25">
        <f t="shared" si="6"/>
        <v>0</v>
      </c>
      <c r="N17" s="9"/>
      <c r="O17" s="9"/>
      <c r="P17" s="9"/>
      <c r="Q17" s="9"/>
      <c r="R17" s="9"/>
      <c r="S17" s="9"/>
      <c r="T17" s="9"/>
      <c r="U17" s="9"/>
      <c r="V17" s="9"/>
      <c r="W17" s="23"/>
      <c r="X17" s="27">
        <f t="shared" si="7"/>
        <v>0</v>
      </c>
      <c r="Y17" s="30">
        <f t="shared" si="9"/>
        <v>0</v>
      </c>
      <c r="Z17" s="31">
        <f t="shared" si="8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customFormat="1">
      <c r="A18" s="7">
        <v>39094</v>
      </c>
      <c r="B18" s="9"/>
      <c r="C18" s="9"/>
      <c r="D18" s="9"/>
      <c r="E18" s="9"/>
      <c r="F18" s="9"/>
      <c r="G18" s="9"/>
      <c r="H18" s="9"/>
      <c r="I18" s="9"/>
      <c r="J18" s="9"/>
      <c r="K18" s="23"/>
      <c r="L18" s="24">
        <f t="shared" si="5"/>
        <v>0</v>
      </c>
      <c r="M18" s="25">
        <f t="shared" si="6"/>
        <v>0</v>
      </c>
      <c r="N18" s="9"/>
      <c r="O18" s="9"/>
      <c r="P18" s="9"/>
      <c r="Q18" s="9"/>
      <c r="R18" s="9"/>
      <c r="S18" s="9"/>
      <c r="T18" s="9"/>
      <c r="U18" s="9"/>
      <c r="V18" s="9"/>
      <c r="W18" s="23"/>
      <c r="X18" s="27">
        <f t="shared" si="7"/>
        <v>0</v>
      </c>
      <c r="Y18" s="30">
        <f t="shared" si="9"/>
        <v>0</v>
      </c>
      <c r="Z18" s="31">
        <f t="shared" si="8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customFormat="1">
      <c r="A19" s="7">
        <v>39095</v>
      </c>
      <c r="B19" s="9"/>
      <c r="C19" s="9"/>
      <c r="D19" s="9"/>
      <c r="E19" s="9"/>
      <c r="F19" s="9"/>
      <c r="G19" s="9"/>
      <c r="H19" s="9"/>
      <c r="I19" s="9"/>
      <c r="J19" s="9"/>
      <c r="K19" s="23"/>
      <c r="L19" s="24">
        <f t="shared" si="5"/>
        <v>0</v>
      </c>
      <c r="M19" s="25">
        <f t="shared" si="6"/>
        <v>0</v>
      </c>
      <c r="N19" s="9"/>
      <c r="O19" s="9"/>
      <c r="P19" s="9"/>
      <c r="Q19" s="9"/>
      <c r="R19" s="9"/>
      <c r="S19" s="9"/>
      <c r="T19" s="9"/>
      <c r="U19" s="9"/>
      <c r="V19" s="23"/>
      <c r="W19" s="23"/>
      <c r="X19" s="27">
        <f t="shared" si="7"/>
        <v>0</v>
      </c>
      <c r="Y19" s="30">
        <f t="shared" si="9"/>
        <v>0</v>
      </c>
      <c r="Z19" s="31">
        <f t="shared" si="8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2"/>
    </row>
    <row r="20" spans="1:71" customFormat="1">
      <c r="A20" s="7">
        <v>39096</v>
      </c>
      <c r="B20" s="9"/>
      <c r="C20" s="9"/>
      <c r="D20" s="9"/>
      <c r="E20" s="9"/>
      <c r="F20" s="9"/>
      <c r="G20" s="9"/>
      <c r="H20" s="9"/>
      <c r="I20" s="9"/>
      <c r="J20" s="9"/>
      <c r="K20" s="23"/>
      <c r="L20" s="24">
        <f t="shared" si="5"/>
        <v>0</v>
      </c>
      <c r="M20" s="25">
        <f t="shared" si="6"/>
        <v>0</v>
      </c>
      <c r="N20" s="9"/>
      <c r="O20" s="9"/>
      <c r="P20" s="9"/>
      <c r="Q20" s="9"/>
      <c r="R20" s="9"/>
      <c r="S20" s="9"/>
      <c r="T20" s="9"/>
      <c r="U20" s="9"/>
      <c r="V20" s="9"/>
      <c r="W20" s="23"/>
      <c r="X20" s="27">
        <f t="shared" si="7"/>
        <v>0</v>
      </c>
      <c r="Y20" s="30">
        <f t="shared" si="9"/>
        <v>0</v>
      </c>
      <c r="Z20" s="31">
        <f t="shared" si="8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customFormat="1">
      <c r="A21" s="7">
        <v>39097</v>
      </c>
      <c r="B21" s="9"/>
      <c r="C21" s="9"/>
      <c r="D21" s="9"/>
      <c r="E21" s="9"/>
      <c r="F21" s="9"/>
      <c r="G21" s="9"/>
      <c r="H21" s="9"/>
      <c r="I21" s="9"/>
      <c r="J21" s="9"/>
      <c r="K21" s="23"/>
      <c r="L21" s="24">
        <f t="shared" si="5"/>
        <v>0</v>
      </c>
      <c r="M21" s="25">
        <f t="shared" si="6"/>
        <v>0</v>
      </c>
      <c r="N21" s="9"/>
      <c r="O21" s="9"/>
      <c r="P21" s="9"/>
      <c r="Q21" s="9"/>
      <c r="R21" s="9"/>
      <c r="S21" s="9"/>
      <c r="T21" s="9"/>
      <c r="U21" s="9"/>
      <c r="V21" s="9"/>
      <c r="W21" s="23"/>
      <c r="X21" s="27">
        <f t="shared" si="7"/>
        <v>0</v>
      </c>
      <c r="Y21" s="30">
        <f t="shared" si="9"/>
        <v>0</v>
      </c>
      <c r="Z21" s="31">
        <f t="shared" si="8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customFormat="1">
      <c r="A22" s="7">
        <v>39098</v>
      </c>
      <c r="B22" s="9"/>
      <c r="C22" s="9"/>
      <c r="D22" s="9"/>
      <c r="E22" s="9"/>
      <c r="F22" s="9"/>
      <c r="G22" s="1"/>
      <c r="H22" s="9"/>
      <c r="I22" s="9"/>
      <c r="J22" s="9"/>
      <c r="K22" s="23"/>
      <c r="L22" s="24">
        <f t="shared" si="5"/>
        <v>0</v>
      </c>
      <c r="M22" s="25">
        <f t="shared" si="6"/>
        <v>0</v>
      </c>
      <c r="N22" s="9"/>
      <c r="O22" s="9"/>
      <c r="P22" s="9"/>
      <c r="Q22" s="9"/>
      <c r="R22" s="9"/>
      <c r="S22" s="9"/>
      <c r="T22" s="9"/>
      <c r="U22" s="9"/>
      <c r="V22" s="9"/>
      <c r="W22" s="23"/>
      <c r="X22" s="27">
        <f t="shared" si="7"/>
        <v>0</v>
      </c>
      <c r="Y22" s="30">
        <f t="shared" si="9"/>
        <v>0</v>
      </c>
      <c r="Z22" s="31">
        <f t="shared" si="8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customFormat="1">
      <c r="A23" s="7">
        <v>39099</v>
      </c>
      <c r="B23" s="9"/>
      <c r="C23" s="9"/>
      <c r="D23" s="12"/>
      <c r="E23" s="9"/>
      <c r="F23" s="9"/>
      <c r="G23" s="9"/>
      <c r="H23" s="9"/>
      <c r="I23" s="9"/>
      <c r="J23" s="9"/>
      <c r="K23" s="23"/>
      <c r="L23" s="24">
        <f t="shared" si="5"/>
        <v>0</v>
      </c>
      <c r="M23" s="25">
        <f t="shared" si="6"/>
        <v>0</v>
      </c>
      <c r="N23" s="9"/>
      <c r="O23" s="9"/>
      <c r="P23" s="9"/>
      <c r="Q23" s="9"/>
      <c r="R23" s="9"/>
      <c r="S23" s="9"/>
      <c r="T23" s="9"/>
      <c r="U23" s="9"/>
      <c r="V23" s="9"/>
      <c r="W23" s="23"/>
      <c r="X23" s="27">
        <f t="shared" si="7"/>
        <v>0</v>
      </c>
      <c r="Y23" s="30">
        <f t="shared" si="9"/>
        <v>0</v>
      </c>
      <c r="Z23" s="31">
        <f t="shared" si="8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customFormat="1">
      <c r="A24" s="7">
        <v>39100</v>
      </c>
      <c r="B24" s="9"/>
      <c r="C24" s="9"/>
      <c r="D24" s="9"/>
      <c r="E24" s="9"/>
      <c r="F24" s="9"/>
      <c r="G24" s="9"/>
      <c r="H24" s="9"/>
      <c r="I24" s="9"/>
      <c r="J24" s="9"/>
      <c r="K24" s="23"/>
      <c r="L24" s="24">
        <f t="shared" si="5"/>
        <v>0</v>
      </c>
      <c r="M24" s="25">
        <f t="shared" si="6"/>
        <v>0</v>
      </c>
      <c r="N24" s="9"/>
      <c r="O24" s="9"/>
      <c r="P24" s="9"/>
      <c r="Q24" s="9"/>
      <c r="R24" s="9"/>
      <c r="S24" s="9"/>
      <c r="T24" s="9"/>
      <c r="U24" s="9"/>
      <c r="V24" s="9"/>
      <c r="W24" s="23"/>
      <c r="X24" s="27">
        <f t="shared" si="7"/>
        <v>0</v>
      </c>
      <c r="Y24" s="30">
        <f t="shared" si="9"/>
        <v>0</v>
      </c>
      <c r="Z24" s="31">
        <f t="shared" si="8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customFormat="1">
      <c r="A25" s="7">
        <v>39101</v>
      </c>
      <c r="B25" s="9"/>
      <c r="C25" s="9"/>
      <c r="D25" s="9"/>
      <c r="E25" s="9"/>
      <c r="F25" s="9"/>
      <c r="G25" s="9"/>
      <c r="H25" s="9"/>
      <c r="I25" s="9"/>
      <c r="J25" s="9"/>
      <c r="K25" s="23"/>
      <c r="L25" s="24">
        <f t="shared" si="5"/>
        <v>0</v>
      </c>
      <c r="M25" s="25">
        <f t="shared" si="6"/>
        <v>0</v>
      </c>
      <c r="N25" s="9"/>
      <c r="O25" s="9"/>
      <c r="P25" s="9"/>
      <c r="Q25" s="9"/>
      <c r="R25" s="9"/>
      <c r="S25" s="9"/>
      <c r="T25" s="9"/>
      <c r="U25" s="9"/>
      <c r="V25" s="9"/>
      <c r="W25" s="23"/>
      <c r="X25" s="27">
        <f t="shared" si="7"/>
        <v>0</v>
      </c>
      <c r="Y25" s="30">
        <f t="shared" si="9"/>
        <v>0</v>
      </c>
      <c r="Z25" s="31">
        <f t="shared" si="8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customFormat="1">
      <c r="A26" s="7">
        <v>39102</v>
      </c>
      <c r="B26" s="9"/>
      <c r="C26" s="9"/>
      <c r="D26" s="9"/>
      <c r="E26" s="9"/>
      <c r="F26" s="9"/>
      <c r="G26" s="9"/>
      <c r="H26" s="9"/>
      <c r="I26" s="9"/>
      <c r="J26" s="9"/>
      <c r="K26" s="23"/>
      <c r="L26" s="24">
        <f t="shared" si="5"/>
        <v>0</v>
      </c>
      <c r="M26" s="25">
        <f t="shared" si="6"/>
        <v>0</v>
      </c>
      <c r="N26" s="9"/>
      <c r="O26" s="9"/>
      <c r="P26" s="9"/>
      <c r="Q26" s="9"/>
      <c r="R26" s="9"/>
      <c r="S26" s="9"/>
      <c r="T26" s="9"/>
      <c r="U26" s="9"/>
      <c r="V26" s="9"/>
      <c r="W26" s="23"/>
      <c r="X26" s="27">
        <f t="shared" si="7"/>
        <v>0</v>
      </c>
      <c r="Y26" s="30">
        <f t="shared" si="9"/>
        <v>0</v>
      </c>
      <c r="Z26" s="31">
        <f t="shared" si="8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customFormat="1" ht="15.75">
      <c r="A27" s="7">
        <v>39103</v>
      </c>
      <c r="B27" s="9"/>
      <c r="C27" s="9"/>
      <c r="D27" s="9"/>
      <c r="E27" s="9"/>
      <c r="F27" s="9"/>
      <c r="G27" s="9"/>
      <c r="H27" s="9"/>
      <c r="I27" s="9"/>
      <c r="J27" s="9"/>
      <c r="K27" s="23"/>
      <c r="L27" s="24">
        <f t="shared" si="5"/>
        <v>0</v>
      </c>
      <c r="M27" s="25">
        <f t="shared" si="6"/>
        <v>0</v>
      </c>
      <c r="N27" s="9"/>
      <c r="O27" s="9"/>
      <c r="P27" s="10"/>
      <c r="Q27" s="9"/>
      <c r="R27" s="9"/>
      <c r="S27" s="9"/>
      <c r="T27" s="9"/>
      <c r="U27" s="9"/>
      <c r="V27" s="9"/>
      <c r="W27" s="23"/>
      <c r="X27" s="27">
        <f t="shared" si="7"/>
        <v>0</v>
      </c>
      <c r="Y27" s="30">
        <f t="shared" si="9"/>
        <v>0</v>
      </c>
      <c r="Z27" s="31">
        <f t="shared" si="8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customFormat="1">
      <c r="A28" s="7">
        <v>39104</v>
      </c>
      <c r="B28" s="9"/>
      <c r="C28" s="9"/>
      <c r="D28" s="9"/>
      <c r="E28" s="9"/>
      <c r="F28" s="9"/>
      <c r="G28" s="9"/>
      <c r="H28" s="9"/>
      <c r="I28" s="9"/>
      <c r="J28" s="9"/>
      <c r="K28" s="23"/>
      <c r="L28" s="24">
        <f t="shared" si="5"/>
        <v>0</v>
      </c>
      <c r="M28" s="25">
        <f t="shared" si="6"/>
        <v>0</v>
      </c>
      <c r="N28" s="9"/>
      <c r="O28" s="9"/>
      <c r="P28" s="9"/>
      <c r="Q28" s="9"/>
      <c r="R28" s="9"/>
      <c r="S28" s="9"/>
      <c r="T28" s="9"/>
      <c r="U28" s="9"/>
      <c r="V28" s="9"/>
      <c r="W28" s="23"/>
      <c r="X28" s="27">
        <f t="shared" si="7"/>
        <v>0</v>
      </c>
      <c r="Y28" s="30">
        <f t="shared" si="9"/>
        <v>0</v>
      </c>
      <c r="Z28" s="31">
        <f t="shared" si="8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customFormat="1">
      <c r="A29" s="7">
        <v>39105</v>
      </c>
      <c r="B29" s="9"/>
      <c r="C29" s="9"/>
      <c r="D29" s="9"/>
      <c r="E29" s="9"/>
      <c r="F29" s="9"/>
      <c r="G29" s="9"/>
      <c r="H29" s="9"/>
      <c r="I29" s="9"/>
      <c r="J29" s="9"/>
      <c r="K29" s="23"/>
      <c r="L29" s="24">
        <f t="shared" si="5"/>
        <v>0</v>
      </c>
      <c r="M29" s="25">
        <f t="shared" si="6"/>
        <v>0</v>
      </c>
      <c r="N29" s="9"/>
      <c r="O29" s="9"/>
      <c r="P29" s="9"/>
      <c r="Q29" s="9"/>
      <c r="R29" s="9"/>
      <c r="S29" s="9"/>
      <c r="T29" s="9"/>
      <c r="U29" s="9"/>
      <c r="V29" s="9"/>
      <c r="W29" s="23"/>
      <c r="X29" s="27">
        <f t="shared" si="7"/>
        <v>0</v>
      </c>
      <c r="Y29" s="30">
        <f t="shared" si="9"/>
        <v>0</v>
      </c>
      <c r="Z29" s="31">
        <f t="shared" si="8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customFormat="1" ht="15.75">
      <c r="A30" s="7">
        <v>39106</v>
      </c>
      <c r="B30" s="9"/>
      <c r="C30" s="9"/>
      <c r="D30" s="10"/>
      <c r="E30" s="9"/>
      <c r="F30" s="10"/>
      <c r="G30" s="10"/>
      <c r="H30" s="9"/>
      <c r="I30" s="9"/>
      <c r="J30" s="9"/>
      <c r="K30" s="23"/>
      <c r="L30" s="24">
        <f t="shared" si="5"/>
        <v>0</v>
      </c>
      <c r="M30" s="25">
        <f t="shared" si="6"/>
        <v>0</v>
      </c>
      <c r="N30" s="9"/>
      <c r="O30" s="9"/>
      <c r="P30" s="9"/>
      <c r="Q30" s="9"/>
      <c r="R30" s="9"/>
      <c r="S30" s="9"/>
      <c r="T30" s="9"/>
      <c r="U30" s="9"/>
      <c r="V30" s="9"/>
      <c r="W30" s="23"/>
      <c r="X30" s="27">
        <f t="shared" si="7"/>
        <v>0</v>
      </c>
      <c r="Y30" s="30">
        <f t="shared" si="9"/>
        <v>0</v>
      </c>
      <c r="Z30" s="31">
        <f t="shared" si="8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customFormat="1">
      <c r="A31" s="7">
        <v>39107</v>
      </c>
      <c r="B31" s="9"/>
      <c r="C31" s="9"/>
      <c r="D31" s="9"/>
      <c r="E31" s="9"/>
      <c r="F31" s="9"/>
      <c r="G31" s="9"/>
      <c r="H31" s="9"/>
      <c r="I31" s="9"/>
      <c r="J31" s="9"/>
      <c r="K31" s="23"/>
      <c r="L31" s="24">
        <f t="shared" si="5"/>
        <v>0</v>
      </c>
      <c r="M31" s="25">
        <f t="shared" si="6"/>
        <v>0</v>
      </c>
      <c r="N31" s="9"/>
      <c r="O31" s="9"/>
      <c r="P31" s="9"/>
      <c r="Q31" s="9"/>
      <c r="R31" s="9"/>
      <c r="S31" s="9"/>
      <c r="T31" s="9"/>
      <c r="U31" s="9"/>
      <c r="V31" s="9"/>
      <c r="W31" s="23"/>
      <c r="X31" s="27">
        <f t="shared" si="7"/>
        <v>0</v>
      </c>
      <c r="Y31" s="30">
        <f>W31*1+V31*20+U31*15+T31*12+S31*7+R31*10+Q31*8+P31*6+O31*5+N31*2</f>
        <v>0</v>
      </c>
      <c r="Z31" s="31">
        <f t="shared" si="8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customFormat="1" ht="15.75">
      <c r="A32" s="7">
        <v>39108</v>
      </c>
      <c r="B32" s="10"/>
      <c r="C32" s="9"/>
      <c r="D32" s="9"/>
      <c r="E32" s="9"/>
      <c r="F32" s="9"/>
      <c r="G32" s="9"/>
      <c r="H32" s="9"/>
      <c r="I32" s="9"/>
      <c r="J32" s="9"/>
      <c r="K32" s="23"/>
      <c r="L32" s="24">
        <f t="shared" si="5"/>
        <v>0</v>
      </c>
      <c r="M32" s="25">
        <f t="shared" si="6"/>
        <v>0</v>
      </c>
      <c r="N32" s="9"/>
      <c r="O32" s="9"/>
      <c r="P32" s="9"/>
      <c r="Q32" s="9"/>
      <c r="R32" s="9"/>
      <c r="S32" s="9"/>
      <c r="T32" s="9"/>
      <c r="U32" s="9"/>
      <c r="V32" s="9"/>
      <c r="W32" s="23"/>
      <c r="X32" s="27">
        <f t="shared" si="7"/>
        <v>0</v>
      </c>
      <c r="Y32" s="30">
        <f t="shared" ref="Y32:Y37" si="10">N32*2+O32*5+P32*6+Q32*8+R32*10+S32*7+T32*12+U32*15+V32*20+W32*1</f>
        <v>0</v>
      </c>
      <c r="Z32" s="31">
        <f t="shared" si="8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28" customFormat="1">
      <c r="A33" s="7">
        <v>39109</v>
      </c>
      <c r="B33" s="9"/>
      <c r="C33" s="9"/>
      <c r="D33" s="9"/>
      <c r="E33" s="9"/>
      <c r="F33" s="9"/>
      <c r="G33" s="9"/>
      <c r="H33" s="9"/>
      <c r="I33" s="9"/>
      <c r="J33" s="9"/>
      <c r="K33" s="23"/>
      <c r="L33" s="24">
        <f t="shared" si="5"/>
        <v>0</v>
      </c>
      <c r="M33" s="25">
        <f t="shared" si="6"/>
        <v>0</v>
      </c>
      <c r="N33" s="9"/>
      <c r="O33" s="9"/>
      <c r="P33" s="9"/>
      <c r="Q33" s="9"/>
      <c r="R33" s="9"/>
      <c r="S33" s="9"/>
      <c r="T33" s="9"/>
      <c r="U33" s="9"/>
      <c r="V33" s="9"/>
      <c r="W33" s="23"/>
      <c r="X33" s="27">
        <f t="shared" si="7"/>
        <v>0</v>
      </c>
      <c r="Y33" s="30">
        <f t="shared" si="10"/>
        <v>0</v>
      </c>
      <c r="Z33" s="31">
        <f t="shared" si="8"/>
        <v>0</v>
      </c>
      <c r="AB33" s="1"/>
    </row>
    <row r="34" spans="1:28" customFormat="1">
      <c r="A34" s="7">
        <v>39110</v>
      </c>
      <c r="B34" s="9"/>
      <c r="C34" s="9"/>
      <c r="D34" s="9"/>
      <c r="E34" s="9"/>
      <c r="F34" s="9"/>
      <c r="G34" s="9"/>
      <c r="H34" s="9"/>
      <c r="I34" s="9"/>
      <c r="J34" s="9"/>
      <c r="K34" s="23"/>
      <c r="L34" s="24">
        <f t="shared" si="5"/>
        <v>0</v>
      </c>
      <c r="M34" s="25">
        <f t="shared" si="6"/>
        <v>0</v>
      </c>
      <c r="N34" s="9"/>
      <c r="O34" s="9"/>
      <c r="P34" s="9"/>
      <c r="Q34" s="9"/>
      <c r="R34" s="9"/>
      <c r="S34" s="9"/>
      <c r="T34" s="9"/>
      <c r="U34" s="9"/>
      <c r="V34" s="9"/>
      <c r="W34" s="23"/>
      <c r="X34" s="27">
        <f t="shared" si="7"/>
        <v>0</v>
      </c>
      <c r="Y34" s="30">
        <f>W34*1+V34*20+U34*15+T34*12+S34*7+R34*10+Q34*8+P34*6+O34*5+N34*2</f>
        <v>0</v>
      </c>
      <c r="Z34" s="31">
        <f t="shared" si="8"/>
        <v>0</v>
      </c>
      <c r="AB34" s="1"/>
    </row>
    <row r="35" spans="1:28" customFormat="1">
      <c r="A35" s="7">
        <v>39111</v>
      </c>
      <c r="B35" s="9"/>
      <c r="C35" s="9"/>
      <c r="D35" s="9"/>
      <c r="E35" s="9"/>
      <c r="F35" s="9"/>
      <c r="G35" s="9"/>
      <c r="H35" s="9"/>
      <c r="I35" s="9"/>
      <c r="J35" s="9"/>
      <c r="K35" s="23"/>
      <c r="L35" s="24">
        <f t="shared" si="5"/>
        <v>0</v>
      </c>
      <c r="M35" s="25">
        <f t="shared" si="6"/>
        <v>0</v>
      </c>
      <c r="N35" s="9"/>
      <c r="O35" s="9"/>
      <c r="P35" s="9"/>
      <c r="Q35" s="9"/>
      <c r="R35" s="9"/>
      <c r="S35" s="9"/>
      <c r="T35" s="9"/>
      <c r="U35" s="9"/>
      <c r="V35" s="9"/>
      <c r="W35" s="23"/>
      <c r="X35" s="27">
        <f t="shared" si="7"/>
        <v>0</v>
      </c>
      <c r="Y35" s="30">
        <f>W35*1+V35*20+U35*15+T35*12+S35*7+R35*10+Q35*8+P35*6+O35*5+N35*2</f>
        <v>0</v>
      </c>
      <c r="Z35" s="31">
        <f t="shared" si="8"/>
        <v>0</v>
      </c>
    </row>
    <row r="36" spans="1:28" customFormat="1">
      <c r="A36" s="7">
        <v>39112</v>
      </c>
      <c r="B36" s="9"/>
      <c r="C36" s="9"/>
      <c r="D36" s="9"/>
      <c r="E36" s="9"/>
      <c r="F36" s="9"/>
      <c r="G36" s="9"/>
      <c r="H36" s="9"/>
      <c r="I36" s="9"/>
      <c r="J36" s="9"/>
      <c r="K36" s="23"/>
      <c r="L36" s="24">
        <f t="shared" si="5"/>
        <v>0</v>
      </c>
      <c r="M36" s="25">
        <f t="shared" si="6"/>
        <v>0</v>
      </c>
      <c r="N36" s="9"/>
      <c r="O36" s="9"/>
      <c r="P36" s="9"/>
      <c r="Q36" s="9"/>
      <c r="R36" s="9"/>
      <c r="S36" s="9"/>
      <c r="T36" s="9"/>
      <c r="U36" s="9"/>
      <c r="V36" s="9"/>
      <c r="W36" s="23"/>
      <c r="X36" s="27">
        <f t="shared" si="7"/>
        <v>0</v>
      </c>
      <c r="Y36" s="30">
        <f t="shared" si="10"/>
        <v>0</v>
      </c>
      <c r="Z36" s="31">
        <f t="shared" si="8"/>
        <v>0</v>
      </c>
    </row>
    <row r="37" spans="1:28" customFormat="1">
      <c r="A37" s="7">
        <v>39113</v>
      </c>
      <c r="B37" s="13"/>
      <c r="C37" s="13"/>
      <c r="D37" s="13"/>
      <c r="E37" s="13"/>
      <c r="F37" s="13"/>
      <c r="G37" s="13"/>
      <c r="H37" s="13"/>
      <c r="I37" s="13"/>
      <c r="J37" s="13"/>
      <c r="K37" s="26"/>
      <c r="L37" s="24">
        <f t="shared" si="5"/>
        <v>0</v>
      </c>
      <c r="M37" s="25">
        <f t="shared" si="6"/>
        <v>0</v>
      </c>
      <c r="N37" s="13"/>
      <c r="O37" s="13"/>
      <c r="P37" s="13"/>
      <c r="Q37" s="13"/>
      <c r="R37" s="13"/>
      <c r="S37" s="13"/>
      <c r="T37" s="13"/>
      <c r="U37" s="13"/>
      <c r="V37" s="13"/>
      <c r="W37" s="26"/>
      <c r="X37" s="27">
        <f t="shared" si="7"/>
        <v>0</v>
      </c>
      <c r="Y37" s="30">
        <f t="shared" si="10"/>
        <v>0</v>
      </c>
      <c r="Z37" s="31">
        <f t="shared" si="8"/>
        <v>0</v>
      </c>
    </row>
    <row r="38" spans="1:28" ht="18" customHeight="1">
      <c r="A38" s="14" t="s">
        <v>15</v>
      </c>
      <c r="B38" s="15">
        <f t="shared" ref="B38:Z38" si="11">SUM(B7:B37)</f>
        <v>0</v>
      </c>
      <c r="C38" s="15">
        <f t="shared" si="11"/>
        <v>0</v>
      </c>
      <c r="D38" s="15">
        <f t="shared" si="11"/>
        <v>0</v>
      </c>
      <c r="E38" s="15">
        <f t="shared" si="11"/>
        <v>0</v>
      </c>
      <c r="F38" s="15">
        <f t="shared" si="11"/>
        <v>0</v>
      </c>
      <c r="G38" s="15">
        <f t="shared" si="11"/>
        <v>0</v>
      </c>
      <c r="H38" s="15">
        <f t="shared" si="11"/>
        <v>0</v>
      </c>
      <c r="I38" s="15">
        <f t="shared" si="11"/>
        <v>0</v>
      </c>
      <c r="J38" s="15">
        <f t="shared" si="11"/>
        <v>0</v>
      </c>
      <c r="K38" s="15">
        <f t="shared" si="11"/>
        <v>0</v>
      </c>
      <c r="L38" s="15">
        <f t="shared" si="11"/>
        <v>0</v>
      </c>
      <c r="M38" s="15">
        <f t="shared" si="11"/>
        <v>0</v>
      </c>
      <c r="N38" s="15">
        <f t="shared" si="11"/>
        <v>0</v>
      </c>
      <c r="O38" s="15">
        <f t="shared" si="11"/>
        <v>0</v>
      </c>
      <c r="P38" s="15">
        <f t="shared" si="11"/>
        <v>0</v>
      </c>
      <c r="Q38" s="15">
        <f t="shared" si="11"/>
        <v>0</v>
      </c>
      <c r="R38" s="15">
        <f t="shared" si="11"/>
        <v>0</v>
      </c>
      <c r="S38" s="15">
        <f t="shared" si="11"/>
        <v>0</v>
      </c>
      <c r="T38" s="15">
        <f t="shared" si="11"/>
        <v>0</v>
      </c>
      <c r="U38" s="15">
        <f t="shared" si="11"/>
        <v>0</v>
      </c>
      <c r="V38" s="15">
        <f t="shared" si="11"/>
        <v>0</v>
      </c>
      <c r="W38" s="15">
        <f t="shared" si="11"/>
        <v>0</v>
      </c>
      <c r="X38" s="15">
        <f t="shared" si="11"/>
        <v>0</v>
      </c>
      <c r="Y38" s="15">
        <f t="shared" si="11"/>
        <v>0</v>
      </c>
      <c r="Z38" s="32">
        <f t="shared" si="11"/>
        <v>0</v>
      </c>
    </row>
    <row r="39" spans="1:28" ht="18.75" customHeight="1">
      <c r="A39" s="16" t="s">
        <v>16</v>
      </c>
      <c r="B39" s="17" t="e">
        <f>B38/L38</f>
        <v>#DIV/0!</v>
      </c>
      <c r="C39" s="17" t="e">
        <f>C38/L38</f>
        <v>#DIV/0!</v>
      </c>
      <c r="D39" s="17" t="e">
        <f>D38/L38</f>
        <v>#DIV/0!</v>
      </c>
      <c r="E39" s="17" t="e">
        <f>E38/L38</f>
        <v>#DIV/0!</v>
      </c>
      <c r="F39" s="17" t="e">
        <f>F38/L38</f>
        <v>#DIV/0!</v>
      </c>
      <c r="G39" s="17" t="e">
        <f>G38/L38</f>
        <v>#DIV/0!</v>
      </c>
      <c r="H39" s="17" t="e">
        <f>H38/L38</f>
        <v>#DIV/0!</v>
      </c>
      <c r="I39" s="17" t="e">
        <f>I38/L38</f>
        <v>#DIV/0!</v>
      </c>
      <c r="J39" s="17" t="e">
        <f>J38/L38</f>
        <v>#DIV/0!</v>
      </c>
      <c r="K39" s="17" t="e">
        <f>K38/L38</f>
        <v>#DIV/0!</v>
      </c>
      <c r="L39" s="17" t="e">
        <f>L38/L38</f>
        <v>#DIV/0!</v>
      </c>
      <c r="M39" s="17" t="e">
        <f>M38/M38</f>
        <v>#DIV/0!</v>
      </c>
      <c r="N39" s="17" t="e">
        <f>N38/X38</f>
        <v>#DIV/0!</v>
      </c>
      <c r="O39" s="17" t="e">
        <f>O38/X38</f>
        <v>#DIV/0!</v>
      </c>
      <c r="P39" s="17" t="e">
        <f>P38/X38</f>
        <v>#DIV/0!</v>
      </c>
      <c r="Q39" s="17" t="e">
        <f>Q38/X38</f>
        <v>#DIV/0!</v>
      </c>
      <c r="R39" s="17" t="e">
        <f>R38/X38</f>
        <v>#DIV/0!</v>
      </c>
      <c r="S39" s="17" t="e">
        <f>S38/Y38</f>
        <v>#DIV/0!</v>
      </c>
      <c r="T39" s="17" t="e">
        <f>T38/X38</f>
        <v>#DIV/0!</v>
      </c>
      <c r="U39" s="17" t="e">
        <f>U38/X38</f>
        <v>#DIV/0!</v>
      </c>
      <c r="V39" s="17" t="e">
        <f>V38/X38</f>
        <v>#DIV/0!</v>
      </c>
      <c r="W39" s="17" t="e">
        <f>W38/X38</f>
        <v>#DIV/0!</v>
      </c>
      <c r="X39" s="17" t="e">
        <f>X38/X38</f>
        <v>#DIV/0!</v>
      </c>
      <c r="Y39" s="17" t="e">
        <f>Y38/M38</f>
        <v>#DIV/0!</v>
      </c>
      <c r="Z39" s="17" t="e">
        <f>Z38/M38</f>
        <v>#DIV/0!</v>
      </c>
    </row>
  </sheetData>
  <mergeCells count="7">
    <mergeCell ref="B5:L5"/>
    <mergeCell ref="N5:X5"/>
    <mergeCell ref="A5:A6"/>
    <mergeCell ref="A1:Z2"/>
    <mergeCell ref="A4:C4"/>
    <mergeCell ref="F4:H4"/>
    <mergeCell ref="R4:T4"/>
  </mergeCells>
  <phoneticPr fontId="11" type="noConversion"/>
  <pageMargins left="0.75" right="0.75" top="1" bottom="1" header="0.5" footer="0.5"/>
  <pageSetup paperSize="9" orientation="portrait" horizontalDpi="36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苏安</vt:lpstr>
      <vt:lpstr>发退货表</vt:lpstr>
      <vt:lpstr>升州店</vt:lpstr>
      <vt:lpstr>江宁突破</vt:lpstr>
    </vt:vector>
  </TitlesOfParts>
  <Company>丽华快餐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财务部</dc:creator>
  <cp:lastModifiedBy>Win7</cp:lastModifiedBy>
  <cp:revision/>
  <dcterms:created xsi:type="dcterms:W3CDTF">2002-06-25T10:55:13Z</dcterms:created>
  <dcterms:modified xsi:type="dcterms:W3CDTF">2019-09-30T11:05:48Z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1414715086</vt:r8>
  </property>
  <property fmtid="{D5CDD505-2E9C-101B-9397-08002B2CF9AE}" pid="3" name="_EmailSubject">
    <vt:lpwstr>7.12-7.13营收</vt:lpwstr>
  </property>
  <property fmtid="{D5CDD505-2E9C-101B-9397-08002B2CF9AE}" pid="4" name="_AuthorEmail">
    <vt:lpwstr>shcaiwubu_sw@lihua.com</vt:lpwstr>
  </property>
  <property fmtid="{D5CDD505-2E9C-101B-9397-08002B2CF9AE}" pid="5" name="_AuthorEmailDisplayName">
    <vt:lpwstr>上海税务</vt:lpwstr>
  </property>
  <property fmtid="{D5CDD505-2E9C-101B-9397-08002B2CF9AE}" pid="6" name="_ReviewingToolsShownOnce">
    <vt:lpwstr/>
  </property>
  <property fmtid="{D5CDD505-2E9C-101B-9397-08002B2CF9AE}" pid="7" name="KSOProductBuildVer">
    <vt:lpwstr>2052-9.1.0.4567</vt:lpwstr>
  </property>
</Properties>
</file>